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theme/themeOverride1.xml" ContentType="application/vnd.openxmlformats-officedocument.themeOverrid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ml.chartshapes+xml"/>
  <Override PartName="/xl/charts/chart17.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theme/themeOverride3.xml" ContentType="application/vnd.openxmlformats-officedocument.themeOverride+xml"/>
  <Override PartName="/xl/charts/chart22.xml" ContentType="application/vnd.openxmlformats-officedocument.drawingml.chart+xml"/>
  <Override PartName="/xl/theme/themeOverride4.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23.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26.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charts/chart27.xml" ContentType="application/vnd.openxmlformats-officedocument.drawingml.chart+xml"/>
  <Override PartName="/xl/theme/themeOverride7.xml" ContentType="application/vnd.openxmlformats-officedocument.themeOverride+xml"/>
  <Override PartName="/xl/drawings/drawing23.xml" ContentType="application/vnd.openxmlformats-officedocument.drawingml.chartshapes+xml"/>
  <Override PartName="/xl/drawings/drawing24.xml" ContentType="application/vnd.openxmlformats-officedocument.drawing+xml"/>
  <Override PartName="/xl/charts/chart28.xml" ContentType="application/vnd.openxmlformats-officedocument.drawingml.chart+xml"/>
  <Override PartName="/xl/theme/themeOverride8.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harts/chart29.xml" ContentType="application/vnd.openxmlformats-officedocument.drawingml.chart+xml"/>
  <Override PartName="/xl/theme/themeOverride9.xml" ContentType="application/vnd.openxmlformats-officedocument.themeOverride+xml"/>
  <Override PartName="/xl/drawings/drawing27.xml" ContentType="application/vnd.openxmlformats-officedocument.drawingml.chartshapes+xml"/>
  <Override PartName="/xl/charts/chart30.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31.xml" ContentType="application/vnd.openxmlformats-officedocument.drawingml.chart+xml"/>
  <Override PartName="/xl/theme/themeOverride1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theme/themeOverride11.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3.xml" ContentType="application/vnd.openxmlformats-officedocument.drawingml.chart+xml"/>
  <Override PartName="/xl/theme/themeOverride12.xml" ContentType="application/vnd.openxmlformats-officedocument.themeOverride+xml"/>
  <Override PartName="/xl/drawings/drawing33.xml" ContentType="application/vnd.openxmlformats-officedocument.drawingml.chartshapes+xml"/>
  <Override PartName="/xl/charts/chart34.xml" ContentType="application/vnd.openxmlformats-officedocument.drawingml.chart+xml"/>
  <Override PartName="/xl/theme/themeOverride13.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charts/chart35.xml" ContentType="application/vnd.openxmlformats-officedocument.drawingml.chart+xml"/>
  <Override PartName="/xl/theme/themeOverride14.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charts/chart36.xml" ContentType="application/vnd.openxmlformats-officedocument.drawingml.chart+xml"/>
  <Override PartName="/xl/theme/themeOverride15.xml" ContentType="application/vnd.openxmlformats-officedocument.themeOverride+xml"/>
  <Override PartName="/xl/drawings/drawing38.xml" ContentType="application/vnd.openxmlformats-officedocument.drawingml.chartshapes+xml"/>
  <Override PartName="/xl/charts/chart37.xml" ContentType="application/vnd.openxmlformats-officedocument.drawingml.chart+xml"/>
  <Override PartName="/xl/theme/themeOverride16.xml" ContentType="application/vnd.openxmlformats-officedocument.themeOverride+xml"/>
  <Override PartName="/xl/drawings/drawing39.xml" ContentType="application/vnd.openxmlformats-officedocument.drawingml.chartshapes+xml"/>
  <Override PartName="/xl/drawings/drawing40.xml" ContentType="application/vnd.openxmlformats-officedocument.drawing+xml"/>
  <Override PartName="/xl/charts/chart38.xml" ContentType="application/vnd.openxmlformats-officedocument.drawingml.chart+xml"/>
  <Override PartName="/xl/drawings/drawing41.xml" ContentType="application/vnd.openxmlformats-officedocument.drawingml.chartshapes+xml"/>
  <Override PartName="/xl/charts/chart39.xml" ContentType="application/vnd.openxmlformats-officedocument.drawingml.chart+xml"/>
  <Override PartName="/xl/theme/themeOverride17.xml" ContentType="application/vnd.openxmlformats-officedocument.themeOverride+xml"/>
  <Override PartName="/xl/drawings/drawing42.xml" ContentType="application/vnd.openxmlformats-officedocument.drawingml.chartshapes+xml"/>
  <Override PartName="/xl/charts/chart40.xml" ContentType="application/vnd.openxmlformats-officedocument.drawingml.chart+xml"/>
  <Override PartName="/xl/theme/themeOverride18.xml" ContentType="application/vnd.openxmlformats-officedocument.themeOverride+xml"/>
  <Override PartName="/xl/drawings/drawing43.xml" ContentType="application/vnd.openxmlformats-officedocument.drawingml.chartshapes+xml"/>
  <Override PartName="/xl/drawings/drawing44.xml" ContentType="application/vnd.openxmlformats-officedocument.drawing+xml"/>
  <Override PartName="/xl/charts/chart41.xml" ContentType="application/vnd.openxmlformats-officedocument.drawingml.chart+xml"/>
  <Override PartName="/xl/drawings/drawing45.xml" ContentType="application/vnd.openxmlformats-officedocument.drawingml.chartshapes+xml"/>
  <Override PartName="/xl/charts/chart42.xml" ContentType="application/vnd.openxmlformats-officedocument.drawingml.chart+xml"/>
  <Override PartName="/xl/theme/themeOverride19.xml" ContentType="application/vnd.openxmlformats-officedocument.themeOverride+xml"/>
  <Override PartName="/xl/drawings/drawing46.xml" ContentType="application/vnd.openxmlformats-officedocument.drawingml.chartshapes+xml"/>
  <Override PartName="/xl/charts/chart43.xml" ContentType="application/vnd.openxmlformats-officedocument.drawingml.chart+xml"/>
  <Override PartName="/xl/theme/themeOverride20.xml" ContentType="application/vnd.openxmlformats-officedocument.themeOverride+xml"/>
  <Override PartName="/xl/drawings/drawing47.xml" ContentType="application/vnd.openxmlformats-officedocument.drawingml.chartshapes+xml"/>
  <Override PartName="/xl/charts/chart44.xml" ContentType="application/vnd.openxmlformats-officedocument.drawingml.chart+xml"/>
  <Override PartName="/xl/theme/themeOverride21.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45.xml" ContentType="application/vnd.openxmlformats-officedocument.drawingml.chart+xml"/>
  <Override PartName="/xl/theme/themeOverride22.xml" ContentType="application/vnd.openxmlformats-officedocument.themeOverride+xml"/>
  <Override PartName="/xl/drawings/drawing50.xml" ContentType="application/vnd.openxmlformats-officedocument.drawingml.chartshapes+xml"/>
  <Override PartName="/xl/charts/chart46.xml" ContentType="application/vnd.openxmlformats-officedocument.drawingml.chart+xml"/>
  <Override PartName="/xl/theme/themeOverride23.xml" ContentType="application/vnd.openxmlformats-officedocument.themeOverride+xml"/>
  <Override PartName="/xl/drawings/drawing51.xml" ContentType="application/vnd.openxmlformats-officedocument.drawingml.chartshapes+xml"/>
  <Override PartName="/xl/drawings/drawing52.xml" ContentType="application/vnd.openxmlformats-officedocument.drawing+xml"/>
  <Override PartName="/xl/charts/chart47.xml" ContentType="application/vnd.openxmlformats-officedocument.drawingml.chart+xml"/>
  <Override PartName="/xl/theme/themeOverride24.xml" ContentType="application/vnd.openxmlformats-officedocument.themeOverride+xml"/>
  <Override PartName="/xl/drawings/drawing53.xml" ContentType="application/vnd.openxmlformats-officedocument.drawingml.chartshapes+xml"/>
  <Override PartName="/xl/charts/chart48.xml" ContentType="application/vnd.openxmlformats-officedocument.drawingml.chart+xml"/>
  <Override PartName="/xl/theme/themeOverride25.xml" ContentType="application/vnd.openxmlformats-officedocument.themeOverride+xml"/>
  <Override PartName="/xl/drawings/drawing54.xml" ContentType="application/vnd.openxmlformats-officedocument.drawingml.chartshapes+xml"/>
  <Override PartName="/xl/charts/chart49.xml" ContentType="application/vnd.openxmlformats-officedocument.drawingml.chart+xml"/>
  <Override PartName="/xl/theme/themeOverride26.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updateLinks="never" codeName="ThisWorkbook" hidePivotFieldList="1"/>
  <mc:AlternateContent xmlns:mc="http://schemas.openxmlformats.org/markup-compatibility/2006">
    <mc:Choice Requires="x15">
      <x15ac:absPath xmlns:x15ac="http://schemas.microsoft.com/office/spreadsheetml/2010/11/ac" url="https://vodafone.sharepoint.com/sites/InfrastructureDelivery462/Shared Documents/01 Site Information/05 Network Capacity Management/Archive Plant Power Loading (Dulux)/Power Plant Loading 2024/"/>
    </mc:Choice>
  </mc:AlternateContent>
  <xr:revisionPtr revIDLastSave="0" documentId="8_{9C8F8B5C-10F4-415D-ADC4-1AD3694C73DA}" xr6:coauthVersionLast="47" xr6:coauthVersionMax="47" xr10:uidLastSave="{00000000-0000-0000-0000-000000000000}"/>
  <bookViews>
    <workbookView xWindow="-108" yWindow="-108" windowWidth="23256" windowHeight="12456" tabRatio="802" xr2:uid="{00000000-000D-0000-FFFF-FFFF00000000}"/>
  </bookViews>
  <sheets>
    <sheet name="Plant loading" sheetId="1" r:id="rId1"/>
    <sheet name="WIP - Modelling Worksheet" sheetId="111" r:id="rId2"/>
    <sheet name="Inverter Loading" sheetId="12" r:id="rId3"/>
    <sheet name="Plant Loading Property Report" sheetId="114" r:id="rId4"/>
    <sheet name="NFV" sheetId="115" r:id="rId5"/>
    <sheet name="Cab Floorspace" sheetId="26" r:id="rId6"/>
    <sheet name="Building Capability" sheetId="27" r:id="rId7"/>
    <sheet name="Battery Log" sheetId="29" r:id="rId8"/>
    <sheet name="Power figures" sheetId="4" r:id="rId9"/>
    <sheet name="Floorspace Calc" sheetId="32" state="hidden" r:id="rId10"/>
    <sheet name="Graphs" sheetId="100" r:id="rId11"/>
    <sheet name="12 Monthly Graph" sheetId="103" r:id="rId12"/>
    <sheet name="Exec Graphs (2)" sheetId="112" r:id="rId13"/>
    <sheet name=" AirCon Apr 21" sheetId="113" r:id="rId14"/>
    <sheet name="Dual Running Anaylsis" sheetId="104" state="hidden" r:id="rId15"/>
    <sheet name="Dual Running" sheetId="47" state="hidden" r:id="rId16"/>
    <sheet name="Rolling Figs" sheetId="64" state="hidden" r:id="rId17"/>
    <sheet name="ECO Mode" sheetId="86" state="hidden" r:id="rId18"/>
    <sheet name="Rectifier Reduction" sheetId="54" state="hidden" r:id="rId19"/>
    <sheet name="Title Page" sheetId="25" state="hidden" r:id="rId20"/>
    <sheet name="Info" sheetId="79" state="hidden" r:id="rId21"/>
    <sheet name="DC_9" sheetId="75" state="hidden" r:id="rId22"/>
    <sheet name="CHE Pwr" sheetId="58" state="hidden" r:id="rId23"/>
    <sheet name="Non-CHE Pwr" sheetId="77" state="hidden" r:id="rId24"/>
    <sheet name="Strat 12Mth DC" sheetId="63" state="hidden" r:id="rId25"/>
    <sheet name="StratSpace" sheetId="90" state="hidden" r:id="rId26"/>
    <sheet name="NS DC" sheetId="57" state="hidden" r:id="rId27"/>
    <sheet name="NS AC_DC" sheetId="61" state="hidden" r:id="rId28"/>
    <sheet name="NS12 Mth DC" sheetId="65" state="hidden" r:id="rId29"/>
    <sheet name="NS Space" sheetId="91" state="hidden" r:id="rId30"/>
    <sheet name="Bldg Pwr Type A+B" sheetId="66" state="hidden" r:id="rId31"/>
    <sheet name="Bldg Pwr Type A+B (2)" sheetId="93" state="hidden" r:id="rId32"/>
    <sheet name="PUE" sheetId="68" state="hidden" r:id="rId33"/>
    <sheet name="NW Agg Pwr" sheetId="82" state="hidden" r:id="rId34"/>
    <sheet name="Assumption" sheetId="74" state="hidden" r:id="rId35"/>
    <sheet name="XLD TSI Plant " sheetId="92" state="hidden" r:id="rId36"/>
    <sheet name="XGL TSI Plant" sheetId="95" state="hidden" r:id="rId37"/>
    <sheet name="XMS TSI Plant" sheetId="96" state="hidden" r:id="rId38"/>
    <sheet name="XBE TSI Plant" sheetId="97" state="hidden" r:id="rId39"/>
    <sheet name="PUE Values" sheetId="13" state="hidden" r:id="rId40"/>
    <sheet name="&lt;90% plants and sites" sheetId="116" r:id="rId41"/>
    <sheet name="Inverter Numbering" sheetId="117" r:id="rId42"/>
    <sheet name="BKLN06 &amp; XGL001 power_Capacity" sheetId="118" r:id="rId43"/>
  </sheets>
  <externalReferences>
    <externalReference r:id="rId44"/>
    <externalReference r:id="rId45"/>
    <externalReference r:id="rId46"/>
    <externalReference r:id="rId47"/>
    <externalReference r:id="rId48"/>
    <externalReference r:id="rId49"/>
    <externalReference r:id="rId50"/>
    <externalReference r:id="rId51"/>
  </externalReferences>
  <definedNames>
    <definedName name="_xlnm._FilterDatabase" localSheetId="13" hidden="1">' AirCon Apr 21'!$A$1:$WVS$293</definedName>
    <definedName name="_xlnm._FilterDatabase" localSheetId="7" hidden="1">'Battery Log'!$X$1:$X$231</definedName>
    <definedName name="_xlnm._FilterDatabase" localSheetId="41" hidden="1">'Inverter Numbering'!$A$1:$C$845</definedName>
    <definedName name="_xlnm._FilterDatabase" localSheetId="0" hidden="1">'Plant loading'!$A$3:$Z$118</definedName>
    <definedName name="aaaa" localSheetId="34">#REF!</definedName>
    <definedName name="aaaa" localSheetId="31">#REF!</definedName>
    <definedName name="aaaa" localSheetId="21">#REF!</definedName>
    <definedName name="aaaa" localSheetId="12">#REF!</definedName>
    <definedName name="aaaa" localSheetId="29">#REF!</definedName>
    <definedName name="aaaa" localSheetId="3">#REF!</definedName>
    <definedName name="aaaa" localSheetId="25">#REF!</definedName>
    <definedName name="aaaa" localSheetId="38">#REF!</definedName>
    <definedName name="aaaa" localSheetId="36">#REF!</definedName>
    <definedName name="aaaa" localSheetId="37">#REF!</definedName>
    <definedName name="aaaa">#REF!</definedName>
    <definedName name="Agg_sites_12mth" localSheetId="34">#REF!</definedName>
    <definedName name="Agg_sites_12mth" localSheetId="31">#REF!</definedName>
    <definedName name="Agg_sites_12mth" localSheetId="21">#REF!</definedName>
    <definedName name="Agg_sites_12mth" localSheetId="12">#REF!</definedName>
    <definedName name="Agg_sites_12mth" localSheetId="29">#REF!</definedName>
    <definedName name="Agg_sites_12mth" localSheetId="3">#REF!</definedName>
    <definedName name="Agg_sites_12mth" localSheetId="25">#REF!</definedName>
    <definedName name="Agg_sites_12mth" localSheetId="38">#REF!</definedName>
    <definedName name="Agg_sites_12mth" localSheetId="36">#REF!</definedName>
    <definedName name="Agg_sites_12mth" localSheetId="37">#REF!</definedName>
    <definedName name="Agg_sites_12mth">#REF!</definedName>
    <definedName name="bluerec" localSheetId="34">#REF!</definedName>
    <definedName name="bluerec" localSheetId="30">#REF!</definedName>
    <definedName name="bluerec" localSheetId="31">#REF!</definedName>
    <definedName name="bluerec" localSheetId="22">#REF!</definedName>
    <definedName name="bluerec" localSheetId="21">#REF!</definedName>
    <definedName name="bluerec" localSheetId="12">#REF!</definedName>
    <definedName name="bluerec" localSheetId="27">#REF!</definedName>
    <definedName name="bluerec" localSheetId="29">#REF!</definedName>
    <definedName name="bluerec" localSheetId="28">#REF!</definedName>
    <definedName name="bluerec" localSheetId="0">'Plant loading'!#REF!</definedName>
    <definedName name="bluerec" localSheetId="3">#REF!</definedName>
    <definedName name="bluerec" localSheetId="32">#REF!</definedName>
    <definedName name="bluerec" localSheetId="16">#REF!</definedName>
    <definedName name="bluerec" localSheetId="24">#REF!</definedName>
    <definedName name="bluerec" localSheetId="25">#REF!</definedName>
    <definedName name="bluerec" localSheetId="38">#REF!</definedName>
    <definedName name="bluerec" localSheetId="36">#REF!</definedName>
    <definedName name="bluerec" localSheetId="37">#REF!</definedName>
    <definedName name="bluerec">#REF!</definedName>
    <definedName name="fenixrec" localSheetId="34">#REF!</definedName>
    <definedName name="fenixrec" localSheetId="30">#REF!</definedName>
    <definedName name="fenixrec" localSheetId="31">#REF!</definedName>
    <definedName name="fenixrec" localSheetId="22">#REF!</definedName>
    <definedName name="fenixrec" localSheetId="21">#REF!</definedName>
    <definedName name="fenixrec" localSheetId="12">#REF!</definedName>
    <definedName name="fenixrec" localSheetId="27">#REF!</definedName>
    <definedName name="fenixrec" localSheetId="29">#REF!</definedName>
    <definedName name="fenixrec" localSheetId="28">#REF!</definedName>
    <definedName name="fenixrec" localSheetId="0">'Plant loading'!#REF!</definedName>
    <definedName name="fenixrec" localSheetId="3">#REF!</definedName>
    <definedName name="fenixrec" localSheetId="32">#REF!</definedName>
    <definedName name="fenixrec" localSheetId="16">#REF!</definedName>
    <definedName name="fenixrec" localSheetId="24">#REF!</definedName>
    <definedName name="fenixrec" localSheetId="25">#REF!</definedName>
    <definedName name="fenixrec" localSheetId="38">#REF!</definedName>
    <definedName name="fenixrec" localSheetId="36">#REF!</definedName>
    <definedName name="fenixrec" localSheetId="37">#REF!</definedName>
    <definedName name="fenixrec">#REF!</definedName>
    <definedName name="k3newrec" localSheetId="34">#REF!</definedName>
    <definedName name="k3newrec" localSheetId="30">#REF!</definedName>
    <definedName name="k3newrec" localSheetId="31">#REF!</definedName>
    <definedName name="k3newrec" localSheetId="22">#REF!</definedName>
    <definedName name="k3newrec" localSheetId="21">#REF!</definedName>
    <definedName name="k3newrec" localSheetId="12">#REF!</definedName>
    <definedName name="k3newrec" localSheetId="27">#REF!</definedName>
    <definedName name="k3newrec" localSheetId="29">#REF!</definedName>
    <definedName name="k3newrec" localSheetId="28">#REF!</definedName>
    <definedName name="k3newrec" localSheetId="0">'Plant loading'!#REF!</definedName>
    <definedName name="k3newrec" localSheetId="3">#REF!</definedName>
    <definedName name="k3newrec" localSheetId="32">#REF!</definedName>
    <definedName name="k3newrec" localSheetId="16">#REF!</definedName>
    <definedName name="k3newrec" localSheetId="24">#REF!</definedName>
    <definedName name="k3newrec" localSheetId="25">#REF!</definedName>
    <definedName name="k3newrec" localSheetId="38">#REF!</definedName>
    <definedName name="k3newrec" localSheetId="36">#REF!</definedName>
    <definedName name="k3newrec" localSheetId="37">#REF!</definedName>
    <definedName name="k3newrec">#REF!</definedName>
    <definedName name="k3oldrec" localSheetId="34">#REF!</definedName>
    <definedName name="k3oldrec" localSheetId="30">#REF!</definedName>
    <definedName name="k3oldrec" localSheetId="31">#REF!</definedName>
    <definedName name="k3oldrec" localSheetId="22">#REF!</definedName>
    <definedName name="k3oldrec" localSheetId="21">#REF!</definedName>
    <definedName name="k3oldrec" localSheetId="12">#REF!</definedName>
    <definedName name="k3oldrec" localSheetId="27">#REF!</definedName>
    <definedName name="k3oldrec" localSheetId="29">#REF!</definedName>
    <definedName name="k3oldrec" localSheetId="28">#REF!</definedName>
    <definedName name="k3oldrec" localSheetId="0">'Plant loading'!#REF!</definedName>
    <definedName name="k3oldrec" localSheetId="3">#REF!</definedName>
    <definedName name="k3oldrec" localSheetId="32">#REF!</definedName>
    <definedName name="k3oldrec" localSheetId="16">#REF!</definedName>
    <definedName name="k3oldrec" localSheetId="24">#REF!</definedName>
    <definedName name="k3oldrec" localSheetId="25">#REF!</definedName>
    <definedName name="k3oldrec" localSheetId="38">#REF!</definedName>
    <definedName name="k3oldrec" localSheetId="36">#REF!</definedName>
    <definedName name="k3oldrec" localSheetId="37">#REF!</definedName>
    <definedName name="k3oldrec">#REF!</definedName>
    <definedName name="k86rec" localSheetId="34">#REF!</definedName>
    <definedName name="k86rec" localSheetId="30">#REF!</definedName>
    <definedName name="k86rec" localSheetId="31">#REF!</definedName>
    <definedName name="k86rec" localSheetId="22">#REF!</definedName>
    <definedName name="k86rec" localSheetId="21">#REF!</definedName>
    <definedName name="k86rec" localSheetId="12">#REF!</definedName>
    <definedName name="k86rec" localSheetId="27">#REF!</definedName>
    <definedName name="k86rec" localSheetId="29">#REF!</definedName>
    <definedName name="k86rec" localSheetId="28">#REF!</definedName>
    <definedName name="k86rec" localSheetId="0">'Plant loading'!#REF!</definedName>
    <definedName name="k86rec" localSheetId="3">#REF!</definedName>
    <definedName name="k86rec" localSheetId="32">#REF!</definedName>
    <definedName name="k86rec" localSheetId="16">#REF!</definedName>
    <definedName name="k86rec" localSheetId="24">#REF!</definedName>
    <definedName name="k86rec" localSheetId="25">#REF!</definedName>
    <definedName name="k86rec" localSheetId="38">#REF!</definedName>
    <definedName name="k86rec" localSheetId="36">#REF!</definedName>
    <definedName name="k86rec" localSheetId="37">#REF!</definedName>
    <definedName name="k86rec">#REF!</definedName>
    <definedName name="l" localSheetId="12">#REF!</definedName>
    <definedName name="l" localSheetId="3">#REF!</definedName>
    <definedName name="l">#REF!</definedName>
    <definedName name="PowerElementType" localSheetId="14">'[1]Plant loading'!$A$123:$A$124</definedName>
    <definedName name="PowerElementType" localSheetId="12">'[2]Plant loading'!$A$124:$A$125</definedName>
    <definedName name="PowerElementType" localSheetId="3">'[3]Plant loading'!$A$157:$A$158</definedName>
    <definedName name="PowerElementType">'Plant loading'!$A$126:$A$129</definedName>
    <definedName name="_xlnm.Print_Area" localSheetId="22">'CHE Pwr'!$A$1:$AF$84</definedName>
    <definedName name="_xlnm.Print_Area" localSheetId="21">DC_9!$A$1:$Z$74</definedName>
    <definedName name="_xlnm.Print_Area" localSheetId="28">'NS12 Mth DC'!$A$1:$AB$74</definedName>
    <definedName name="_xlnm.Print_Area" localSheetId="33">'NW Agg Pwr'!$A$1:$Z$71</definedName>
    <definedName name="_xlnm.Print_Area" localSheetId="0">'Plant loading'!$A$2:$Z$16</definedName>
    <definedName name="_xlnm.Print_Area" localSheetId="32">PUE!$A$1:$AC$80</definedName>
    <definedName name="_xlnm.Print_Area" localSheetId="24">'Strat 12Mth DC'!$A$1:$AA$73</definedName>
    <definedName name="robustrec" localSheetId="34">#REF!</definedName>
    <definedName name="robustrec" localSheetId="30">#REF!</definedName>
    <definedName name="robustrec" localSheetId="31">#REF!</definedName>
    <definedName name="robustrec" localSheetId="22">#REF!</definedName>
    <definedName name="robustrec" localSheetId="21">#REF!</definedName>
    <definedName name="robustrec" localSheetId="12">#REF!</definedName>
    <definedName name="robustrec" localSheetId="27">#REF!</definedName>
    <definedName name="robustrec" localSheetId="29">#REF!</definedName>
    <definedName name="robustrec" localSheetId="28">#REF!</definedName>
    <definedName name="robustrec" localSheetId="0">'Plant loading'!#REF!</definedName>
    <definedName name="robustrec" localSheetId="3">#REF!</definedName>
    <definedName name="robustrec" localSheetId="32">#REF!</definedName>
    <definedName name="robustrec" localSheetId="16">#REF!</definedName>
    <definedName name="robustrec" localSheetId="24">#REF!</definedName>
    <definedName name="robustrec" localSheetId="25">#REF!</definedName>
    <definedName name="robustrec" localSheetId="38">#REF!</definedName>
    <definedName name="robustrec" localSheetId="36">#REF!</definedName>
    <definedName name="robustrec" localSheetId="37">#REF!</definedName>
    <definedName name="robustrec">#REF!</definedName>
    <definedName name="test" localSheetId="31">#REF!</definedName>
    <definedName name="test" localSheetId="12">#REF!</definedName>
    <definedName name="test" localSheetId="3">#REF!</definedName>
    <definedName name="test" localSheetId="38">#REF!</definedName>
    <definedName name="test" localSheetId="36">#REF!</definedName>
    <definedName name="test" localSheetId="37">#REF!</definedName>
    <definedName name="test">#REF!</definedName>
    <definedName name="Z_759D43B0_06FA_4A69_BB8B_D0E660486465_.wvu.FilterData" localSheetId="0" hidden="1">'Plant loading'!$A$3:$L$118</definedName>
    <definedName name="Z_759D43B0_06FA_4A69_BB8B_D0E660486465_.wvu.PrintArea" localSheetId="0" hidden="1">'Plant loading'!$A$2:$AA$93</definedName>
  </definedNames>
  <calcPr calcId="191028"/>
  <customWorkbookViews>
    <customWorkbookView name="Dan Frost - Personal View" guid="{759D43B0-06FA-4A69-BB8B-D0E660486465}" mergeInterval="0" personalView="1" maximized="1" windowWidth="1276" windowHeight="825" activeSheetId="2"/>
  </customWorkbookViews>
  <pivotCaches>
    <pivotCache cacheId="45" r:id="rId5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 i="12" l="1"/>
  <c r="M23" i="12"/>
  <c r="G52" i="118"/>
  <c r="M23" i="118"/>
  <c r="M22" i="118"/>
  <c r="M21" i="118"/>
  <c r="M17" i="118"/>
  <c r="M18" i="118" s="1"/>
  <c r="M14" i="118"/>
  <c r="M13" i="118"/>
  <c r="M12" i="118"/>
  <c r="M8" i="118"/>
  <c r="M9" i="118" s="1"/>
  <c r="L23" i="118"/>
  <c r="L22" i="118"/>
  <c r="L21" i="118"/>
  <c r="L17" i="118"/>
  <c r="L18" i="118" s="1"/>
  <c r="L14" i="118"/>
  <c r="L13" i="118"/>
  <c r="L12" i="118"/>
  <c r="L8" i="118"/>
  <c r="L9" i="118" s="1"/>
  <c r="K23" i="118"/>
  <c r="K22" i="118"/>
  <c r="K21" i="118"/>
  <c r="K17" i="118"/>
  <c r="K18" i="118" s="1"/>
  <c r="K14" i="118"/>
  <c r="K13" i="118"/>
  <c r="K12" i="118"/>
  <c r="K8" i="118"/>
  <c r="K9" i="118" s="1"/>
  <c r="J23" i="118"/>
  <c r="J22" i="118"/>
  <c r="J21" i="118"/>
  <c r="J17" i="118"/>
  <c r="J18" i="118" s="1"/>
  <c r="J14" i="118"/>
  <c r="J13" i="118"/>
  <c r="J12" i="118"/>
  <c r="J8" i="118"/>
  <c r="I23" i="118"/>
  <c r="I22" i="118"/>
  <c r="I21" i="118"/>
  <c r="I17" i="118"/>
  <c r="I18" i="118" s="1"/>
  <c r="I14" i="118"/>
  <c r="I13" i="118"/>
  <c r="I12" i="118"/>
  <c r="I8" i="118"/>
  <c r="I9" i="118" s="1"/>
  <c r="G8" i="118"/>
  <c r="G9" i="118" s="1"/>
  <c r="F8" i="118"/>
  <c r="F9" i="118" s="1"/>
  <c r="G23" i="118"/>
  <c r="G22" i="118"/>
  <c r="G21" i="118"/>
  <c r="G17" i="118"/>
  <c r="G18" i="118" s="1"/>
  <c r="G14" i="118"/>
  <c r="G13" i="118"/>
  <c r="G12" i="118"/>
  <c r="F14" i="118"/>
  <c r="F13" i="118"/>
  <c r="C62" i="118"/>
  <c r="D62" i="118" s="1"/>
  <c r="E62" i="118" s="1"/>
  <c r="C61" i="118"/>
  <c r="D61" i="118" s="1"/>
  <c r="E61" i="118" s="1"/>
  <c r="E57" i="118"/>
  <c r="D57" i="118"/>
  <c r="C57" i="118"/>
  <c r="B57" i="118"/>
  <c r="E56" i="118"/>
  <c r="D56" i="118"/>
  <c r="C56" i="118"/>
  <c r="B56" i="118"/>
  <c r="E55" i="118"/>
  <c r="D55" i="118"/>
  <c r="C55" i="118"/>
  <c r="B55" i="118"/>
  <c r="E51" i="118"/>
  <c r="E52" i="118" s="1"/>
  <c r="D51" i="118"/>
  <c r="D52" i="118" s="1"/>
  <c r="C51" i="118"/>
  <c r="C52" i="118" s="1"/>
  <c r="B51" i="118"/>
  <c r="E48" i="118"/>
  <c r="D48" i="118"/>
  <c r="C48" i="118"/>
  <c r="B48" i="118"/>
  <c r="E47" i="118"/>
  <c r="D47" i="118"/>
  <c r="C47" i="118"/>
  <c r="B47" i="118"/>
  <c r="E46" i="118"/>
  <c r="D46" i="118"/>
  <c r="C46" i="118"/>
  <c r="B46" i="118"/>
  <c r="E42" i="118"/>
  <c r="E43" i="118" s="1"/>
  <c r="D42" i="118"/>
  <c r="D43" i="118" s="1"/>
  <c r="C42" i="118"/>
  <c r="C43" i="118" s="1"/>
  <c r="B42" i="118"/>
  <c r="B43" i="118" s="1"/>
  <c r="C28" i="118"/>
  <c r="D28" i="118" s="1"/>
  <c r="E28" i="118" s="1"/>
  <c r="C27" i="118"/>
  <c r="D27" i="118" s="1"/>
  <c r="E27" i="118" s="1"/>
  <c r="E23" i="118"/>
  <c r="D23" i="118"/>
  <c r="C23" i="118"/>
  <c r="B23" i="118"/>
  <c r="E22" i="118"/>
  <c r="D22" i="118"/>
  <c r="C22" i="118"/>
  <c r="B22" i="118"/>
  <c r="E21" i="118"/>
  <c r="D21" i="118"/>
  <c r="C21" i="118"/>
  <c r="B21" i="118"/>
  <c r="E17" i="118"/>
  <c r="E18" i="118" s="1"/>
  <c r="D17" i="118"/>
  <c r="D18" i="118" s="1"/>
  <c r="C17" i="118"/>
  <c r="C18" i="118" s="1"/>
  <c r="B17" i="118"/>
  <c r="E14" i="118"/>
  <c r="D14" i="118"/>
  <c r="C14" i="118"/>
  <c r="B14" i="118"/>
  <c r="E13" i="118"/>
  <c r="D13" i="118"/>
  <c r="C13" i="118"/>
  <c r="B13" i="118"/>
  <c r="E12" i="118"/>
  <c r="D12" i="118"/>
  <c r="C12" i="118"/>
  <c r="B12" i="118"/>
  <c r="J9" i="118"/>
  <c r="E8" i="118"/>
  <c r="E9" i="118" s="1"/>
  <c r="D8" i="118"/>
  <c r="D9" i="118" s="1"/>
  <c r="C8" i="118"/>
  <c r="C9" i="118" s="1"/>
  <c r="B8" i="118"/>
  <c r="B9" i="118" s="1"/>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30" i="12"/>
  <c r="J31" i="12"/>
  <c r="J32" i="12"/>
  <c r="J33" i="12"/>
  <c r="J34" i="12"/>
  <c r="J35" i="12"/>
  <c r="J36" i="12"/>
  <c r="J37" i="12"/>
  <c r="J38" i="12"/>
  <c r="J39" i="12"/>
  <c r="J40" i="12"/>
  <c r="J41" i="12"/>
  <c r="K77" i="1"/>
  <c r="K76" i="1"/>
  <c r="K75" i="1"/>
  <c r="K74" i="1"/>
  <c r="K73" i="1"/>
  <c r="K72" i="1"/>
  <c r="B3" i="29"/>
  <c r="O56" i="12"/>
  <c r="K56" i="12"/>
  <c r="L56" i="12" s="1"/>
  <c r="G56" i="12"/>
  <c r="I56" i="12" s="1"/>
  <c r="E63" i="118" l="1"/>
  <c r="F51" i="118"/>
  <c r="N17" i="118"/>
  <c r="B52" i="118"/>
  <c r="F52" i="118" s="1"/>
  <c r="F43" i="118"/>
  <c r="G43" i="118" s="1"/>
  <c r="E29" i="118"/>
  <c r="F42" i="118"/>
  <c r="B18" i="118"/>
  <c r="N18" i="118" s="1"/>
  <c r="O18" i="118" s="1"/>
  <c r="H56" i="12"/>
  <c r="H14" i="26" l="1"/>
  <c r="T34" i="12"/>
  <c r="T35" i="12"/>
  <c r="T32" i="12"/>
  <c r="T33" i="12"/>
  <c r="H8" i="26"/>
  <c r="T22" i="12"/>
  <c r="T23" i="12"/>
  <c r="K58" i="1"/>
  <c r="K59" i="1"/>
  <c r="K60" i="1"/>
  <c r="K61" i="1"/>
  <c r="K79" i="1"/>
  <c r="K78" i="1"/>
  <c r="K57" i="1" l="1"/>
  <c r="AB31" i="29"/>
  <c r="B129" i="1" l="1"/>
  <c r="C129" i="1"/>
  <c r="K56" i="1"/>
  <c r="A39" i="29"/>
  <c r="L38" i="1"/>
  <c r="L37" i="1"/>
  <c r="L79" i="1"/>
  <c r="Q13" i="115"/>
  <c r="N62" i="1"/>
  <c r="N63" i="1"/>
  <c r="J13" i="115"/>
  <c r="Z7" i="115"/>
  <c r="Z8" i="115"/>
  <c r="Z9" i="115"/>
  <c r="Z10" i="115"/>
  <c r="Z6" i="115"/>
  <c r="S13" i="115"/>
  <c r="N13" i="115"/>
  <c r="N12" i="115"/>
  <c r="N11" i="115"/>
  <c r="N10" i="115"/>
  <c r="N9" i="115"/>
  <c r="N8" i="115"/>
  <c r="N7" i="115"/>
  <c r="N6" i="115"/>
  <c r="M13" i="115" l="1"/>
  <c r="V13" i="115" s="1"/>
  <c r="M12" i="115"/>
  <c r="V12" i="115" s="1"/>
  <c r="M11" i="115"/>
  <c r="V11" i="115" s="1"/>
  <c r="M10" i="115"/>
  <c r="V10" i="115" s="1"/>
  <c r="M9" i="115"/>
  <c r="V9" i="115" s="1"/>
  <c r="M8" i="115"/>
  <c r="V8" i="115" s="1"/>
  <c r="M7" i="115"/>
  <c r="V7" i="115" s="1"/>
  <c r="M6" i="115"/>
  <c r="V6" i="115" s="1"/>
  <c r="F13" i="115" l="1"/>
  <c r="E13" i="115"/>
  <c r="L13" i="115" s="1"/>
  <c r="T13" i="115" l="1"/>
  <c r="R13" i="115"/>
  <c r="K13" i="115"/>
  <c r="O13" i="115" s="1"/>
  <c r="L56" i="1" l="1"/>
  <c r="L62" i="1"/>
  <c r="L63" i="1"/>
  <c r="B82" i="29"/>
  <c r="AB82" i="29" s="1"/>
  <c r="B83" i="29"/>
  <c r="AB83" i="29" s="1"/>
  <c r="B74" i="29"/>
  <c r="AB74" i="29" s="1"/>
  <c r="B75" i="29"/>
  <c r="AB75" i="29" s="1"/>
  <c r="B66" i="29"/>
  <c r="AB66" i="29" s="1"/>
  <c r="B67" i="29"/>
  <c r="AB67" i="29" s="1"/>
  <c r="B49" i="29"/>
  <c r="AB49" i="29" s="1"/>
  <c r="B50" i="29"/>
  <c r="AB50" i="29" s="1"/>
  <c r="B41" i="29"/>
  <c r="AB41" i="29" s="1"/>
  <c r="B42" i="29"/>
  <c r="AB42" i="29" s="1"/>
  <c r="R66" i="29"/>
  <c r="R67" i="29"/>
  <c r="C67" i="29"/>
  <c r="S67" i="29" s="1"/>
  <c r="C66" i="29"/>
  <c r="A66" i="29"/>
  <c r="A67" i="29"/>
  <c r="R74" i="29"/>
  <c r="R75" i="29"/>
  <c r="C74" i="29"/>
  <c r="S74" i="29" s="1"/>
  <c r="C75" i="29"/>
  <c r="A74" i="29"/>
  <c r="A75" i="29"/>
  <c r="R49" i="29"/>
  <c r="R50" i="29"/>
  <c r="C49" i="29"/>
  <c r="C50" i="29"/>
  <c r="S50" i="29" s="1"/>
  <c r="A49" i="29"/>
  <c r="A50" i="29"/>
  <c r="R82" i="29"/>
  <c r="R83" i="29"/>
  <c r="C82" i="29"/>
  <c r="S82" i="29" s="1"/>
  <c r="C83" i="29"/>
  <c r="A82" i="29"/>
  <c r="A83" i="29"/>
  <c r="A84" i="29"/>
  <c r="AA84" i="29" s="1"/>
  <c r="B84" i="29"/>
  <c r="AB84" i="29" s="1"/>
  <c r="C84" i="29"/>
  <c r="R84" i="29"/>
  <c r="C41" i="29"/>
  <c r="C42" i="29"/>
  <c r="R41" i="29"/>
  <c r="R42" i="29"/>
  <c r="A41" i="29"/>
  <c r="A42" i="29"/>
  <c r="T19" i="12"/>
  <c r="F38" i="26"/>
  <c r="D12" i="4"/>
  <c r="I7" i="4"/>
  <c r="D7" i="4"/>
  <c r="A112" i="114"/>
  <c r="B112" i="114"/>
  <c r="C112" i="114"/>
  <c r="E112" i="114"/>
  <c r="F112" i="114"/>
  <c r="A113" i="114"/>
  <c r="B113" i="114"/>
  <c r="C113" i="114"/>
  <c r="E113" i="114"/>
  <c r="F113" i="114"/>
  <c r="G113" i="114"/>
  <c r="A71" i="114"/>
  <c r="B71" i="114"/>
  <c r="C71" i="114"/>
  <c r="E71" i="114"/>
  <c r="F71" i="114"/>
  <c r="A72" i="114"/>
  <c r="B72" i="114"/>
  <c r="C72" i="114"/>
  <c r="E72" i="114"/>
  <c r="F72" i="114"/>
  <c r="A79" i="114"/>
  <c r="B79" i="114"/>
  <c r="C79" i="114"/>
  <c r="E79" i="114"/>
  <c r="F79" i="114"/>
  <c r="A80" i="114"/>
  <c r="B80" i="114"/>
  <c r="C80" i="114"/>
  <c r="E80" i="114"/>
  <c r="F80" i="114"/>
  <c r="G32" i="1"/>
  <c r="G8" i="115" s="1"/>
  <c r="Q37" i="1"/>
  <c r="Q38" i="1"/>
  <c r="N38" i="1"/>
  <c r="M38" i="1"/>
  <c r="F38" i="1" s="1"/>
  <c r="J38" i="1"/>
  <c r="H72" i="114" s="1"/>
  <c r="N37" i="1"/>
  <c r="M37" i="1"/>
  <c r="F37" i="1" s="1"/>
  <c r="J37" i="1"/>
  <c r="H71" i="114" s="1"/>
  <c r="G22" i="12"/>
  <c r="G23" i="12"/>
  <c r="S66" i="29" l="1"/>
  <c r="S42" i="29"/>
  <c r="S41" i="29"/>
  <c r="S84" i="29"/>
  <c r="G71" i="114"/>
  <c r="G72" i="114"/>
  <c r="D72" i="114"/>
  <c r="D71" i="114"/>
  <c r="S83" i="29"/>
  <c r="S75" i="29"/>
  <c r="S49" i="29"/>
  <c r="S38" i="1"/>
  <c r="U38" i="1" s="1"/>
  <c r="S37" i="1"/>
  <c r="O37" i="1"/>
  <c r="O38" i="1"/>
  <c r="M26" i="26"/>
  <c r="M24" i="26"/>
  <c r="M23" i="26"/>
  <c r="M22" i="26"/>
  <c r="M33" i="26"/>
  <c r="W38" i="1" l="1"/>
  <c r="W37" i="1"/>
  <c r="U37" i="1"/>
  <c r="L71" i="1"/>
  <c r="L70" i="1"/>
  <c r="M8" i="12" l="1"/>
  <c r="I11" i="4"/>
  <c r="I12" i="4"/>
  <c r="I10" i="4"/>
  <c r="I8" i="4"/>
  <c r="D8" i="4"/>
  <c r="J79" i="1"/>
  <c r="H113" i="114" s="1"/>
  <c r="L78" i="1"/>
  <c r="J78" i="1"/>
  <c r="H112" i="114" s="1"/>
  <c r="L46" i="1"/>
  <c r="G80" i="114" s="1"/>
  <c r="J46" i="1"/>
  <c r="H80" i="114" s="1"/>
  <c r="L45" i="1"/>
  <c r="G79" i="114" s="1"/>
  <c r="J45" i="1"/>
  <c r="H79" i="114" s="1"/>
  <c r="M78" i="1" l="1"/>
  <c r="F78" i="1" s="1"/>
  <c r="G112" i="114"/>
  <c r="G72" i="1"/>
  <c r="G6" i="115" s="1"/>
  <c r="Q79" i="1"/>
  <c r="N79" i="1"/>
  <c r="M79" i="1"/>
  <c r="F79" i="1" s="1"/>
  <c r="Q78" i="1"/>
  <c r="N78" i="1"/>
  <c r="G39" i="1"/>
  <c r="G7" i="115" s="1"/>
  <c r="Q46" i="1"/>
  <c r="N46" i="1"/>
  <c r="M46" i="1"/>
  <c r="Q45" i="1"/>
  <c r="N45" i="1"/>
  <c r="M45" i="1"/>
  <c r="D80" i="114" l="1"/>
  <c r="D79" i="114"/>
  <c r="D113" i="114"/>
  <c r="D112" i="114"/>
  <c r="S45" i="1"/>
  <c r="W45" i="1" s="1"/>
  <c r="Y45" i="1" s="1"/>
  <c r="S78" i="1"/>
  <c r="U78" i="1" s="1"/>
  <c r="O79" i="1"/>
  <c r="O78" i="1"/>
  <c r="S79" i="1"/>
  <c r="S46" i="1"/>
  <c r="W46" i="1" s="1"/>
  <c r="Y46" i="1" s="1"/>
  <c r="F45" i="1"/>
  <c r="F46" i="1"/>
  <c r="O45" i="1"/>
  <c r="O46" i="1"/>
  <c r="S43" i="26" a="1"/>
  <c r="S43" i="26" s="1"/>
  <c r="T23" i="26"/>
  <c r="T24" i="26"/>
  <c r="T25" i="26"/>
  <c r="T26" i="26"/>
  <c r="T27" i="26"/>
  <c r="T28" i="26"/>
  <c r="T33" i="26"/>
  <c r="T34" i="26"/>
  <c r="T35" i="26"/>
  <c r="T36" i="26"/>
  <c r="T37" i="26"/>
  <c r="T38" i="26"/>
  <c r="T39" i="26"/>
  <c r="T40" i="26"/>
  <c r="T41" i="26"/>
  <c r="T42" i="26"/>
  <c r="T22" i="26"/>
  <c r="U43" i="26" s="1" a="1"/>
  <c r="U43" i="26" s="1"/>
  <c r="Q14" i="1"/>
  <c r="G4" i="1"/>
  <c r="W78" i="1" l="1"/>
  <c r="Y78" i="1" s="1"/>
  <c r="U45" i="1"/>
  <c r="U79" i="1"/>
  <c r="W79" i="1"/>
  <c r="Y79" i="1" s="1"/>
  <c r="U46" i="1"/>
  <c r="S52" i="12" l="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85" i="1"/>
  <c r="Q86" i="1"/>
  <c r="Q87" i="1"/>
  <c r="Q88" i="1"/>
  <c r="Q13" i="1"/>
  <c r="S23" i="12" l="1"/>
  <c r="O23" i="12"/>
  <c r="N23" i="12" s="1"/>
  <c r="S22" i="12"/>
  <c r="O22" i="12"/>
  <c r="N22" i="12" s="1"/>
  <c r="I22" i="12"/>
  <c r="I23" i="12" l="1"/>
  <c r="H23" i="12"/>
  <c r="U23" i="12"/>
  <c r="V23" i="12" s="1"/>
  <c r="H22" i="12"/>
  <c r="U22" i="12" s="1"/>
  <c r="V22" i="12" s="1"/>
  <c r="B141" i="29" l="1"/>
  <c r="Q44" i="1" l="1"/>
  <c r="Q42" i="1"/>
  <c r="Q41" i="1"/>
  <c r="Q39" i="1"/>
  <c r="M20" i="12" l="1"/>
  <c r="M21" i="12"/>
  <c r="G105" i="1"/>
  <c r="J105" i="1"/>
  <c r="L105" i="1"/>
  <c r="M105" i="1" s="1"/>
  <c r="N105" i="1"/>
  <c r="S105" i="1" s="1"/>
  <c r="J106" i="1"/>
  <c r="L106" i="1"/>
  <c r="M106" i="1" s="1"/>
  <c r="N106" i="1"/>
  <c r="R105" i="1" l="1"/>
  <c r="S106" i="1"/>
  <c r="W106" i="1" s="1"/>
  <c r="U105" i="1"/>
  <c r="F105" i="1"/>
  <c r="W105" i="1"/>
  <c r="P105" i="1"/>
  <c r="F106" i="1"/>
  <c r="U106" i="1" l="1"/>
  <c r="S20" i="12" l="1"/>
  <c r="C128" i="1" l="1"/>
  <c r="B128" i="1"/>
  <c r="J63" i="1" l="1"/>
  <c r="J62" i="1"/>
  <c r="M71" i="1"/>
  <c r="F71" i="1" s="1"/>
  <c r="J71" i="1"/>
  <c r="H105" i="114" s="1"/>
  <c r="J70" i="1"/>
  <c r="H104" i="114" s="1"/>
  <c r="D11" i="4"/>
  <c r="E104" i="114"/>
  <c r="F104" i="114"/>
  <c r="E105" i="114"/>
  <c r="F105" i="114"/>
  <c r="C104" i="114"/>
  <c r="C105" i="114"/>
  <c r="B104" i="114"/>
  <c r="B105" i="114"/>
  <c r="N70" i="1"/>
  <c r="N71" i="1"/>
  <c r="Q70" i="1"/>
  <c r="Q71" i="1"/>
  <c r="G64" i="1"/>
  <c r="G11" i="115" s="1"/>
  <c r="M70" i="1" l="1"/>
  <c r="F70" i="1" s="1"/>
  <c r="D104" i="114"/>
  <c r="G105" i="114"/>
  <c r="G104" i="114"/>
  <c r="D105" i="114"/>
  <c r="S70" i="1"/>
  <c r="S71" i="1"/>
  <c r="W71" i="1" s="1"/>
  <c r="Y71" i="1" s="1"/>
  <c r="O71" i="1"/>
  <c r="H96" i="114"/>
  <c r="H97" i="114"/>
  <c r="G96" i="114"/>
  <c r="G97" i="114"/>
  <c r="F38" i="114"/>
  <c r="F39" i="114"/>
  <c r="F40" i="114"/>
  <c r="F41" i="114"/>
  <c r="F42" i="114"/>
  <c r="F43" i="114"/>
  <c r="F44" i="114"/>
  <c r="F45" i="114"/>
  <c r="F46" i="114"/>
  <c r="F47" i="114"/>
  <c r="F48" i="114"/>
  <c r="F49" i="114"/>
  <c r="F50" i="114"/>
  <c r="F51" i="114"/>
  <c r="F52" i="114"/>
  <c r="F53" i="114"/>
  <c r="F54" i="114"/>
  <c r="F55" i="114"/>
  <c r="F56" i="114"/>
  <c r="F57" i="114"/>
  <c r="F58" i="114"/>
  <c r="F59" i="114"/>
  <c r="F60" i="114"/>
  <c r="F61" i="114"/>
  <c r="F62" i="114"/>
  <c r="F63" i="114"/>
  <c r="F64" i="114"/>
  <c r="F65" i="114"/>
  <c r="F66" i="114"/>
  <c r="F67" i="114"/>
  <c r="F68" i="114"/>
  <c r="F69" i="114"/>
  <c r="F70" i="114"/>
  <c r="F73" i="114"/>
  <c r="F74" i="114"/>
  <c r="F75" i="114"/>
  <c r="F76" i="114"/>
  <c r="F77" i="114"/>
  <c r="F78" i="114"/>
  <c r="F81" i="114"/>
  <c r="F82" i="114"/>
  <c r="F83" i="114"/>
  <c r="F84" i="114"/>
  <c r="F85" i="114"/>
  <c r="F86" i="114"/>
  <c r="F87" i="114"/>
  <c r="F88" i="114"/>
  <c r="F89" i="114"/>
  <c r="F90" i="114"/>
  <c r="F91" i="114"/>
  <c r="F92" i="114"/>
  <c r="F93" i="114"/>
  <c r="F94" i="114"/>
  <c r="F95" i="114"/>
  <c r="F96" i="114"/>
  <c r="F97" i="114"/>
  <c r="F98" i="114"/>
  <c r="F99" i="114"/>
  <c r="F100" i="114"/>
  <c r="F101" i="114"/>
  <c r="F102" i="114"/>
  <c r="F103" i="114"/>
  <c r="F106" i="114"/>
  <c r="F107" i="114"/>
  <c r="F108" i="114"/>
  <c r="F109" i="114"/>
  <c r="F110" i="114"/>
  <c r="F111" i="114"/>
  <c r="F114" i="114"/>
  <c r="F115" i="114"/>
  <c r="F116" i="114"/>
  <c r="F117" i="114"/>
  <c r="F118" i="114"/>
  <c r="F119" i="114"/>
  <c r="F120" i="114"/>
  <c r="F121" i="114"/>
  <c r="F122" i="114"/>
  <c r="F123" i="114"/>
  <c r="F124" i="114"/>
  <c r="F125" i="114"/>
  <c r="F126" i="114"/>
  <c r="F127" i="114"/>
  <c r="E38" i="114"/>
  <c r="E39" i="114"/>
  <c r="E40" i="114"/>
  <c r="E41" i="114"/>
  <c r="E42" i="114"/>
  <c r="E43" i="114"/>
  <c r="E44" i="114"/>
  <c r="E45" i="114"/>
  <c r="E46" i="114"/>
  <c r="E47" i="114"/>
  <c r="E48" i="114"/>
  <c r="E49" i="114"/>
  <c r="E50" i="114"/>
  <c r="E51" i="114"/>
  <c r="E52" i="114"/>
  <c r="E53" i="114"/>
  <c r="E54" i="114"/>
  <c r="E55" i="114"/>
  <c r="E56" i="114"/>
  <c r="E57" i="114"/>
  <c r="E58" i="114"/>
  <c r="E59" i="114"/>
  <c r="E60" i="114"/>
  <c r="E61" i="114"/>
  <c r="E62" i="114"/>
  <c r="E63" i="114"/>
  <c r="E64" i="114"/>
  <c r="E65" i="114"/>
  <c r="E66" i="114"/>
  <c r="E67" i="114"/>
  <c r="E68" i="114"/>
  <c r="E69" i="114"/>
  <c r="E70" i="114"/>
  <c r="E73" i="114"/>
  <c r="E74" i="114"/>
  <c r="E75" i="114"/>
  <c r="E76" i="114"/>
  <c r="E77" i="114"/>
  <c r="E78" i="114"/>
  <c r="E81" i="114"/>
  <c r="E82" i="114"/>
  <c r="E83" i="114"/>
  <c r="E84" i="114"/>
  <c r="E85" i="114"/>
  <c r="E86" i="114"/>
  <c r="E87" i="114"/>
  <c r="E88" i="114"/>
  <c r="E89" i="114"/>
  <c r="E90" i="114"/>
  <c r="E91" i="114"/>
  <c r="E92" i="114"/>
  <c r="E93" i="114"/>
  <c r="E94" i="114"/>
  <c r="E95" i="114"/>
  <c r="E96" i="114"/>
  <c r="E97" i="114"/>
  <c r="E98" i="114"/>
  <c r="E99" i="114"/>
  <c r="E100" i="114"/>
  <c r="E101" i="114"/>
  <c r="E102" i="114"/>
  <c r="E103" i="114"/>
  <c r="E106" i="114"/>
  <c r="E107" i="114"/>
  <c r="E108" i="114"/>
  <c r="E109" i="114"/>
  <c r="E110" i="114"/>
  <c r="E111" i="114"/>
  <c r="E114" i="114"/>
  <c r="E115" i="114"/>
  <c r="E116" i="114"/>
  <c r="E117" i="114"/>
  <c r="E118" i="114"/>
  <c r="E119" i="114"/>
  <c r="E120" i="114"/>
  <c r="E121" i="114"/>
  <c r="E122" i="114"/>
  <c r="E123" i="114"/>
  <c r="E124" i="114"/>
  <c r="E125" i="114"/>
  <c r="E126" i="114"/>
  <c r="E127" i="114"/>
  <c r="C38" i="114"/>
  <c r="C39" i="114"/>
  <c r="C40" i="114"/>
  <c r="C41" i="114"/>
  <c r="C42" i="114"/>
  <c r="C43" i="114"/>
  <c r="C44" i="114"/>
  <c r="C45" i="114"/>
  <c r="C46" i="114"/>
  <c r="C47" i="114"/>
  <c r="C48" i="114"/>
  <c r="C49" i="114"/>
  <c r="C50" i="114"/>
  <c r="C51" i="114"/>
  <c r="C52" i="114"/>
  <c r="C53" i="114"/>
  <c r="C54" i="114"/>
  <c r="C55" i="114"/>
  <c r="C56" i="114"/>
  <c r="C57" i="114"/>
  <c r="C58" i="114"/>
  <c r="C59" i="114"/>
  <c r="C60" i="114"/>
  <c r="C61" i="114"/>
  <c r="C62" i="114"/>
  <c r="C63" i="114"/>
  <c r="C64" i="114"/>
  <c r="C65" i="114"/>
  <c r="C66" i="114"/>
  <c r="C67" i="114"/>
  <c r="C68" i="114"/>
  <c r="C69" i="114"/>
  <c r="C70" i="114"/>
  <c r="C73" i="114"/>
  <c r="C74" i="114"/>
  <c r="C75" i="114"/>
  <c r="C76" i="114"/>
  <c r="C77" i="114"/>
  <c r="C78" i="114"/>
  <c r="C81" i="114"/>
  <c r="C82" i="114"/>
  <c r="C83" i="114"/>
  <c r="C84" i="114"/>
  <c r="C85" i="114"/>
  <c r="C86" i="114"/>
  <c r="C87" i="114"/>
  <c r="C88" i="114"/>
  <c r="C89" i="114"/>
  <c r="C90" i="114"/>
  <c r="C91" i="114"/>
  <c r="C92" i="114"/>
  <c r="C93" i="114"/>
  <c r="C94" i="114"/>
  <c r="C95" i="114"/>
  <c r="C96" i="114"/>
  <c r="C97" i="114"/>
  <c r="C98" i="114"/>
  <c r="C99" i="114"/>
  <c r="C100" i="114"/>
  <c r="C101" i="114"/>
  <c r="C102" i="114"/>
  <c r="C103" i="114"/>
  <c r="C106" i="114"/>
  <c r="C107" i="114"/>
  <c r="C108" i="114"/>
  <c r="C109" i="114"/>
  <c r="C110" i="114"/>
  <c r="C111" i="114"/>
  <c r="C114" i="114"/>
  <c r="C115" i="114"/>
  <c r="C116" i="114"/>
  <c r="C117" i="114"/>
  <c r="C118" i="114"/>
  <c r="C119" i="114"/>
  <c r="C120" i="114"/>
  <c r="C121" i="114"/>
  <c r="C122" i="114"/>
  <c r="C123" i="114"/>
  <c r="C124" i="114"/>
  <c r="C125" i="114"/>
  <c r="C126" i="114"/>
  <c r="C127" i="114"/>
  <c r="B38" i="114"/>
  <c r="B39" i="114"/>
  <c r="B40" i="114"/>
  <c r="B41" i="114"/>
  <c r="B42" i="114"/>
  <c r="B43" i="114"/>
  <c r="B44" i="114"/>
  <c r="B45" i="114"/>
  <c r="B46" i="114"/>
  <c r="B47" i="114"/>
  <c r="B48" i="114"/>
  <c r="B49" i="114"/>
  <c r="B50" i="114"/>
  <c r="B51" i="114"/>
  <c r="B52" i="114"/>
  <c r="B53" i="114"/>
  <c r="B54" i="114"/>
  <c r="B55" i="114"/>
  <c r="B56" i="114"/>
  <c r="B57" i="114"/>
  <c r="B58" i="114"/>
  <c r="B59" i="114"/>
  <c r="B60" i="114"/>
  <c r="B61" i="114"/>
  <c r="B62" i="114"/>
  <c r="B63" i="114"/>
  <c r="B64" i="114"/>
  <c r="B65" i="114"/>
  <c r="B66" i="114"/>
  <c r="B67" i="114"/>
  <c r="B68" i="114"/>
  <c r="B69" i="114"/>
  <c r="B70" i="114"/>
  <c r="B73" i="114"/>
  <c r="B74" i="114"/>
  <c r="B75" i="114"/>
  <c r="B76" i="114"/>
  <c r="B77" i="114"/>
  <c r="B78" i="114"/>
  <c r="B81" i="114"/>
  <c r="B82" i="114"/>
  <c r="B83" i="114"/>
  <c r="B84" i="114"/>
  <c r="B85" i="114"/>
  <c r="B86" i="114"/>
  <c r="B87" i="114"/>
  <c r="B88" i="114"/>
  <c r="B89" i="114"/>
  <c r="B90" i="114"/>
  <c r="B91" i="114"/>
  <c r="B92" i="114"/>
  <c r="B93" i="114"/>
  <c r="B94" i="114"/>
  <c r="B95" i="114"/>
  <c r="B96" i="114"/>
  <c r="B97" i="114"/>
  <c r="B98" i="114"/>
  <c r="B99" i="114"/>
  <c r="B100" i="114"/>
  <c r="B101" i="114"/>
  <c r="B102" i="114"/>
  <c r="B103" i="114"/>
  <c r="B106" i="114"/>
  <c r="B107" i="114"/>
  <c r="B108" i="114"/>
  <c r="B109" i="114"/>
  <c r="B110" i="114"/>
  <c r="B111" i="114"/>
  <c r="B114" i="114"/>
  <c r="B115" i="114"/>
  <c r="B116" i="114"/>
  <c r="B117" i="114"/>
  <c r="B118" i="114"/>
  <c r="B119" i="114"/>
  <c r="B120" i="114"/>
  <c r="B121" i="114"/>
  <c r="B122" i="114"/>
  <c r="B123" i="114"/>
  <c r="B124" i="114"/>
  <c r="B125" i="114"/>
  <c r="B126" i="114"/>
  <c r="B127" i="114"/>
  <c r="A38" i="114"/>
  <c r="A39" i="114"/>
  <c r="A40" i="114"/>
  <c r="A41" i="114"/>
  <c r="A42" i="114"/>
  <c r="A43" i="114"/>
  <c r="A44" i="114"/>
  <c r="A45" i="114"/>
  <c r="A46" i="114"/>
  <c r="A47" i="114"/>
  <c r="A48" i="114"/>
  <c r="A49" i="114"/>
  <c r="A50" i="114"/>
  <c r="A51" i="114"/>
  <c r="A52" i="114"/>
  <c r="A53" i="114"/>
  <c r="A54" i="114"/>
  <c r="A55" i="114"/>
  <c r="A56" i="114"/>
  <c r="A57" i="114"/>
  <c r="A58" i="114"/>
  <c r="A59" i="114"/>
  <c r="A60" i="114"/>
  <c r="A61" i="114"/>
  <c r="A62" i="114"/>
  <c r="A63" i="114"/>
  <c r="A64" i="114"/>
  <c r="A65" i="114"/>
  <c r="A66" i="114"/>
  <c r="A67" i="114"/>
  <c r="A68" i="114"/>
  <c r="A69" i="114"/>
  <c r="A70" i="114"/>
  <c r="A73" i="114"/>
  <c r="A74" i="114"/>
  <c r="A75" i="114"/>
  <c r="A76" i="114"/>
  <c r="A77" i="114"/>
  <c r="A78" i="114"/>
  <c r="A81" i="114"/>
  <c r="A82" i="114"/>
  <c r="A83" i="114"/>
  <c r="A84" i="114"/>
  <c r="A85" i="114"/>
  <c r="A86" i="114"/>
  <c r="A87" i="114"/>
  <c r="A88" i="114"/>
  <c r="A89" i="114"/>
  <c r="A90" i="114"/>
  <c r="A91" i="114"/>
  <c r="A92" i="114"/>
  <c r="A93" i="114"/>
  <c r="A94" i="114"/>
  <c r="A95" i="114"/>
  <c r="A96" i="114"/>
  <c r="A97" i="114"/>
  <c r="A98" i="114"/>
  <c r="A99" i="114"/>
  <c r="A100" i="114"/>
  <c r="A101" i="114"/>
  <c r="A102" i="114"/>
  <c r="A103" i="114"/>
  <c r="A106" i="114"/>
  <c r="A107" i="114"/>
  <c r="A108" i="114"/>
  <c r="A109" i="114"/>
  <c r="A110" i="114"/>
  <c r="A111" i="114"/>
  <c r="A114" i="114"/>
  <c r="A115" i="114"/>
  <c r="A116" i="114"/>
  <c r="A117" i="114"/>
  <c r="A118" i="114"/>
  <c r="A119" i="114"/>
  <c r="A120" i="114"/>
  <c r="A121" i="114"/>
  <c r="A122" i="114"/>
  <c r="A123" i="114"/>
  <c r="A124" i="114"/>
  <c r="A125" i="114"/>
  <c r="A126" i="114"/>
  <c r="A127" i="114"/>
  <c r="A129" i="114"/>
  <c r="A130" i="114"/>
  <c r="A131" i="114"/>
  <c r="A132" i="114"/>
  <c r="A133" i="114"/>
  <c r="A134" i="114"/>
  <c r="A135" i="114"/>
  <c r="A136" i="114"/>
  <c r="A137" i="114"/>
  <c r="A138" i="114"/>
  <c r="A139" i="114"/>
  <c r="A140" i="114"/>
  <c r="A141" i="114"/>
  <c r="A142" i="114"/>
  <c r="A143" i="114"/>
  <c r="A144" i="114"/>
  <c r="A145" i="114"/>
  <c r="A146" i="114"/>
  <c r="A147" i="114"/>
  <c r="A148" i="114"/>
  <c r="A149" i="114"/>
  <c r="A150" i="114"/>
  <c r="A151" i="114"/>
  <c r="A152" i="114"/>
  <c r="A128" i="114"/>
  <c r="B129" i="114"/>
  <c r="B130" i="114"/>
  <c r="B131" i="114"/>
  <c r="B132" i="114"/>
  <c r="B133" i="114"/>
  <c r="B134" i="114"/>
  <c r="B135" i="114"/>
  <c r="B136" i="114"/>
  <c r="B137" i="114"/>
  <c r="B138" i="114"/>
  <c r="B139" i="114"/>
  <c r="B140" i="114"/>
  <c r="B141" i="114"/>
  <c r="B142" i="114"/>
  <c r="B143" i="114"/>
  <c r="B144" i="114"/>
  <c r="B145" i="114"/>
  <c r="B146" i="114"/>
  <c r="B147" i="114"/>
  <c r="B148" i="114"/>
  <c r="B149" i="114"/>
  <c r="B150" i="114"/>
  <c r="B151" i="114"/>
  <c r="B152" i="114"/>
  <c r="B128" i="114"/>
  <c r="F129" i="114"/>
  <c r="F130" i="114"/>
  <c r="F131" i="114"/>
  <c r="F132" i="114"/>
  <c r="F133" i="114"/>
  <c r="F134" i="114"/>
  <c r="F135" i="114"/>
  <c r="F136" i="114"/>
  <c r="F137" i="114"/>
  <c r="F138" i="114"/>
  <c r="F139" i="114"/>
  <c r="F140" i="114"/>
  <c r="F141" i="114"/>
  <c r="F142" i="114"/>
  <c r="F143" i="114"/>
  <c r="F144" i="114"/>
  <c r="F145" i="114"/>
  <c r="F146" i="114"/>
  <c r="F147" i="114"/>
  <c r="F148" i="114"/>
  <c r="F149" i="114"/>
  <c r="F150" i="114"/>
  <c r="F151" i="114"/>
  <c r="F152" i="114"/>
  <c r="F128" i="114"/>
  <c r="E129" i="114"/>
  <c r="E130" i="114"/>
  <c r="E131" i="114"/>
  <c r="E132" i="114"/>
  <c r="E133" i="114"/>
  <c r="E134" i="114"/>
  <c r="E135" i="114"/>
  <c r="E136" i="114"/>
  <c r="E137" i="114"/>
  <c r="E138" i="114"/>
  <c r="E139" i="114"/>
  <c r="E140" i="114"/>
  <c r="E141" i="114"/>
  <c r="E142" i="114"/>
  <c r="E143" i="114"/>
  <c r="E144" i="114"/>
  <c r="E145" i="114"/>
  <c r="E146" i="114"/>
  <c r="E147" i="114"/>
  <c r="E148" i="114"/>
  <c r="E149" i="114"/>
  <c r="E150" i="114"/>
  <c r="E151" i="114"/>
  <c r="E152" i="114"/>
  <c r="E128" i="114"/>
  <c r="C131" i="114"/>
  <c r="C132" i="114"/>
  <c r="C133" i="114"/>
  <c r="C134" i="114"/>
  <c r="C135" i="114"/>
  <c r="C136" i="114"/>
  <c r="C137" i="114"/>
  <c r="C138" i="114"/>
  <c r="C139" i="114"/>
  <c r="C140" i="114"/>
  <c r="C141" i="114"/>
  <c r="C142" i="114"/>
  <c r="C143" i="114"/>
  <c r="C144" i="114"/>
  <c r="C145" i="114"/>
  <c r="C146" i="114"/>
  <c r="C147" i="114"/>
  <c r="C148" i="114"/>
  <c r="C149" i="114"/>
  <c r="C150" i="114"/>
  <c r="C151" i="114"/>
  <c r="C152" i="114"/>
  <c r="C130" i="114"/>
  <c r="C129" i="114"/>
  <c r="C128" i="114"/>
  <c r="U70" i="1" l="1"/>
  <c r="O70" i="1"/>
  <c r="W70" i="1"/>
  <c r="Y70" i="1" s="1"/>
  <c r="U71" i="1"/>
  <c r="L11" i="114" l="1"/>
  <c r="L12" i="114"/>
  <c r="L10" i="114"/>
  <c r="G17" i="1" l="1"/>
  <c r="C9" i="114" l="1"/>
  <c r="D10" i="4"/>
  <c r="F15" i="114"/>
  <c r="M62" i="1"/>
  <c r="F62" i="1" s="1"/>
  <c r="M63" i="1"/>
  <c r="F63" i="1" s="1"/>
  <c r="G56" i="1"/>
  <c r="Q63" i="1"/>
  <c r="Q62" i="1"/>
  <c r="C15" i="114" l="1"/>
  <c r="G12" i="115"/>
  <c r="D96" i="114"/>
  <c r="D97" i="114"/>
  <c r="S62" i="1"/>
  <c r="O63" i="1"/>
  <c r="O62" i="1"/>
  <c r="S63" i="1"/>
  <c r="W63" i="1" s="1"/>
  <c r="Y63" i="1" s="1"/>
  <c r="W62" i="1" l="1"/>
  <c r="Y62" i="1" s="1"/>
  <c r="N94" i="1" l="1"/>
  <c r="N95" i="1"/>
  <c r="N96" i="1"/>
  <c r="N97" i="1"/>
  <c r="N98" i="1"/>
  <c r="N99" i="1"/>
  <c r="N100" i="1"/>
  <c r="N101" i="1"/>
  <c r="N102" i="1"/>
  <c r="N103" i="1"/>
  <c r="N104" i="1"/>
  <c r="D139" i="114"/>
  <c r="D140" i="114"/>
  <c r="N107" i="1"/>
  <c r="N108" i="1"/>
  <c r="D142" i="114" s="1"/>
  <c r="N109" i="1"/>
  <c r="N110" i="1"/>
  <c r="N111" i="1"/>
  <c r="N112" i="1"/>
  <c r="N113" i="1"/>
  <c r="N114" i="1"/>
  <c r="D148" i="114" s="1"/>
  <c r="N115" i="1"/>
  <c r="N116" i="1"/>
  <c r="N117" i="1"/>
  <c r="N118" i="1"/>
  <c r="D134" i="114" l="1"/>
  <c r="D133" i="114"/>
  <c r="D149" i="114"/>
  <c r="D150" i="114"/>
  <c r="D135" i="114"/>
  <c r="D145" i="114"/>
  <c r="D144" i="114"/>
  <c r="D143" i="114"/>
  <c r="D147" i="114"/>
  <c r="D146" i="114"/>
  <c r="D152" i="114"/>
  <c r="D141" i="114"/>
  <c r="D151" i="114"/>
  <c r="D137" i="114"/>
  <c r="D136" i="114"/>
  <c r="D132" i="114"/>
  <c r="D138" i="114"/>
  <c r="D131" i="114"/>
  <c r="D130" i="114"/>
  <c r="D129" i="114"/>
  <c r="D128" i="114"/>
  <c r="R94" i="1"/>
  <c r="R99" i="1"/>
  <c r="R109" i="1"/>
  <c r="R114" i="1"/>
  <c r="R107" i="1"/>
  <c r="R101" i="1"/>
  <c r="R112" i="1"/>
  <c r="R96" i="1"/>
  <c r="R116" i="1"/>
  <c r="R103" i="1"/>
  <c r="F16" i="114"/>
  <c r="F17" i="114"/>
  <c r="F13" i="114"/>
  <c r="F12" i="114"/>
  <c r="I157" i="103" l="1"/>
  <c r="I158" i="103"/>
  <c r="I159" i="103"/>
  <c r="I160" i="103"/>
  <c r="I161" i="103"/>
  <c r="I162" i="103"/>
  <c r="I163" i="103"/>
  <c r="I164" i="103"/>
  <c r="I165" i="103"/>
  <c r="I166" i="103"/>
  <c r="I167" i="103"/>
  <c r="H157" i="103"/>
  <c r="H158" i="103"/>
  <c r="H159" i="103"/>
  <c r="H160" i="103"/>
  <c r="H161" i="103"/>
  <c r="H162" i="103"/>
  <c r="H163" i="103"/>
  <c r="H164" i="103"/>
  <c r="H165" i="103"/>
  <c r="H166" i="103"/>
  <c r="H167" i="103"/>
  <c r="G157" i="103"/>
  <c r="G158" i="103"/>
  <c r="G159" i="103"/>
  <c r="G160" i="103"/>
  <c r="G161" i="103"/>
  <c r="G162" i="103"/>
  <c r="G163" i="103"/>
  <c r="G164" i="103"/>
  <c r="G165" i="103"/>
  <c r="G166" i="103"/>
  <c r="G167" i="103"/>
  <c r="F157" i="103"/>
  <c r="F158" i="103"/>
  <c r="F159" i="103"/>
  <c r="F160" i="103"/>
  <c r="F161" i="103"/>
  <c r="F162" i="103"/>
  <c r="F163" i="103"/>
  <c r="F164" i="103"/>
  <c r="F165" i="103"/>
  <c r="F166" i="103"/>
  <c r="F167" i="103"/>
  <c r="E157" i="103"/>
  <c r="E158" i="103"/>
  <c r="E159" i="103"/>
  <c r="E160" i="103"/>
  <c r="E161" i="103"/>
  <c r="E162" i="103"/>
  <c r="E163" i="103"/>
  <c r="E164" i="103"/>
  <c r="E165" i="103"/>
  <c r="E166" i="103"/>
  <c r="E167" i="103"/>
  <c r="I156" i="103"/>
  <c r="H156" i="103"/>
  <c r="G156" i="103"/>
  <c r="F156" i="103"/>
  <c r="E156" i="103"/>
  <c r="C157" i="103"/>
  <c r="C158" i="103"/>
  <c r="C159" i="103"/>
  <c r="C160" i="103"/>
  <c r="C161" i="103"/>
  <c r="C162" i="103"/>
  <c r="C163" i="103"/>
  <c r="C164" i="103"/>
  <c r="C165" i="103"/>
  <c r="C166" i="103"/>
  <c r="C167" i="103"/>
  <c r="C156" i="103"/>
  <c r="K26" i="32" l="1"/>
  <c r="G85" i="1" l="1"/>
  <c r="G89" i="1"/>
  <c r="G80" i="1"/>
  <c r="C17" i="114"/>
  <c r="Q84" i="1"/>
  <c r="Q83" i="1"/>
  <c r="Q82" i="1"/>
  <c r="Q81" i="1"/>
  <c r="Q80" i="1"/>
  <c r="Q77" i="1"/>
  <c r="Q76" i="1"/>
  <c r="Q75" i="1"/>
  <c r="Q74" i="1"/>
  <c r="Q73" i="1"/>
  <c r="Q72" i="1"/>
  <c r="Q55" i="1"/>
  <c r="Q54" i="1"/>
  <c r="Q53" i="1"/>
  <c r="Q52" i="1"/>
  <c r="Q51" i="1"/>
  <c r="Q50" i="1"/>
  <c r="Q49" i="1"/>
  <c r="Q48" i="1"/>
  <c r="Q47" i="1"/>
  <c r="Q36" i="1"/>
  <c r="Q35" i="1"/>
  <c r="Q34" i="1"/>
  <c r="Q33" i="1"/>
  <c r="Q32" i="1"/>
  <c r="Q31" i="1"/>
  <c r="Q30" i="1"/>
  <c r="Q29" i="1"/>
  <c r="Q28" i="1"/>
  <c r="Q21" i="1"/>
  <c r="Q20" i="1"/>
  <c r="Q19" i="1"/>
  <c r="Q18" i="1"/>
  <c r="Q17" i="1"/>
  <c r="N93" i="1"/>
  <c r="D127" i="114" s="1"/>
  <c r="N92" i="1"/>
  <c r="D126" i="114" s="1"/>
  <c r="N91" i="1"/>
  <c r="D125" i="114" s="1"/>
  <c r="N90" i="1"/>
  <c r="D124" i="114" s="1"/>
  <c r="N89" i="1"/>
  <c r="D123" i="114" s="1"/>
  <c r="N88" i="1"/>
  <c r="D122" i="114" s="1"/>
  <c r="N87" i="1"/>
  <c r="D121" i="114" s="1"/>
  <c r="N86" i="1"/>
  <c r="D120" i="114" s="1"/>
  <c r="N85" i="1"/>
  <c r="D119" i="114" s="1"/>
  <c r="N84" i="1"/>
  <c r="N83" i="1"/>
  <c r="N82" i="1"/>
  <c r="N81" i="1"/>
  <c r="N80" i="1"/>
  <c r="N77" i="1"/>
  <c r="N76" i="1"/>
  <c r="N75" i="1"/>
  <c r="N74" i="1"/>
  <c r="N73" i="1"/>
  <c r="N72" i="1"/>
  <c r="N55" i="1"/>
  <c r="N54" i="1"/>
  <c r="N53" i="1"/>
  <c r="N52" i="1"/>
  <c r="N51" i="1"/>
  <c r="N50" i="1"/>
  <c r="N49" i="1"/>
  <c r="N48" i="1"/>
  <c r="N47" i="1"/>
  <c r="N36" i="1"/>
  <c r="N35" i="1"/>
  <c r="N34" i="1"/>
  <c r="N33" i="1"/>
  <c r="N32" i="1"/>
  <c r="N31" i="1"/>
  <c r="N30" i="1"/>
  <c r="N29" i="1"/>
  <c r="N28" i="1"/>
  <c r="N21" i="1"/>
  <c r="N20" i="1"/>
  <c r="N19" i="1"/>
  <c r="N18" i="1"/>
  <c r="N17" i="1"/>
  <c r="C13" i="114"/>
  <c r="Q43" i="1"/>
  <c r="Q40" i="1"/>
  <c r="N44" i="1"/>
  <c r="N43" i="1"/>
  <c r="N42" i="1"/>
  <c r="N41" i="1"/>
  <c r="N40" i="1"/>
  <c r="N39" i="1"/>
  <c r="C26" i="29"/>
  <c r="C27" i="29"/>
  <c r="C28" i="29"/>
  <c r="C29" i="29"/>
  <c r="C30" i="29"/>
  <c r="C31" i="29"/>
  <c r="Q69" i="1"/>
  <c r="Q68" i="1"/>
  <c r="Q67" i="1"/>
  <c r="Q66" i="1"/>
  <c r="Q65" i="1"/>
  <c r="Q64" i="1"/>
  <c r="Q61" i="1"/>
  <c r="Q60" i="1"/>
  <c r="Q59" i="1"/>
  <c r="Q58" i="1"/>
  <c r="Q57" i="1"/>
  <c r="Q56" i="1"/>
  <c r="N69" i="1"/>
  <c r="N68" i="1"/>
  <c r="N67" i="1"/>
  <c r="N66" i="1"/>
  <c r="N65" i="1"/>
  <c r="N64" i="1"/>
  <c r="N61" i="1"/>
  <c r="N60" i="1"/>
  <c r="N59" i="1"/>
  <c r="N58" i="1"/>
  <c r="N57" i="1"/>
  <c r="N56" i="1"/>
  <c r="Q8" i="1"/>
  <c r="Q7" i="1"/>
  <c r="Q6" i="1"/>
  <c r="Q5" i="1"/>
  <c r="Q4" i="1"/>
  <c r="N8" i="1"/>
  <c r="S8" i="1" s="1"/>
  <c r="N7" i="1"/>
  <c r="S7" i="1" s="1"/>
  <c r="N6" i="1"/>
  <c r="N5" i="1"/>
  <c r="N4" i="1"/>
  <c r="N16" i="1"/>
  <c r="N15" i="1"/>
  <c r="N14" i="1"/>
  <c r="D48" i="114" s="1"/>
  <c r="N13" i="1"/>
  <c r="N12" i="1"/>
  <c r="N11" i="1"/>
  <c r="N10" i="1"/>
  <c r="N9" i="1"/>
  <c r="Q16" i="1"/>
  <c r="Q15" i="1"/>
  <c r="Q12" i="1"/>
  <c r="Q11" i="1"/>
  <c r="Q10" i="1"/>
  <c r="Q9" i="1"/>
  <c r="Q27" i="1"/>
  <c r="Q26" i="1"/>
  <c r="Q25" i="1"/>
  <c r="Q24" i="1"/>
  <c r="Q23" i="1"/>
  <c r="N27" i="1"/>
  <c r="N26" i="1"/>
  <c r="N25" i="1"/>
  <c r="N24" i="1"/>
  <c r="N23" i="1"/>
  <c r="N22" i="1"/>
  <c r="Q22" i="1"/>
  <c r="K28" i="32"/>
  <c r="L28" i="32" s="1"/>
  <c r="M28" i="32"/>
  <c r="N28" i="32"/>
  <c r="O28" i="32"/>
  <c r="S6" i="1" l="1"/>
  <c r="P32" i="1"/>
  <c r="H8" i="115" s="1"/>
  <c r="S4" i="1"/>
  <c r="S5" i="1"/>
  <c r="P39" i="1"/>
  <c r="D49" i="114"/>
  <c r="S12" i="1"/>
  <c r="R32" i="1"/>
  <c r="I8" i="115" s="1"/>
  <c r="C20" i="114"/>
  <c r="C19" i="114"/>
  <c r="C18" i="114"/>
  <c r="R72" i="1"/>
  <c r="I6" i="115" s="1"/>
  <c r="P72" i="1"/>
  <c r="H6" i="115" s="1"/>
  <c r="D43" i="114"/>
  <c r="H7" i="115"/>
  <c r="R39" i="1"/>
  <c r="I7" i="115" s="1"/>
  <c r="D44" i="114"/>
  <c r="D45" i="114"/>
  <c r="C12" i="114"/>
  <c r="P64" i="1"/>
  <c r="H11" i="115" s="1"/>
  <c r="D52" i="114"/>
  <c r="D53" i="114"/>
  <c r="D85" i="114"/>
  <c r="D42" i="114"/>
  <c r="D93" i="114"/>
  <c r="D106" i="114"/>
  <c r="D116" i="114"/>
  <c r="D117" i="114"/>
  <c r="D41" i="114"/>
  <c r="D108" i="114"/>
  <c r="D76" i="114"/>
  <c r="D92" i="114"/>
  <c r="D67" i="114"/>
  <c r="D66" i="114"/>
  <c r="D56" i="114"/>
  <c r="D78" i="114"/>
  <c r="D51" i="114"/>
  <c r="D65" i="114"/>
  <c r="D75" i="114"/>
  <c r="D118" i="114"/>
  <c r="D109" i="114"/>
  <c r="D91" i="114"/>
  <c r="D47" i="114"/>
  <c r="D64" i="114"/>
  <c r="D82" i="114"/>
  <c r="D83" i="114"/>
  <c r="D114" i="114"/>
  <c r="D94" i="114"/>
  <c r="D115" i="114"/>
  <c r="D103" i="114"/>
  <c r="D101" i="114"/>
  <c r="R64" i="1"/>
  <c r="I11" i="115" s="1"/>
  <c r="D102" i="114"/>
  <c r="D57" i="114"/>
  <c r="D73" i="114"/>
  <c r="E77" i="4"/>
  <c r="J10" i="114" s="1"/>
  <c r="D86" i="114"/>
  <c r="D98" i="114"/>
  <c r="D54" i="114"/>
  <c r="D68" i="114"/>
  <c r="D110" i="114"/>
  <c r="D61" i="114"/>
  <c r="D40" i="114"/>
  <c r="D84" i="114"/>
  <c r="D78" i="4"/>
  <c r="D46" i="114"/>
  <c r="D63" i="114"/>
  <c r="D81" i="114"/>
  <c r="D77" i="4"/>
  <c r="D89" i="114"/>
  <c r="E79" i="4"/>
  <c r="J12" i="114" s="1"/>
  <c r="D58" i="114"/>
  <c r="D50" i="114"/>
  <c r="D95" i="114"/>
  <c r="D59" i="114"/>
  <c r="D38" i="114"/>
  <c r="D60" i="114"/>
  <c r="D39" i="114"/>
  <c r="D99" i="114"/>
  <c r="D74" i="114"/>
  <c r="D55" i="114"/>
  <c r="D69" i="114"/>
  <c r="D87" i="114"/>
  <c r="D79" i="4"/>
  <c r="D111" i="114"/>
  <c r="E78" i="4"/>
  <c r="J11" i="114" s="1"/>
  <c r="D90" i="114"/>
  <c r="D100" i="114"/>
  <c r="D77" i="114"/>
  <c r="D62" i="114"/>
  <c r="D70" i="114"/>
  <c r="D88" i="114"/>
  <c r="D107" i="114"/>
  <c r="P56" i="1"/>
  <c r="H12" i="115" s="1"/>
  <c r="R56" i="1"/>
  <c r="I12" i="115" s="1"/>
  <c r="S57" i="1"/>
  <c r="S29" i="1"/>
  <c r="S47" i="1"/>
  <c r="S55" i="1"/>
  <c r="S81" i="1"/>
  <c r="C70" i="103"/>
  <c r="D70" i="103" s="1"/>
  <c r="C98" i="103"/>
  <c r="D98" i="103" s="1"/>
  <c r="S11" i="1"/>
  <c r="S51" i="1"/>
  <c r="S85" i="1"/>
  <c r="S75" i="1"/>
  <c r="S67" i="1"/>
  <c r="S65" i="1"/>
  <c r="C84" i="103"/>
  <c r="D84" i="103" s="1"/>
  <c r="S33" i="1"/>
  <c r="S69" i="1"/>
  <c r="S25" i="1"/>
  <c r="S16" i="1"/>
  <c r="S15" i="1"/>
  <c r="S66" i="1"/>
  <c r="S60" i="1"/>
  <c r="S61" i="1"/>
  <c r="S59" i="1"/>
  <c r="S58" i="1"/>
  <c r="S43" i="1"/>
  <c r="S42" i="1"/>
  <c r="S24" i="1"/>
  <c r="S26" i="1"/>
  <c r="S56" i="1"/>
  <c r="S64" i="1"/>
  <c r="S39" i="1"/>
  <c r="S19" i="1"/>
  <c r="S93" i="1"/>
  <c r="S89" i="1"/>
  <c r="S68" i="1"/>
  <c r="S76" i="1"/>
  <c r="S48" i="1"/>
  <c r="S40" i="1"/>
  <c r="S21" i="1"/>
  <c r="S35" i="1"/>
  <c r="S77" i="1"/>
  <c r="S20" i="1"/>
  <c r="S30" i="1"/>
  <c r="S34" i="1"/>
  <c r="S52" i="1"/>
  <c r="S72" i="1"/>
  <c r="S82" i="1"/>
  <c r="S86" i="1"/>
  <c r="S90" i="1"/>
  <c r="S22" i="1"/>
  <c r="S44" i="1"/>
  <c r="S17" i="1"/>
  <c r="S31" i="1"/>
  <c r="S49" i="1"/>
  <c r="S53" i="1"/>
  <c r="S73" i="1"/>
  <c r="S83" i="1"/>
  <c r="S87" i="1"/>
  <c r="S91" i="1"/>
  <c r="S23" i="1"/>
  <c r="S27" i="1"/>
  <c r="S41" i="1"/>
  <c r="S18" i="1"/>
  <c r="S28" i="1"/>
  <c r="S32" i="1"/>
  <c r="S36" i="1"/>
  <c r="S50" i="1"/>
  <c r="S54" i="1"/>
  <c r="S74" i="1"/>
  <c r="S80" i="1"/>
  <c r="S84" i="1"/>
  <c r="S88" i="1"/>
  <c r="S92" i="1"/>
  <c r="R85" i="1"/>
  <c r="R28" i="1"/>
  <c r="C6" i="4" s="1"/>
  <c r="R89" i="1"/>
  <c r="P89" i="1"/>
  <c r="R4" i="1"/>
  <c r="P17" i="1"/>
  <c r="R80" i="1"/>
  <c r="P85" i="1"/>
  <c r="R17" i="1"/>
  <c r="R47" i="1"/>
  <c r="P47" i="1"/>
  <c r="S9" i="1"/>
  <c r="R9" i="1"/>
  <c r="I9" i="115" s="1"/>
  <c r="S10" i="1"/>
  <c r="S13" i="1"/>
  <c r="S14" i="1"/>
  <c r="R22" i="1"/>
  <c r="I10" i="115" s="1"/>
  <c r="P28" i="32"/>
  <c r="J11" i="115" l="1"/>
  <c r="J8" i="115"/>
  <c r="J12" i="115"/>
  <c r="J6" i="115"/>
  <c r="J7" i="115"/>
  <c r="Z56" i="1"/>
  <c r="X56" i="1"/>
  <c r="T32" i="1"/>
  <c r="C2" i="4"/>
  <c r="C15" i="4"/>
  <c r="C11" i="4"/>
  <c r="T89" i="1"/>
  <c r="T85" i="1"/>
  <c r="C5" i="4"/>
  <c r="T22" i="1"/>
  <c r="T47" i="1"/>
  <c r="T28" i="1"/>
  <c r="T80" i="1"/>
  <c r="T72" i="1"/>
  <c r="T64" i="1"/>
  <c r="C4" i="4"/>
  <c r="T56" i="1"/>
  <c r="T39" i="1"/>
  <c r="T9" i="1"/>
  <c r="T4" i="1"/>
  <c r="T17" i="1"/>
  <c r="D20" i="114"/>
  <c r="D12" i="114"/>
  <c r="D17" i="114"/>
  <c r="D13" i="114"/>
  <c r="D9" i="114"/>
  <c r="C13" i="4"/>
  <c r="D14" i="114"/>
  <c r="C14" i="4"/>
  <c r="D19" i="114"/>
  <c r="C10" i="4"/>
  <c r="D15" i="114"/>
  <c r="C12" i="4"/>
  <c r="I168" i="103"/>
  <c r="C9" i="4"/>
  <c r="C3" i="4"/>
  <c r="H168" i="103"/>
  <c r="C8" i="4"/>
  <c r="Z32" i="1"/>
  <c r="C7" i="4"/>
  <c r="K24" i="32"/>
  <c r="T59" i="1" l="1"/>
  <c r="G9" i="1"/>
  <c r="G9" i="115" s="1"/>
  <c r="J4" i="1"/>
  <c r="H38" i="114" s="1"/>
  <c r="L4" i="1"/>
  <c r="J5" i="1"/>
  <c r="H39" i="114" s="1"/>
  <c r="L5" i="1"/>
  <c r="J6" i="1"/>
  <c r="H40" i="114" s="1"/>
  <c r="L6" i="1"/>
  <c r="J7" i="1"/>
  <c r="H41" i="114" s="1"/>
  <c r="L7" i="1"/>
  <c r="J8" i="1"/>
  <c r="H42" i="114" s="1"/>
  <c r="L8" i="1"/>
  <c r="C8" i="114" l="1"/>
  <c r="D3" i="27"/>
  <c r="M4" i="1"/>
  <c r="G38" i="114"/>
  <c r="M5" i="1"/>
  <c r="G39" i="114"/>
  <c r="M6" i="1"/>
  <c r="G40" i="114"/>
  <c r="M8" i="1"/>
  <c r="W8" i="1" s="1"/>
  <c r="G42" i="114"/>
  <c r="M7" i="1"/>
  <c r="W7" i="1" s="1"/>
  <c r="G41" i="114"/>
  <c r="K25" i="32"/>
  <c r="G7" i="1" l="1"/>
  <c r="R7" i="1"/>
  <c r="T7" i="1"/>
  <c r="W5" i="1"/>
  <c r="F5" i="1"/>
  <c r="W4" i="1"/>
  <c r="Y4" i="1" s="1"/>
  <c r="F4" i="1"/>
  <c r="W6" i="1"/>
  <c r="F6" i="1"/>
  <c r="O5" i="1"/>
  <c r="O8" i="1"/>
  <c r="O4" i="1"/>
  <c r="F8" i="1"/>
  <c r="F7" i="1"/>
  <c r="O6" i="1"/>
  <c r="O7" i="1"/>
  <c r="K22" i="32" l="1"/>
  <c r="K23" i="32"/>
  <c r="G36" i="26" l="1"/>
  <c r="L79" i="26" l="1"/>
  <c r="M79" i="26"/>
  <c r="N79" i="26"/>
  <c r="F79" i="26"/>
  <c r="I79" i="26" s="1"/>
  <c r="E79" i="26"/>
  <c r="B79" i="26"/>
  <c r="L74" i="26"/>
  <c r="M74" i="26"/>
  <c r="N74" i="26"/>
  <c r="B74" i="26"/>
  <c r="E74" i="26"/>
  <c r="F74" i="26"/>
  <c r="I74" i="26" s="1"/>
  <c r="N73" i="26"/>
  <c r="N75" i="26"/>
  <c r="N76" i="26"/>
  <c r="N77" i="26"/>
  <c r="N78" i="26"/>
  <c r="N80" i="26"/>
  <c r="N81" i="26"/>
  <c r="N72" i="26"/>
  <c r="N71" i="26"/>
  <c r="N70" i="26"/>
  <c r="N69" i="26"/>
  <c r="N68" i="26"/>
  <c r="M42" i="26"/>
  <c r="M41" i="26"/>
  <c r="M40" i="26"/>
  <c r="M28" i="26"/>
  <c r="M39" i="26"/>
  <c r="M38" i="26"/>
  <c r="M37" i="26"/>
  <c r="M27" i="26"/>
  <c r="M35" i="26"/>
  <c r="M34" i="26"/>
  <c r="M25" i="26"/>
  <c r="K74" i="26" l="1"/>
  <c r="P74" i="26" s="1"/>
  <c r="K79" i="26"/>
  <c r="P79" i="26" s="1"/>
  <c r="O79" i="26" l="1"/>
  <c r="O74" i="26"/>
  <c r="F69" i="26"/>
  <c r="I69" i="26" s="1"/>
  <c r="F70" i="26"/>
  <c r="I70" i="26" s="1"/>
  <c r="F71" i="26"/>
  <c r="I71" i="26" s="1"/>
  <c r="F72" i="26"/>
  <c r="I72" i="26" s="1"/>
  <c r="F73" i="26"/>
  <c r="I73" i="26" s="1"/>
  <c r="F75" i="26"/>
  <c r="I75" i="26" s="1"/>
  <c r="F76" i="26"/>
  <c r="I76" i="26" s="1"/>
  <c r="F78" i="26"/>
  <c r="I78" i="26" s="1"/>
  <c r="F80" i="26"/>
  <c r="I80" i="26" s="1"/>
  <c r="F81" i="26"/>
  <c r="I81" i="26" s="1"/>
  <c r="F68" i="26"/>
  <c r="I68" i="26" s="1"/>
  <c r="S9" i="12" l="1"/>
  <c r="T9" i="12"/>
  <c r="S8" i="12"/>
  <c r="T8" i="12"/>
  <c r="M9" i="12"/>
  <c r="O9" i="12" s="1"/>
  <c r="N9" i="12" s="1"/>
  <c r="O8" i="12"/>
  <c r="N8" i="12" s="1"/>
  <c r="G9" i="12"/>
  <c r="I9" i="12" s="1"/>
  <c r="G8" i="12"/>
  <c r="H8" i="12" s="1"/>
  <c r="H9" i="12" l="1"/>
  <c r="U9" i="12" s="1"/>
  <c r="V9" i="12" s="1"/>
  <c r="U8" i="12"/>
  <c r="V8" i="12" s="1"/>
  <c r="I8" i="12"/>
  <c r="E69" i="26" l="1"/>
  <c r="E70" i="26"/>
  <c r="E71" i="26"/>
  <c r="E72" i="26"/>
  <c r="E73" i="26"/>
  <c r="E75" i="26"/>
  <c r="E76" i="26"/>
  <c r="E77" i="26"/>
  <c r="E78" i="26"/>
  <c r="E80" i="26"/>
  <c r="E81" i="26"/>
  <c r="E68" i="26"/>
  <c r="L77" i="26"/>
  <c r="M77" i="26"/>
  <c r="B77" i="26"/>
  <c r="K77" i="26" s="1"/>
  <c r="O77" i="26" l="1"/>
  <c r="P77" i="26" l="1"/>
  <c r="M28" i="12"/>
  <c r="O28" i="12" s="1"/>
  <c r="M29" i="12"/>
  <c r="O29" i="12" s="1"/>
  <c r="H3" i="4" l="1"/>
  <c r="H4" i="4"/>
  <c r="H5" i="4"/>
  <c r="H6" i="4"/>
  <c r="H7" i="4"/>
  <c r="H8" i="4"/>
  <c r="H9" i="4"/>
  <c r="H10" i="4"/>
  <c r="H11" i="4"/>
  <c r="H12" i="4"/>
  <c r="H13" i="4"/>
  <c r="H14" i="4"/>
  <c r="H15" i="4"/>
  <c r="H2" i="4"/>
  <c r="F25" i="26" l="1"/>
  <c r="F24" i="26"/>
  <c r="C7" i="114" l="1"/>
  <c r="U4" i="1" l="1"/>
  <c r="P4" i="1"/>
  <c r="U8" i="1"/>
  <c r="Y8" i="1" s="1"/>
  <c r="U7" i="1"/>
  <c r="Y7" i="1" s="1"/>
  <c r="U6" i="1"/>
  <c r="Y6" i="1" s="1"/>
  <c r="U5" i="1"/>
  <c r="Y5" i="1" s="1"/>
  <c r="D7" i="114" l="1"/>
  <c r="P7" i="1"/>
  <c r="V4" i="1"/>
  <c r="V7" i="1" s="1"/>
  <c r="J32" i="1"/>
  <c r="J33" i="1"/>
  <c r="H67" i="114" s="1"/>
  <c r="J34" i="1"/>
  <c r="H68" i="114" s="1"/>
  <c r="J35" i="1"/>
  <c r="H69" i="114" s="1"/>
  <c r="J36" i="1"/>
  <c r="H70" i="114" s="1"/>
  <c r="F7" i="4" l="1"/>
  <c r="H66" i="114"/>
  <c r="C8" i="27"/>
  <c r="C8" i="29"/>
  <c r="M69" i="26" l="1"/>
  <c r="M70" i="26"/>
  <c r="M71" i="26"/>
  <c r="M72" i="26"/>
  <c r="M73" i="26"/>
  <c r="M75" i="26"/>
  <c r="M76" i="26"/>
  <c r="M78" i="26"/>
  <c r="M80" i="26"/>
  <c r="M81" i="26"/>
  <c r="L69" i="26"/>
  <c r="L70" i="26"/>
  <c r="L71" i="26"/>
  <c r="L72" i="26"/>
  <c r="L73" i="26"/>
  <c r="L75" i="26"/>
  <c r="L76" i="26"/>
  <c r="L78" i="26"/>
  <c r="L80" i="26"/>
  <c r="L81" i="26"/>
  <c r="L68" i="26"/>
  <c r="M68" i="26"/>
  <c r="C45" i="26"/>
  <c r="I50" i="26"/>
  <c r="I51" i="26"/>
  <c r="I52" i="26"/>
  <c r="I53" i="26"/>
  <c r="I54" i="26"/>
  <c r="I55" i="26"/>
  <c r="I57" i="26"/>
  <c r="I58" i="26"/>
  <c r="I60" i="26"/>
  <c r="I62" i="26"/>
  <c r="I63" i="26"/>
  <c r="G54" i="12" l="1"/>
  <c r="G55" i="12"/>
  <c r="G53" i="12"/>
  <c r="G50" i="12"/>
  <c r="G51" i="12"/>
  <c r="G48" i="12"/>
  <c r="G49" i="12"/>
  <c r="G46" i="12"/>
  <c r="G45" i="12"/>
  <c r="G47" i="12"/>
  <c r="G44" i="12"/>
  <c r="G39" i="12" l="1"/>
  <c r="G38" i="12"/>
  <c r="G13" i="12"/>
  <c r="G14" i="12"/>
  <c r="G15" i="12"/>
  <c r="G12" i="12"/>
  <c r="F28" i="26" l="1"/>
  <c r="N28" i="12" l="1"/>
  <c r="N29" i="12"/>
  <c r="T46" i="12" l="1"/>
  <c r="T45" i="12"/>
  <c r="T47" i="12"/>
  <c r="T48" i="12"/>
  <c r="T49" i="12"/>
  <c r="T50" i="12"/>
  <c r="T51" i="12"/>
  <c r="T52" i="12"/>
  <c r="T53" i="12"/>
  <c r="T54" i="12"/>
  <c r="T55" i="12"/>
  <c r="T44" i="12"/>
  <c r="U43" i="12" l="1"/>
  <c r="T43" i="12"/>
  <c r="P43" i="12"/>
  <c r="N43" i="12"/>
  <c r="J43" i="12"/>
  <c r="F43" i="12"/>
  <c r="T4" i="12"/>
  <c r="T5" i="12"/>
  <c r="T6" i="12"/>
  <c r="T7" i="12"/>
  <c r="T10" i="12"/>
  <c r="T11" i="12"/>
  <c r="T12" i="12"/>
  <c r="T13" i="12"/>
  <c r="T14" i="12"/>
  <c r="T15" i="12"/>
  <c r="T16" i="12"/>
  <c r="T17" i="12"/>
  <c r="T18" i="12"/>
  <c r="T20" i="12"/>
  <c r="T21" i="12"/>
  <c r="T24" i="12"/>
  <c r="T25" i="12"/>
  <c r="T26" i="12"/>
  <c r="T27" i="12"/>
  <c r="T28" i="12"/>
  <c r="T29" i="12"/>
  <c r="T30" i="12"/>
  <c r="T31" i="12"/>
  <c r="T36" i="12"/>
  <c r="T37" i="12"/>
  <c r="T38" i="12"/>
  <c r="T39" i="12"/>
  <c r="T40" i="12"/>
  <c r="T41" i="12"/>
  <c r="T3" i="12"/>
  <c r="T2" i="12"/>
  <c r="Q3" i="12"/>
  <c r="Q2" i="12"/>
  <c r="M39" i="12"/>
  <c r="O39" i="12" s="1"/>
  <c r="N39" i="12" s="1"/>
  <c r="S39" i="12"/>
  <c r="H39" i="12"/>
  <c r="S38" i="12"/>
  <c r="M38" i="12"/>
  <c r="O38" i="12" s="1"/>
  <c r="I38" i="12"/>
  <c r="S14" i="12"/>
  <c r="S15" i="12"/>
  <c r="M15" i="12"/>
  <c r="O15" i="12" s="1"/>
  <c r="N15" i="12" s="1"/>
  <c r="M14" i="12"/>
  <c r="O14" i="12" s="1"/>
  <c r="N14" i="12" s="1"/>
  <c r="H14" i="12"/>
  <c r="H15" i="12"/>
  <c r="U39" i="12" l="1"/>
  <c r="V39" i="12" s="1"/>
  <c r="U15" i="12"/>
  <c r="V15" i="12" s="1"/>
  <c r="U14" i="12"/>
  <c r="V14" i="12" s="1"/>
  <c r="B34" i="4"/>
  <c r="N38" i="12"/>
  <c r="B29" i="4"/>
  <c r="I39" i="12"/>
  <c r="H38" i="12"/>
  <c r="U38" i="12" s="1"/>
  <c r="V38" i="12" s="1"/>
  <c r="I15" i="12"/>
  <c r="I14" i="12"/>
  <c r="G32" i="12" l="1"/>
  <c r="H32" i="12" s="1"/>
  <c r="M32" i="12"/>
  <c r="O32" i="12" s="1"/>
  <c r="N32" i="12" s="1"/>
  <c r="S32" i="12"/>
  <c r="U32" i="12" l="1"/>
  <c r="V32" i="12" s="1"/>
  <c r="I32" i="12"/>
  <c r="M24" i="12"/>
  <c r="K43" i="12" l="1"/>
  <c r="S13" i="12" l="1"/>
  <c r="S12" i="12"/>
  <c r="M13" i="12" l="1"/>
  <c r="O13" i="12" s="1"/>
  <c r="N13" i="12" s="1"/>
  <c r="M12" i="12"/>
  <c r="H13" i="12"/>
  <c r="U13" i="12" s="1"/>
  <c r="V13" i="12" s="1"/>
  <c r="H12" i="12"/>
  <c r="U12" i="12" s="1"/>
  <c r="V12" i="12" s="1"/>
  <c r="O12" i="12" l="1"/>
  <c r="N12" i="12" s="1"/>
  <c r="B23" i="4"/>
  <c r="I13" i="12"/>
  <c r="I12" i="12"/>
  <c r="G41" i="12"/>
  <c r="I41" i="12" s="1"/>
  <c r="G40" i="12"/>
  <c r="I40" i="12" s="1"/>
  <c r="G31" i="12"/>
  <c r="I31" i="12" s="1"/>
  <c r="G33" i="12"/>
  <c r="I33" i="12" s="1"/>
  <c r="G34" i="12"/>
  <c r="I34" i="12" s="1"/>
  <c r="G35" i="12"/>
  <c r="I35" i="12" s="1"/>
  <c r="G36" i="12"/>
  <c r="I36" i="12" s="1"/>
  <c r="G37" i="12"/>
  <c r="I37" i="12" s="1"/>
  <c r="G30" i="12"/>
  <c r="I30" i="12" s="1"/>
  <c r="G27" i="12"/>
  <c r="I27" i="12" s="1"/>
  <c r="G26" i="12"/>
  <c r="I26" i="12" s="1"/>
  <c r="G20" i="12"/>
  <c r="I20" i="12" s="1"/>
  <c r="G21" i="12"/>
  <c r="I21" i="12" s="1"/>
  <c r="G24" i="12"/>
  <c r="I24" i="12" s="1"/>
  <c r="G25" i="12"/>
  <c r="I25" i="12" s="1"/>
  <c r="G16" i="12"/>
  <c r="I16" i="12" s="1"/>
  <c r="G17" i="12"/>
  <c r="I17" i="12" s="1"/>
  <c r="G18" i="12"/>
  <c r="I18" i="12" s="1"/>
  <c r="G19" i="12"/>
  <c r="I19" i="12" s="1"/>
  <c r="G10" i="12"/>
  <c r="I10" i="12" s="1"/>
  <c r="G11" i="12"/>
  <c r="I11" i="12" s="1"/>
  <c r="G2" i="12"/>
  <c r="I2" i="12" s="1"/>
  <c r="G3" i="12"/>
  <c r="I3" i="12" s="1"/>
  <c r="G6" i="12"/>
  <c r="I6" i="12" s="1"/>
  <c r="G7" i="12"/>
  <c r="I7" i="12" s="1"/>
  <c r="G5" i="12"/>
  <c r="I5" i="12" s="1"/>
  <c r="G4" i="12"/>
  <c r="I4" i="12" s="1"/>
  <c r="M43" i="12" l="1"/>
  <c r="S41" i="12" l="1"/>
  <c r="F45" i="27" l="1"/>
  <c r="E45" i="27"/>
  <c r="D45" i="27"/>
  <c r="C45" i="27"/>
  <c r="B45" i="27"/>
  <c r="R31" i="29"/>
  <c r="L27" i="1"/>
  <c r="J27" i="1"/>
  <c r="H61" i="114" s="1"/>
  <c r="G22" i="1"/>
  <c r="G10" i="115" s="1"/>
  <c r="C10" i="114" l="1"/>
  <c r="M27" i="1"/>
  <c r="W27" i="1" s="1"/>
  <c r="G61" i="114"/>
  <c r="M45" i="27"/>
  <c r="G45" i="27"/>
  <c r="I45" i="27" s="1"/>
  <c r="K45" i="27" s="1"/>
  <c r="N45" i="27"/>
  <c r="H45" i="27"/>
  <c r="J45" i="27" s="1"/>
  <c r="L45" i="27" s="1"/>
  <c r="S31" i="29"/>
  <c r="L25" i="32"/>
  <c r="O25" i="32"/>
  <c r="N25" i="32"/>
  <c r="M25" i="32"/>
  <c r="U27" i="1" l="1"/>
  <c r="O27" i="1"/>
  <c r="F27" i="1"/>
  <c r="P25" i="32"/>
  <c r="Q46" i="104" l="1"/>
  <c r="P46" i="104"/>
  <c r="O46" i="104"/>
  <c r="N46" i="104"/>
  <c r="M46" i="104"/>
  <c r="L46" i="104"/>
  <c r="K46" i="104"/>
  <c r="J46" i="104"/>
  <c r="I46" i="104"/>
  <c r="H46" i="104"/>
  <c r="G46" i="104"/>
  <c r="F46" i="104"/>
  <c r="E46" i="104"/>
  <c r="D46" i="104"/>
  <c r="Q13" i="104"/>
  <c r="Q45" i="104" s="1"/>
  <c r="P13" i="104"/>
  <c r="P45" i="104" s="1"/>
  <c r="O13" i="104"/>
  <c r="N13" i="104"/>
  <c r="M13" i="104"/>
  <c r="M45" i="104" s="1"/>
  <c r="L13" i="104"/>
  <c r="L45" i="104" s="1"/>
  <c r="K13" i="104"/>
  <c r="J13" i="104"/>
  <c r="I13" i="104"/>
  <c r="I45" i="104" s="1"/>
  <c r="H13" i="104"/>
  <c r="H45" i="104" s="1"/>
  <c r="G13" i="104"/>
  <c r="F13" i="104"/>
  <c r="E13" i="104"/>
  <c r="E45" i="104" s="1"/>
  <c r="D13" i="104"/>
  <c r="D45" i="104" s="1"/>
  <c r="R12" i="104"/>
  <c r="R11" i="104"/>
  <c r="R10" i="104"/>
  <c r="R9" i="104"/>
  <c r="R8" i="104"/>
  <c r="R7" i="104"/>
  <c r="S10" i="104"/>
  <c r="R6" i="104"/>
  <c r="R5" i="104"/>
  <c r="R4" i="104"/>
  <c r="U10" i="104" l="1"/>
  <c r="S9" i="104"/>
  <c r="S6" i="104"/>
  <c r="S7" i="104"/>
  <c r="S11" i="104"/>
  <c r="S5" i="104"/>
  <c r="S8" i="104"/>
  <c r="S12" i="104"/>
  <c r="I47" i="104"/>
  <c r="Q47" i="104"/>
  <c r="D47" i="104"/>
  <c r="L47" i="104"/>
  <c r="E47" i="104"/>
  <c r="M47" i="104"/>
  <c r="H47" i="104"/>
  <c r="P47" i="104"/>
  <c r="U8" i="104"/>
  <c r="S4" i="104"/>
  <c r="F45" i="104"/>
  <c r="F47" i="104" s="1"/>
  <c r="J45" i="104"/>
  <c r="J47" i="104" s="1"/>
  <c r="N45" i="104"/>
  <c r="N47" i="104" s="1"/>
  <c r="G45" i="104"/>
  <c r="G47" i="104" s="1"/>
  <c r="K45" i="104"/>
  <c r="K47" i="104" s="1"/>
  <c r="O45" i="104"/>
  <c r="O47" i="104" s="1"/>
  <c r="B116" i="12" l="1"/>
  <c r="B117" i="12" s="1"/>
  <c r="C81" i="12" l="1"/>
  <c r="S37" i="12"/>
  <c r="M37" i="12"/>
  <c r="O37" i="12" s="1"/>
  <c r="N37" i="12" s="1"/>
  <c r="H37" i="12"/>
  <c r="U37" i="12" s="1"/>
  <c r="V37" i="12" s="1"/>
  <c r="S11" i="12"/>
  <c r="C65" i="12"/>
  <c r="M11" i="12"/>
  <c r="O11" i="12" s="1"/>
  <c r="N11" i="12" s="1"/>
  <c r="H11" i="12" l="1"/>
  <c r="U11" i="12" s="1"/>
  <c r="V11" i="12" s="1"/>
  <c r="C83" i="12" l="1"/>
  <c r="M41" i="12"/>
  <c r="O41" i="12" s="1"/>
  <c r="N41" i="12" s="1"/>
  <c r="G83" i="12" l="1"/>
  <c r="H41" i="12"/>
  <c r="U41" i="12" s="1"/>
  <c r="V41" i="12" s="1"/>
  <c r="D21" i="54" l="1"/>
  <c r="G30" i="86"/>
  <c r="G31" i="86"/>
  <c r="G32" i="86"/>
  <c r="G33" i="86"/>
  <c r="G34" i="86"/>
  <c r="C76" i="12"/>
  <c r="C80" i="12"/>
  <c r="C79" i="12"/>
  <c r="C78" i="12"/>
  <c r="C71" i="12"/>
  <c r="C70" i="12"/>
  <c r="C64" i="12"/>
  <c r="C63" i="12"/>
  <c r="C73" i="12"/>
  <c r="C72" i="12"/>
  <c r="H21" i="12"/>
  <c r="U21" i="12" s="1"/>
  <c r="V21" i="12" s="1"/>
  <c r="O21" i="12"/>
  <c r="N21" i="12" s="1"/>
  <c r="S21" i="12"/>
  <c r="G72" i="12" l="1"/>
  <c r="G73" i="12" l="1"/>
  <c r="G80" i="12" l="1"/>
  <c r="G62" i="12"/>
  <c r="C14" i="103" l="1"/>
  <c r="J9" i="1"/>
  <c r="H43" i="114" s="1"/>
  <c r="L9" i="1"/>
  <c r="J10" i="1"/>
  <c r="H44" i="114" s="1"/>
  <c r="L10" i="1"/>
  <c r="J11" i="1"/>
  <c r="H45" i="114" s="1"/>
  <c r="L11" i="1"/>
  <c r="J12" i="1"/>
  <c r="H46" i="114" s="1"/>
  <c r="L12" i="1"/>
  <c r="J13" i="1"/>
  <c r="H47" i="114" s="1"/>
  <c r="L13" i="1"/>
  <c r="J14" i="1"/>
  <c r="H48" i="114" s="1"/>
  <c r="L14" i="1"/>
  <c r="J15" i="1"/>
  <c r="H49" i="114" s="1"/>
  <c r="L15" i="1"/>
  <c r="J16" i="1"/>
  <c r="H50" i="114" s="1"/>
  <c r="L16" i="1"/>
  <c r="J17" i="1"/>
  <c r="H51" i="114" s="1"/>
  <c r="L17" i="1"/>
  <c r="J18" i="1"/>
  <c r="H52" i="114" s="1"/>
  <c r="L18" i="1"/>
  <c r="J19" i="1"/>
  <c r="H53" i="114" s="1"/>
  <c r="L19" i="1"/>
  <c r="J20" i="1"/>
  <c r="H54" i="114" s="1"/>
  <c r="L20" i="1"/>
  <c r="J21" i="1"/>
  <c r="H55" i="114" s="1"/>
  <c r="L21" i="1"/>
  <c r="C56" i="103"/>
  <c r="J22" i="1"/>
  <c r="H56" i="114" s="1"/>
  <c r="L22" i="1"/>
  <c r="J23" i="1"/>
  <c r="H57" i="114" s="1"/>
  <c r="L23" i="1"/>
  <c r="J24" i="1"/>
  <c r="H58" i="114" s="1"/>
  <c r="L24" i="1"/>
  <c r="J25" i="1"/>
  <c r="H59" i="114" s="1"/>
  <c r="L25" i="1"/>
  <c r="J26" i="1"/>
  <c r="H60" i="114" s="1"/>
  <c r="L26" i="1"/>
  <c r="G28" i="1"/>
  <c r="J28" i="1"/>
  <c r="H62" i="114" s="1"/>
  <c r="L28" i="1"/>
  <c r="J29" i="1"/>
  <c r="H63" i="114" s="1"/>
  <c r="L29" i="1"/>
  <c r="J30" i="1"/>
  <c r="H64" i="114" s="1"/>
  <c r="L30" i="1"/>
  <c r="J31" i="1"/>
  <c r="H65" i="114" s="1"/>
  <c r="L31" i="1"/>
  <c r="L32" i="1"/>
  <c r="L33" i="1"/>
  <c r="L34" i="1"/>
  <c r="L35" i="1"/>
  <c r="L36" i="1"/>
  <c r="J39" i="1"/>
  <c r="L39" i="1"/>
  <c r="J40" i="1"/>
  <c r="H74" i="114" s="1"/>
  <c r="L40" i="1"/>
  <c r="J41" i="1"/>
  <c r="H75" i="114" s="1"/>
  <c r="L41" i="1"/>
  <c r="J42" i="1"/>
  <c r="H76" i="114" s="1"/>
  <c r="L42" i="1"/>
  <c r="J43" i="1"/>
  <c r="H77" i="114" s="1"/>
  <c r="L43" i="1"/>
  <c r="J44" i="1"/>
  <c r="H78" i="114" s="1"/>
  <c r="L44" i="1"/>
  <c r="G47" i="1"/>
  <c r="J47" i="1"/>
  <c r="H81" i="114" s="1"/>
  <c r="L47" i="1"/>
  <c r="J48" i="1"/>
  <c r="H82" i="114" s="1"/>
  <c r="L48" i="1"/>
  <c r="J49" i="1"/>
  <c r="H83" i="114" s="1"/>
  <c r="L49" i="1"/>
  <c r="J50" i="1"/>
  <c r="H84" i="114" s="1"/>
  <c r="L50" i="1"/>
  <c r="J51" i="1"/>
  <c r="H85" i="114" s="1"/>
  <c r="L51" i="1"/>
  <c r="J52" i="1"/>
  <c r="H86" i="114" s="1"/>
  <c r="L52" i="1"/>
  <c r="J53" i="1"/>
  <c r="H87" i="114" s="1"/>
  <c r="L53" i="1"/>
  <c r="J54" i="1"/>
  <c r="H88" i="114" s="1"/>
  <c r="L54" i="1"/>
  <c r="J55" i="1"/>
  <c r="H89" i="114" s="1"/>
  <c r="L55" i="1"/>
  <c r="C42" i="103"/>
  <c r="D42" i="103" s="1"/>
  <c r="J56" i="1"/>
  <c r="H90" i="114" s="1"/>
  <c r="J57" i="1"/>
  <c r="H91" i="114" s="1"/>
  <c r="L57" i="1"/>
  <c r="J58" i="1"/>
  <c r="H92" i="114" s="1"/>
  <c r="L58" i="1"/>
  <c r="J59" i="1"/>
  <c r="H93" i="114" s="1"/>
  <c r="L59" i="1"/>
  <c r="J60" i="1"/>
  <c r="H94" i="114" s="1"/>
  <c r="L60" i="1"/>
  <c r="J61" i="1"/>
  <c r="H95" i="114" s="1"/>
  <c r="L61" i="1"/>
  <c r="C16" i="114"/>
  <c r="J64" i="1"/>
  <c r="L64" i="1"/>
  <c r="J65" i="1"/>
  <c r="H99" i="114" s="1"/>
  <c r="L65" i="1"/>
  <c r="J66" i="1"/>
  <c r="H100" i="114" s="1"/>
  <c r="L66" i="1"/>
  <c r="J67" i="1"/>
  <c r="H101" i="114" s="1"/>
  <c r="L67" i="1"/>
  <c r="J68" i="1"/>
  <c r="H102" i="114" s="1"/>
  <c r="L68" i="1"/>
  <c r="J69" i="1"/>
  <c r="H103" i="114" s="1"/>
  <c r="L69" i="1"/>
  <c r="J72" i="1"/>
  <c r="L72" i="1"/>
  <c r="J73" i="1"/>
  <c r="H107" i="114" s="1"/>
  <c r="L73" i="1"/>
  <c r="J74" i="1"/>
  <c r="H108" i="114" s="1"/>
  <c r="L74" i="1"/>
  <c r="J75" i="1"/>
  <c r="H109" i="114" s="1"/>
  <c r="L75" i="1"/>
  <c r="J76" i="1"/>
  <c r="H110" i="114" s="1"/>
  <c r="L76" i="1"/>
  <c r="J77" i="1"/>
  <c r="H111" i="114" s="1"/>
  <c r="L77" i="1"/>
  <c r="J80" i="1"/>
  <c r="H114" i="114" s="1"/>
  <c r="L80" i="1"/>
  <c r="J81" i="1"/>
  <c r="H115" i="114" s="1"/>
  <c r="L81" i="1"/>
  <c r="J82" i="1"/>
  <c r="H116" i="114" s="1"/>
  <c r="L82" i="1"/>
  <c r="J83" i="1"/>
  <c r="H117" i="114" s="1"/>
  <c r="L83" i="1"/>
  <c r="J84" i="1"/>
  <c r="H118" i="114" s="1"/>
  <c r="L84" i="1"/>
  <c r="J85" i="1"/>
  <c r="H119" i="114" s="1"/>
  <c r="L85" i="1"/>
  <c r="J86" i="1"/>
  <c r="H120" i="114" s="1"/>
  <c r="L86" i="1"/>
  <c r="J87" i="1"/>
  <c r="H121" i="114" s="1"/>
  <c r="L87" i="1"/>
  <c r="J88" i="1"/>
  <c r="H122" i="114" s="1"/>
  <c r="L88" i="1"/>
  <c r="J89" i="1"/>
  <c r="H123" i="114" s="1"/>
  <c r="L89" i="1"/>
  <c r="J90" i="1"/>
  <c r="H124" i="114" s="1"/>
  <c r="L90" i="1"/>
  <c r="J91" i="1"/>
  <c r="H125" i="114" s="1"/>
  <c r="L91" i="1"/>
  <c r="J92" i="1"/>
  <c r="H126" i="114" s="1"/>
  <c r="L92" i="1"/>
  <c r="J93" i="1"/>
  <c r="H127" i="114" s="1"/>
  <c r="L93" i="1"/>
  <c r="G94" i="1"/>
  <c r="C25" i="114" s="1"/>
  <c r="J94" i="1"/>
  <c r="H128" i="114" s="1"/>
  <c r="L94" i="1"/>
  <c r="S94" i="1"/>
  <c r="J95" i="1"/>
  <c r="H129" i="114" s="1"/>
  <c r="L95" i="1"/>
  <c r="G96" i="1"/>
  <c r="C26" i="114" s="1"/>
  <c r="J96" i="1"/>
  <c r="H130" i="114" s="1"/>
  <c r="L96" i="1"/>
  <c r="J97" i="1"/>
  <c r="H131" i="114" s="1"/>
  <c r="L97" i="1"/>
  <c r="S97" i="1"/>
  <c r="J98" i="1"/>
  <c r="H132" i="114" s="1"/>
  <c r="L98" i="1"/>
  <c r="G99" i="1"/>
  <c r="C27" i="114" s="1"/>
  <c r="J99" i="1"/>
  <c r="H133" i="114" s="1"/>
  <c r="L99" i="1"/>
  <c r="S99" i="1"/>
  <c r="J100" i="1"/>
  <c r="H134" i="114" s="1"/>
  <c r="L100" i="1"/>
  <c r="S100" i="1"/>
  <c r="G101" i="1"/>
  <c r="C28" i="114" s="1"/>
  <c r="J101" i="1"/>
  <c r="H135" i="114" s="1"/>
  <c r="L101" i="1"/>
  <c r="S101" i="1"/>
  <c r="J102" i="1"/>
  <c r="H136" i="114" s="1"/>
  <c r="L102" i="1"/>
  <c r="G103" i="1"/>
  <c r="C29" i="114" s="1"/>
  <c r="J103" i="1"/>
  <c r="H137" i="114" s="1"/>
  <c r="L103" i="1"/>
  <c r="J104" i="1"/>
  <c r="H138" i="114" s="1"/>
  <c r="L104" i="1"/>
  <c r="S104" i="1"/>
  <c r="C30" i="114"/>
  <c r="H139" i="114"/>
  <c r="H140" i="114"/>
  <c r="G107" i="1"/>
  <c r="C31" i="114" s="1"/>
  <c r="J107" i="1"/>
  <c r="L107" i="1"/>
  <c r="S107" i="1"/>
  <c r="J108" i="1"/>
  <c r="H142" i="114" s="1"/>
  <c r="L108" i="1"/>
  <c r="G109" i="1"/>
  <c r="C32" i="114" s="1"/>
  <c r="J109" i="1"/>
  <c r="H143" i="114" s="1"/>
  <c r="L109" i="1"/>
  <c r="J110" i="1"/>
  <c r="H144" i="114" s="1"/>
  <c r="L110" i="1"/>
  <c r="S110" i="1"/>
  <c r="J111" i="1"/>
  <c r="H145" i="114" s="1"/>
  <c r="L111" i="1"/>
  <c r="G112" i="1"/>
  <c r="C33" i="114" s="1"/>
  <c r="J112" i="1"/>
  <c r="H146" i="114" s="1"/>
  <c r="L112" i="1"/>
  <c r="J113" i="1"/>
  <c r="H147" i="114" s="1"/>
  <c r="L113" i="1"/>
  <c r="S113" i="1"/>
  <c r="G114" i="1"/>
  <c r="C34" i="114" s="1"/>
  <c r="J114" i="1"/>
  <c r="H148" i="114" s="1"/>
  <c r="L114" i="1"/>
  <c r="S114" i="1"/>
  <c r="J115" i="1"/>
  <c r="H149" i="114" s="1"/>
  <c r="L115" i="1"/>
  <c r="G116" i="1"/>
  <c r="C35" i="114" s="1"/>
  <c r="J116" i="1"/>
  <c r="H150" i="114" s="1"/>
  <c r="L116" i="1"/>
  <c r="J117" i="1"/>
  <c r="H151" i="114" s="1"/>
  <c r="L117" i="1"/>
  <c r="S117" i="1"/>
  <c r="J118" i="1"/>
  <c r="H152" i="114" s="1"/>
  <c r="L118" i="1"/>
  <c r="D8" i="27" l="1"/>
  <c r="C14" i="114"/>
  <c r="C11" i="114"/>
  <c r="H141" i="114"/>
  <c r="F53" i="4"/>
  <c r="D14" i="27"/>
  <c r="D13" i="27"/>
  <c r="D12" i="27"/>
  <c r="D10" i="27"/>
  <c r="D5" i="27"/>
  <c r="D4" i="27"/>
  <c r="D11" i="27"/>
  <c r="D9" i="27"/>
  <c r="D6" i="27"/>
  <c r="D16" i="27"/>
  <c r="D15" i="27"/>
  <c r="D7" i="27"/>
  <c r="F12" i="4"/>
  <c r="G12" i="4" s="1"/>
  <c r="E17" i="114" s="1"/>
  <c r="F8" i="4"/>
  <c r="G8" i="4" s="1"/>
  <c r="E13" i="114" s="1"/>
  <c r="H106" i="114"/>
  <c r="C13" i="27"/>
  <c r="H73" i="114"/>
  <c r="C9" i="27"/>
  <c r="C12" i="27"/>
  <c r="G139" i="114"/>
  <c r="M90" i="1"/>
  <c r="W90" i="1" s="1"/>
  <c r="G124" i="114"/>
  <c r="M86" i="1"/>
  <c r="W86" i="1" s="1"/>
  <c r="G120" i="114"/>
  <c r="M82" i="1"/>
  <c r="W82" i="1" s="1"/>
  <c r="G116" i="114"/>
  <c r="M94" i="1"/>
  <c r="F94" i="1" s="1"/>
  <c r="G128" i="114"/>
  <c r="M117" i="1"/>
  <c r="F117" i="1" s="1"/>
  <c r="G151" i="114"/>
  <c r="M114" i="1"/>
  <c r="F114" i="1" s="1"/>
  <c r="G148" i="114"/>
  <c r="M99" i="1"/>
  <c r="F99" i="1" s="1"/>
  <c r="G133" i="114"/>
  <c r="M96" i="1"/>
  <c r="F96" i="1" s="1"/>
  <c r="G130" i="114"/>
  <c r="M109" i="1"/>
  <c r="F109" i="1" s="1"/>
  <c r="G143" i="114"/>
  <c r="M102" i="1"/>
  <c r="F102" i="1" s="1"/>
  <c r="G136" i="114"/>
  <c r="M111" i="1"/>
  <c r="F111" i="1" s="1"/>
  <c r="G145" i="114"/>
  <c r="M107" i="1"/>
  <c r="F107" i="1" s="1"/>
  <c r="G141" i="114"/>
  <c r="M104" i="1"/>
  <c r="F104" i="1" s="1"/>
  <c r="G138" i="114"/>
  <c r="M101" i="1"/>
  <c r="F101" i="1" s="1"/>
  <c r="G135" i="114"/>
  <c r="M93" i="1"/>
  <c r="O93" i="1" s="1"/>
  <c r="G127" i="114"/>
  <c r="M89" i="1"/>
  <c r="O89" i="1" s="1"/>
  <c r="G123" i="114"/>
  <c r="M85" i="1"/>
  <c r="F85" i="1" s="1"/>
  <c r="G119" i="114"/>
  <c r="M81" i="1"/>
  <c r="W81" i="1" s="1"/>
  <c r="G115" i="114"/>
  <c r="M116" i="1"/>
  <c r="F116" i="1" s="1"/>
  <c r="G150" i="114"/>
  <c r="M103" i="1"/>
  <c r="F103" i="1" s="1"/>
  <c r="G137" i="114"/>
  <c r="M98" i="1"/>
  <c r="F98" i="1" s="1"/>
  <c r="G132" i="114"/>
  <c r="M95" i="1"/>
  <c r="F95" i="1" s="1"/>
  <c r="G129" i="114"/>
  <c r="M92" i="1"/>
  <c r="W92" i="1" s="1"/>
  <c r="G126" i="114"/>
  <c r="M88" i="1"/>
  <c r="W88" i="1" s="1"/>
  <c r="G122" i="114"/>
  <c r="M84" i="1"/>
  <c r="W84" i="1" s="1"/>
  <c r="G118" i="114"/>
  <c r="M80" i="1"/>
  <c r="W80" i="1" s="1"/>
  <c r="G114" i="114"/>
  <c r="M112" i="1"/>
  <c r="F112" i="1" s="1"/>
  <c r="G146" i="114"/>
  <c r="M113" i="1"/>
  <c r="F113" i="1" s="1"/>
  <c r="G147" i="114"/>
  <c r="M110" i="1"/>
  <c r="F110" i="1" s="1"/>
  <c r="G144" i="114"/>
  <c r="H98" i="114"/>
  <c r="F11" i="4"/>
  <c r="G11" i="4" s="1"/>
  <c r="M108" i="1"/>
  <c r="F108" i="1" s="1"/>
  <c r="G142" i="114"/>
  <c r="M97" i="1"/>
  <c r="F97" i="1" s="1"/>
  <c r="G131" i="114"/>
  <c r="M118" i="1"/>
  <c r="F118" i="1" s="1"/>
  <c r="G152" i="114"/>
  <c r="M115" i="1"/>
  <c r="F115" i="1" s="1"/>
  <c r="G149" i="114"/>
  <c r="G140" i="114"/>
  <c r="M100" i="1"/>
  <c r="F100" i="1" s="1"/>
  <c r="G134" i="114"/>
  <c r="M91" i="1"/>
  <c r="F91" i="1" s="1"/>
  <c r="G125" i="114"/>
  <c r="M87" i="1"/>
  <c r="W87" i="1" s="1"/>
  <c r="G121" i="114"/>
  <c r="M83" i="1"/>
  <c r="F83" i="1" s="1"/>
  <c r="G117" i="114"/>
  <c r="M77" i="1"/>
  <c r="F77" i="1" s="1"/>
  <c r="G111" i="114"/>
  <c r="M60" i="1"/>
  <c r="O60" i="1" s="1"/>
  <c r="G94" i="114"/>
  <c r="M43" i="1"/>
  <c r="O43" i="1" s="1"/>
  <c r="G77" i="114"/>
  <c r="M48" i="1"/>
  <c r="F48" i="1" s="1"/>
  <c r="G82" i="114"/>
  <c r="M61" i="1"/>
  <c r="O61" i="1" s="1"/>
  <c r="G95" i="114"/>
  <c r="M57" i="1"/>
  <c r="F57" i="1" s="1"/>
  <c r="G91" i="114"/>
  <c r="M44" i="1"/>
  <c r="F44" i="1" s="1"/>
  <c r="G78" i="114"/>
  <c r="M40" i="1"/>
  <c r="W40" i="1" s="1"/>
  <c r="G74" i="114"/>
  <c r="M32" i="1"/>
  <c r="W32" i="1" s="1"/>
  <c r="G66" i="114"/>
  <c r="M23" i="1"/>
  <c r="W23" i="1" s="1"/>
  <c r="G57" i="114"/>
  <c r="M65" i="1"/>
  <c r="F65" i="1" s="1"/>
  <c r="G99" i="114"/>
  <c r="M30" i="1"/>
  <c r="W30" i="1" s="1"/>
  <c r="G64" i="114"/>
  <c r="M76" i="1"/>
  <c r="W76" i="1" s="1"/>
  <c r="G110" i="114"/>
  <c r="M72" i="1"/>
  <c r="F72" i="1" s="1"/>
  <c r="G106" i="114"/>
  <c r="M66" i="1"/>
  <c r="O66" i="1" s="1"/>
  <c r="G100" i="114"/>
  <c r="M53" i="1"/>
  <c r="W53" i="1" s="1"/>
  <c r="G87" i="114"/>
  <c r="M49" i="1"/>
  <c r="W49" i="1" s="1"/>
  <c r="G83" i="114"/>
  <c r="M31" i="1"/>
  <c r="U31" i="1" s="1"/>
  <c r="G65" i="114"/>
  <c r="M19" i="1"/>
  <c r="U19" i="1" s="1"/>
  <c r="G53" i="114"/>
  <c r="M15" i="1"/>
  <c r="W15" i="1" s="1"/>
  <c r="G49" i="114"/>
  <c r="M11" i="1"/>
  <c r="W11" i="1" s="1"/>
  <c r="G45" i="114"/>
  <c r="M56" i="1"/>
  <c r="F56" i="1" s="1"/>
  <c r="G90" i="114"/>
  <c r="M75" i="1"/>
  <c r="W75" i="1" s="1"/>
  <c r="G109" i="114"/>
  <c r="M52" i="1"/>
  <c r="F52" i="1" s="1"/>
  <c r="G86" i="114"/>
  <c r="M18" i="1"/>
  <c r="F18" i="1" s="1"/>
  <c r="G52" i="114"/>
  <c r="M59" i="1"/>
  <c r="O59" i="1" s="1"/>
  <c r="G93" i="114"/>
  <c r="M42" i="1"/>
  <c r="W42" i="1" s="1"/>
  <c r="G76" i="114"/>
  <c r="M36" i="1"/>
  <c r="F36" i="1" s="1"/>
  <c r="G70" i="114"/>
  <c r="M25" i="1"/>
  <c r="W25" i="1" s="1"/>
  <c r="G59" i="114"/>
  <c r="M22" i="1"/>
  <c r="W22" i="1" s="1"/>
  <c r="G56" i="114"/>
  <c r="M10" i="1"/>
  <c r="W10" i="1" s="1"/>
  <c r="G44" i="114"/>
  <c r="M74" i="1"/>
  <c r="W74" i="1" s="1"/>
  <c r="G108" i="114"/>
  <c r="M68" i="1"/>
  <c r="W68" i="1" s="1"/>
  <c r="G102" i="114"/>
  <c r="M64" i="1"/>
  <c r="F64" i="1" s="1"/>
  <c r="G98" i="114"/>
  <c r="M55" i="1"/>
  <c r="W55" i="1" s="1"/>
  <c r="Y55" i="1" s="1"/>
  <c r="G89" i="114"/>
  <c r="M51" i="1"/>
  <c r="W51" i="1" s="1"/>
  <c r="G85" i="114"/>
  <c r="M47" i="1"/>
  <c r="F47" i="1" s="1"/>
  <c r="G81" i="114"/>
  <c r="M35" i="1"/>
  <c r="U35" i="1" s="1"/>
  <c r="G69" i="114"/>
  <c r="M29" i="1"/>
  <c r="U29" i="1" s="1"/>
  <c r="G63" i="114"/>
  <c r="M21" i="1"/>
  <c r="W21" i="1" s="1"/>
  <c r="Y21" i="1" s="1"/>
  <c r="G55" i="114"/>
  <c r="M17" i="1"/>
  <c r="F17" i="1" s="1"/>
  <c r="G51" i="114"/>
  <c r="M13" i="1"/>
  <c r="W13" i="1" s="1"/>
  <c r="G47" i="114"/>
  <c r="M9" i="1"/>
  <c r="W9" i="1" s="1"/>
  <c r="G43" i="114"/>
  <c r="M26" i="1"/>
  <c r="W26" i="1" s="1"/>
  <c r="G60" i="114"/>
  <c r="M14" i="1"/>
  <c r="W14" i="1" s="1"/>
  <c r="G48" i="114"/>
  <c r="M58" i="1"/>
  <c r="F58" i="1" s="1"/>
  <c r="G92" i="114"/>
  <c r="M41" i="1"/>
  <c r="F41" i="1" s="1"/>
  <c r="G75" i="114"/>
  <c r="M34" i="1"/>
  <c r="O34" i="1" s="1"/>
  <c r="G68" i="114"/>
  <c r="M24" i="1"/>
  <c r="W24" i="1" s="1"/>
  <c r="G58" i="114"/>
  <c r="M39" i="1"/>
  <c r="O39" i="1" s="1"/>
  <c r="G73" i="114"/>
  <c r="M69" i="1"/>
  <c r="W69" i="1" s="1"/>
  <c r="G103" i="114"/>
  <c r="M73" i="1"/>
  <c r="W73" i="1" s="1"/>
  <c r="G107" i="114"/>
  <c r="M67" i="1"/>
  <c r="W67" i="1" s="1"/>
  <c r="G101" i="114"/>
  <c r="M54" i="1"/>
  <c r="W54" i="1" s="1"/>
  <c r="G88" i="114"/>
  <c r="M50" i="1"/>
  <c r="F50" i="1" s="1"/>
  <c r="G84" i="114"/>
  <c r="M33" i="1"/>
  <c r="W33" i="1" s="1"/>
  <c r="G67" i="114"/>
  <c r="M28" i="1"/>
  <c r="O28" i="1" s="1"/>
  <c r="G62" i="114"/>
  <c r="M20" i="1"/>
  <c r="F20" i="1" s="1"/>
  <c r="G54" i="114"/>
  <c r="M16" i="1"/>
  <c r="W16" i="1" s="1"/>
  <c r="G50" i="114"/>
  <c r="M12" i="1"/>
  <c r="W12" i="1" s="1"/>
  <c r="G46" i="114"/>
  <c r="C11" i="27"/>
  <c r="F10" i="4"/>
  <c r="G10" i="4" s="1"/>
  <c r="E15" i="114" s="1"/>
  <c r="D56" i="103"/>
  <c r="F168" i="103"/>
  <c r="D14" i="103"/>
  <c r="C168" i="103"/>
  <c r="S109" i="1"/>
  <c r="S98" i="1"/>
  <c r="S116" i="1"/>
  <c r="S115" i="1"/>
  <c r="S118" i="1"/>
  <c r="S112" i="1"/>
  <c r="S111" i="1"/>
  <c r="S108" i="1"/>
  <c r="S103" i="1"/>
  <c r="S102" i="1"/>
  <c r="S96" i="1"/>
  <c r="S95" i="1"/>
  <c r="W95" i="1" s="1"/>
  <c r="F90" i="1"/>
  <c r="P9" i="1"/>
  <c r="C6" i="27"/>
  <c r="F5" i="4"/>
  <c r="G5" i="4" s="1"/>
  <c r="E10" i="114" s="1"/>
  <c r="E126" i="1"/>
  <c r="G126" i="1" s="1"/>
  <c r="P112" i="1"/>
  <c r="D33" i="114" s="1"/>
  <c r="P96" i="1"/>
  <c r="P99" i="1"/>
  <c r="P80" i="1"/>
  <c r="P107" i="1"/>
  <c r="D31" i="114" s="1"/>
  <c r="P103" i="1"/>
  <c r="P94" i="1"/>
  <c r="P28" i="1"/>
  <c r="AA32" i="1"/>
  <c r="P116" i="1"/>
  <c r="P114" i="1"/>
  <c r="AA72" i="1"/>
  <c r="P109" i="1"/>
  <c r="D32" i="114" s="1"/>
  <c r="D30" i="114"/>
  <c r="P101" i="1"/>
  <c r="B26" i="26"/>
  <c r="F26" i="26"/>
  <c r="I26" i="26" s="1"/>
  <c r="E12" i="32" s="1"/>
  <c r="K26" i="26"/>
  <c r="L26" i="26"/>
  <c r="L26" i="32"/>
  <c r="A23" i="4"/>
  <c r="B5" i="4"/>
  <c r="I5" i="4"/>
  <c r="F10" i="114" s="1"/>
  <c r="A24" i="4"/>
  <c r="B8" i="4"/>
  <c r="D10" i="64"/>
  <c r="L26" i="64" s="1"/>
  <c r="A28" i="4"/>
  <c r="A25" i="4"/>
  <c r="A26" i="4"/>
  <c r="A33" i="4"/>
  <c r="B4" i="4"/>
  <c r="D4" i="4"/>
  <c r="I4" i="4"/>
  <c r="F9" i="114" s="1"/>
  <c r="B7" i="4"/>
  <c r="B12" i="4"/>
  <c r="D14" i="64"/>
  <c r="L44" i="64" s="1"/>
  <c r="B13" i="4"/>
  <c r="D13" i="4"/>
  <c r="I13" i="4"/>
  <c r="F18" i="114" s="1"/>
  <c r="A20" i="4"/>
  <c r="B3" i="4"/>
  <c r="D3" i="4"/>
  <c r="I3" i="4"/>
  <c r="F8" i="114" s="1"/>
  <c r="A22" i="4"/>
  <c r="B10" i="4"/>
  <c r="A21" i="4"/>
  <c r="J11" i="4"/>
  <c r="B11" i="4"/>
  <c r="D13" i="64"/>
  <c r="L32" i="64" s="1"/>
  <c r="A27" i="4"/>
  <c r="B2" i="4"/>
  <c r="D2" i="4"/>
  <c r="D4" i="64" s="1"/>
  <c r="L35" i="64" s="1"/>
  <c r="I2" i="4"/>
  <c r="F7" i="114" s="1"/>
  <c r="M3" i="12"/>
  <c r="S3" i="12"/>
  <c r="S16" i="12"/>
  <c r="D72" i="12"/>
  <c r="S25" i="12"/>
  <c r="S24" i="12"/>
  <c r="F44" i="97"/>
  <c r="E44" i="97"/>
  <c r="D44" i="97"/>
  <c r="C44" i="97"/>
  <c r="E33" i="97"/>
  <c r="E32" i="97"/>
  <c r="E31" i="97"/>
  <c r="E30" i="97"/>
  <c r="J27" i="97"/>
  <c r="J26" i="97"/>
  <c r="J25" i="97"/>
  <c r="J24" i="97"/>
  <c r="J23" i="97"/>
  <c r="J22" i="97"/>
  <c r="J21" i="97"/>
  <c r="J20" i="97"/>
  <c r="K17" i="97"/>
  <c r="L17" i="97" s="1"/>
  <c r="O17" i="97" s="1"/>
  <c r="G17" i="97"/>
  <c r="I17" i="97" s="1"/>
  <c r="K16" i="97"/>
  <c r="L16" i="97" s="1"/>
  <c r="O16" i="97" s="1"/>
  <c r="G16" i="97"/>
  <c r="I16" i="97" s="1"/>
  <c r="K15" i="97"/>
  <c r="L15" i="97" s="1"/>
  <c r="O15" i="97" s="1"/>
  <c r="G15" i="97"/>
  <c r="I15" i="97" s="1"/>
  <c r="K14" i="97"/>
  <c r="L14" i="97" s="1"/>
  <c r="O14" i="97" s="1"/>
  <c r="G14" i="97"/>
  <c r="I14" i="97" s="1"/>
  <c r="K13" i="97"/>
  <c r="L13" i="97" s="1"/>
  <c r="O13" i="97" s="1"/>
  <c r="G13" i="97"/>
  <c r="I13" i="97" s="1"/>
  <c r="E29" i="96"/>
  <c r="E28" i="96"/>
  <c r="E27" i="96"/>
  <c r="E26" i="96"/>
  <c r="O14" i="96"/>
  <c r="O13" i="96"/>
  <c r="O12" i="96"/>
  <c r="O11" i="96"/>
  <c r="F38" i="95"/>
  <c r="E38" i="95"/>
  <c r="D38" i="95"/>
  <c r="C38" i="95"/>
  <c r="E29" i="95"/>
  <c r="E28" i="95"/>
  <c r="E27" i="95"/>
  <c r="E26" i="95"/>
  <c r="I23" i="95"/>
  <c r="I22" i="95"/>
  <c r="I21" i="95"/>
  <c r="I20" i="95"/>
  <c r="I19" i="95"/>
  <c r="I18" i="95"/>
  <c r="K14" i="95"/>
  <c r="L14" i="95" s="1"/>
  <c r="O14" i="95" s="1"/>
  <c r="G14" i="95"/>
  <c r="I14" i="95" s="1"/>
  <c r="K13" i="95"/>
  <c r="L13" i="95" s="1"/>
  <c r="O13" i="95" s="1"/>
  <c r="G13" i="95"/>
  <c r="H13" i="95" s="1"/>
  <c r="K12" i="95"/>
  <c r="L12" i="95" s="1"/>
  <c r="O12" i="95" s="1"/>
  <c r="G12" i="95"/>
  <c r="I12" i="95" s="1"/>
  <c r="K11" i="95"/>
  <c r="L11" i="95" s="1"/>
  <c r="O11" i="95" s="1"/>
  <c r="G11" i="95"/>
  <c r="H11" i="95" s="1"/>
  <c r="D36" i="92"/>
  <c r="C36" i="92"/>
  <c r="E27" i="92"/>
  <c r="E26" i="92"/>
  <c r="I23" i="92"/>
  <c r="I22" i="92"/>
  <c r="I21" i="92"/>
  <c r="I20" i="92"/>
  <c r="I19" i="92"/>
  <c r="I18" i="92"/>
  <c r="N14" i="92"/>
  <c r="K14" i="92"/>
  <c r="L14" i="92" s="1"/>
  <c r="O14" i="92" s="1"/>
  <c r="G14" i="92"/>
  <c r="H14" i="92" s="1"/>
  <c r="N13" i="92"/>
  <c r="K13" i="92"/>
  <c r="L13" i="92" s="1"/>
  <c r="O13" i="92" s="1"/>
  <c r="G13" i="92"/>
  <c r="N12" i="92"/>
  <c r="K12" i="92"/>
  <c r="L12" i="92" s="1"/>
  <c r="O12" i="92" s="1"/>
  <c r="G12" i="92"/>
  <c r="I12" i="92" s="1"/>
  <c r="N11" i="92"/>
  <c r="K11" i="92"/>
  <c r="L11" i="92" s="1"/>
  <c r="O11" i="92" s="1"/>
  <c r="G11" i="92"/>
  <c r="H11" i="92" s="1"/>
  <c r="H7" i="92"/>
  <c r="H6" i="92"/>
  <c r="H5" i="92"/>
  <c r="H4" i="92"/>
  <c r="H3" i="92"/>
  <c r="H2" i="92"/>
  <c r="D120" i="54"/>
  <c r="C120" i="54"/>
  <c r="B120" i="54"/>
  <c r="A120" i="54"/>
  <c r="D119" i="54"/>
  <c r="C119" i="54"/>
  <c r="B119" i="54"/>
  <c r="A119" i="54"/>
  <c r="D118" i="54"/>
  <c r="C118" i="54"/>
  <c r="B118" i="54"/>
  <c r="A118" i="54"/>
  <c r="D117" i="54"/>
  <c r="C117" i="54"/>
  <c r="B117" i="54"/>
  <c r="A117" i="54"/>
  <c r="D116" i="54"/>
  <c r="C116" i="54"/>
  <c r="B116" i="54"/>
  <c r="A116" i="54"/>
  <c r="D115" i="54"/>
  <c r="C115" i="54"/>
  <c r="B115" i="54"/>
  <c r="A115" i="54"/>
  <c r="D114" i="54"/>
  <c r="C114" i="54"/>
  <c r="B114" i="54"/>
  <c r="A114" i="54"/>
  <c r="D113" i="54"/>
  <c r="C113" i="54"/>
  <c r="B113" i="54"/>
  <c r="A113" i="54"/>
  <c r="D112" i="54"/>
  <c r="C112" i="54"/>
  <c r="B112" i="54"/>
  <c r="A112" i="54"/>
  <c r="D111" i="54"/>
  <c r="C111" i="54"/>
  <c r="B111" i="54"/>
  <c r="A111" i="54"/>
  <c r="D110" i="54"/>
  <c r="C110" i="54"/>
  <c r="B110" i="54"/>
  <c r="A110" i="54"/>
  <c r="D109" i="54"/>
  <c r="C109" i="54"/>
  <c r="B109" i="54"/>
  <c r="A109" i="54"/>
  <c r="D108" i="54"/>
  <c r="C108" i="54"/>
  <c r="B108" i="54"/>
  <c r="A108" i="54"/>
  <c r="M107" i="54"/>
  <c r="N107" i="54" s="1"/>
  <c r="D107" i="54"/>
  <c r="C107" i="54"/>
  <c r="B107" i="54"/>
  <c r="A107" i="54"/>
  <c r="M106" i="54"/>
  <c r="N106" i="54" s="1"/>
  <c r="D106" i="54"/>
  <c r="C106" i="54"/>
  <c r="B106" i="54"/>
  <c r="A106" i="54"/>
  <c r="M105" i="54"/>
  <c r="N105" i="54" s="1"/>
  <c r="D105" i="54"/>
  <c r="C105" i="54"/>
  <c r="B105" i="54"/>
  <c r="A105" i="54"/>
  <c r="M104" i="54"/>
  <c r="N104" i="54" s="1"/>
  <c r="D104" i="54"/>
  <c r="C104" i="54"/>
  <c r="B104" i="54"/>
  <c r="A104" i="54"/>
  <c r="M103" i="54"/>
  <c r="N103" i="54" s="1"/>
  <c r="D103" i="54"/>
  <c r="C103" i="54"/>
  <c r="B103" i="54"/>
  <c r="A103" i="54"/>
  <c r="M102" i="54"/>
  <c r="N102" i="54" s="1"/>
  <c r="D102" i="54"/>
  <c r="C102" i="54"/>
  <c r="B102" i="54"/>
  <c r="A102" i="54"/>
  <c r="M101" i="54"/>
  <c r="N101" i="54" s="1"/>
  <c r="D101" i="54"/>
  <c r="C101" i="54"/>
  <c r="B101" i="54"/>
  <c r="A101" i="54"/>
  <c r="M100" i="54"/>
  <c r="N100" i="54" s="1"/>
  <c r="D100" i="54"/>
  <c r="C100" i="54"/>
  <c r="B100" i="54"/>
  <c r="A100" i="54"/>
  <c r="M99" i="54"/>
  <c r="N99" i="54" s="1"/>
  <c r="D99" i="54"/>
  <c r="C99" i="54"/>
  <c r="B99" i="54"/>
  <c r="A99" i="54"/>
  <c r="M98" i="54"/>
  <c r="N98" i="54" s="1"/>
  <c r="D98" i="54"/>
  <c r="C98" i="54"/>
  <c r="B98" i="54"/>
  <c r="A98" i="54"/>
  <c r="M97" i="54"/>
  <c r="N97" i="54" s="1"/>
  <c r="D97" i="54"/>
  <c r="C97" i="54"/>
  <c r="B97" i="54"/>
  <c r="A97" i="54"/>
  <c r="M96" i="54"/>
  <c r="N96" i="54" s="1"/>
  <c r="D96" i="54"/>
  <c r="C96" i="54"/>
  <c r="B96" i="54"/>
  <c r="A96" i="54"/>
  <c r="D95" i="54"/>
  <c r="C95" i="54"/>
  <c r="B95" i="54"/>
  <c r="A95" i="54"/>
  <c r="D86" i="54"/>
  <c r="C86" i="54"/>
  <c r="B86" i="54"/>
  <c r="A86" i="54"/>
  <c r="D85" i="54"/>
  <c r="C85" i="54"/>
  <c r="B85" i="54"/>
  <c r="A85" i="54"/>
  <c r="D84" i="54"/>
  <c r="C84" i="54"/>
  <c r="B84" i="54"/>
  <c r="A84" i="54"/>
  <c r="D83" i="54"/>
  <c r="C83" i="54"/>
  <c r="B83" i="54"/>
  <c r="A83" i="54"/>
  <c r="D82" i="54"/>
  <c r="C82" i="54"/>
  <c r="B82" i="54"/>
  <c r="A82" i="54"/>
  <c r="D81" i="54"/>
  <c r="C81" i="54"/>
  <c r="B81" i="54"/>
  <c r="A81" i="54"/>
  <c r="D80" i="54"/>
  <c r="C80" i="54"/>
  <c r="B80" i="54"/>
  <c r="A80" i="54"/>
  <c r="D79" i="54"/>
  <c r="C79" i="54"/>
  <c r="B79" i="54"/>
  <c r="A79" i="54"/>
  <c r="D78" i="54"/>
  <c r="C78" i="54"/>
  <c r="B78" i="54"/>
  <c r="A78" i="54"/>
  <c r="D77" i="54"/>
  <c r="C77" i="54"/>
  <c r="B77" i="54"/>
  <c r="A77" i="54"/>
  <c r="D76" i="54"/>
  <c r="C76" i="54"/>
  <c r="B76" i="54"/>
  <c r="A76" i="54"/>
  <c r="D75" i="54"/>
  <c r="C75" i="54"/>
  <c r="B75" i="54"/>
  <c r="A75" i="54"/>
  <c r="D74" i="54"/>
  <c r="C74" i="54"/>
  <c r="B74" i="54"/>
  <c r="A74" i="54"/>
  <c r="D73" i="54"/>
  <c r="C73" i="54"/>
  <c r="B73" i="54"/>
  <c r="A73" i="54"/>
  <c r="D72" i="54"/>
  <c r="C72" i="54"/>
  <c r="B72" i="54"/>
  <c r="A72" i="54"/>
  <c r="D71" i="54"/>
  <c r="C71" i="54"/>
  <c r="B71" i="54"/>
  <c r="A71" i="54"/>
  <c r="D70" i="54"/>
  <c r="C70" i="54"/>
  <c r="B70" i="54"/>
  <c r="A70" i="54"/>
  <c r="D69" i="54"/>
  <c r="C69" i="54"/>
  <c r="B69" i="54"/>
  <c r="A69" i="54"/>
  <c r="Q68" i="54"/>
  <c r="R68" i="54" s="1"/>
  <c r="J68" i="54"/>
  <c r="K68" i="54" s="1"/>
  <c r="D68" i="54"/>
  <c r="C68" i="54"/>
  <c r="B68" i="54"/>
  <c r="A68" i="54"/>
  <c r="D67" i="54"/>
  <c r="C67" i="54"/>
  <c r="B67" i="54"/>
  <c r="A67" i="54"/>
  <c r="D66" i="54"/>
  <c r="C66" i="54"/>
  <c r="B66" i="54"/>
  <c r="A66" i="54"/>
  <c r="D65" i="54"/>
  <c r="C65" i="54"/>
  <c r="B65" i="54"/>
  <c r="A65" i="54"/>
  <c r="D64" i="54"/>
  <c r="C64" i="54"/>
  <c r="B64" i="54"/>
  <c r="A64" i="54"/>
  <c r="D63" i="54"/>
  <c r="C63" i="54"/>
  <c r="B63" i="54"/>
  <c r="A63" i="54"/>
  <c r="D62" i="54"/>
  <c r="C62" i="54"/>
  <c r="B62" i="54"/>
  <c r="A62" i="54"/>
  <c r="D61" i="54"/>
  <c r="C61" i="54"/>
  <c r="B61" i="54"/>
  <c r="A61" i="54"/>
  <c r="D60" i="54"/>
  <c r="C60" i="54"/>
  <c r="B60" i="54"/>
  <c r="A60" i="54"/>
  <c r="D59" i="54"/>
  <c r="C59" i="54"/>
  <c r="B59" i="54"/>
  <c r="A59" i="54"/>
  <c r="D58" i="54"/>
  <c r="C58" i="54"/>
  <c r="B58" i="54"/>
  <c r="A58" i="54"/>
  <c r="D57" i="54"/>
  <c r="C57" i="54"/>
  <c r="B57" i="54"/>
  <c r="A57" i="54"/>
  <c r="D56" i="54"/>
  <c r="C56" i="54"/>
  <c r="B56" i="54"/>
  <c r="A56" i="54"/>
  <c r="D55" i="54"/>
  <c r="D52" i="54"/>
  <c r="D53" i="54"/>
  <c r="D54" i="54"/>
  <c r="C55" i="54"/>
  <c r="B55" i="54"/>
  <c r="A55" i="54"/>
  <c r="C54" i="54"/>
  <c r="B54" i="54"/>
  <c r="A54" i="54"/>
  <c r="C53" i="54"/>
  <c r="B53" i="54"/>
  <c r="A53" i="54"/>
  <c r="C52" i="54"/>
  <c r="B52" i="54"/>
  <c r="A52" i="54"/>
  <c r="D51" i="54"/>
  <c r="C51" i="54"/>
  <c r="B51" i="54"/>
  <c r="A51" i="54"/>
  <c r="D50" i="54"/>
  <c r="C50" i="54"/>
  <c r="B50" i="54"/>
  <c r="A50" i="54"/>
  <c r="D49" i="54"/>
  <c r="C49" i="54"/>
  <c r="B49" i="54"/>
  <c r="A49" i="54"/>
  <c r="D48" i="54"/>
  <c r="C48" i="54"/>
  <c r="B48" i="54"/>
  <c r="A48" i="54"/>
  <c r="D47" i="54"/>
  <c r="C47" i="54"/>
  <c r="B47" i="54"/>
  <c r="A47" i="54"/>
  <c r="D46" i="54"/>
  <c r="C46" i="54"/>
  <c r="B46" i="54"/>
  <c r="A46" i="54"/>
  <c r="D45" i="54"/>
  <c r="C45" i="54"/>
  <c r="B45" i="54"/>
  <c r="A45" i="54"/>
  <c r="D44" i="54"/>
  <c r="C44" i="54"/>
  <c r="B44" i="54"/>
  <c r="A44" i="54"/>
  <c r="D43" i="54"/>
  <c r="C43" i="54"/>
  <c r="B43" i="54"/>
  <c r="A43" i="54"/>
  <c r="D42" i="54"/>
  <c r="C42" i="54"/>
  <c r="B42" i="54"/>
  <c r="A42" i="54"/>
  <c r="D41" i="54"/>
  <c r="C41" i="54"/>
  <c r="B41" i="54"/>
  <c r="A41" i="54"/>
  <c r="D40" i="54"/>
  <c r="C40" i="54"/>
  <c r="B40" i="54"/>
  <c r="A40" i="54"/>
  <c r="D39" i="54"/>
  <c r="C39" i="54"/>
  <c r="B39" i="54"/>
  <c r="A39" i="54"/>
  <c r="D38" i="54"/>
  <c r="C38" i="54"/>
  <c r="B38" i="54"/>
  <c r="A38" i="54"/>
  <c r="D37" i="54"/>
  <c r="C37" i="54"/>
  <c r="B37" i="54"/>
  <c r="A37" i="54"/>
  <c r="Q36" i="54"/>
  <c r="R36" i="54" s="1"/>
  <c r="N36" i="54"/>
  <c r="O36" i="54" s="1"/>
  <c r="J36" i="54"/>
  <c r="K36" i="54" s="1"/>
  <c r="D36" i="54"/>
  <c r="C36" i="54"/>
  <c r="B36" i="54"/>
  <c r="A36" i="54"/>
  <c r="D35" i="54"/>
  <c r="C35" i="54"/>
  <c r="B35" i="54"/>
  <c r="A35" i="54"/>
  <c r="D34" i="54"/>
  <c r="C34" i="54"/>
  <c r="B34" i="54"/>
  <c r="A34" i="54"/>
  <c r="D33" i="54"/>
  <c r="C33" i="54"/>
  <c r="B33" i="54"/>
  <c r="A33" i="54"/>
  <c r="D32" i="54"/>
  <c r="C32" i="54"/>
  <c r="B32" i="54"/>
  <c r="A32" i="54"/>
  <c r="D31" i="54"/>
  <c r="C31" i="54"/>
  <c r="B31" i="54"/>
  <c r="A31" i="54"/>
  <c r="D30" i="54"/>
  <c r="C30" i="54"/>
  <c r="B30" i="54"/>
  <c r="A30" i="54"/>
  <c r="D29" i="54"/>
  <c r="C29" i="54"/>
  <c r="B29" i="54"/>
  <c r="A29" i="54"/>
  <c r="D28" i="54"/>
  <c r="C28" i="54"/>
  <c r="B28" i="54"/>
  <c r="A28" i="54"/>
  <c r="D27" i="54"/>
  <c r="C27" i="54"/>
  <c r="B27" i="54"/>
  <c r="A27" i="54"/>
  <c r="D26" i="54"/>
  <c r="C26" i="54"/>
  <c r="B26" i="54"/>
  <c r="A26" i="54"/>
  <c r="D25" i="54"/>
  <c r="C25" i="54"/>
  <c r="B25" i="54"/>
  <c r="A25" i="54"/>
  <c r="Q24" i="54"/>
  <c r="R24" i="54" s="1"/>
  <c r="N24" i="54"/>
  <c r="O24" i="54" s="1"/>
  <c r="J24" i="54"/>
  <c r="K24" i="54" s="1"/>
  <c r="D24" i="54"/>
  <c r="C24" i="54"/>
  <c r="B24" i="54"/>
  <c r="A24" i="54"/>
  <c r="D23" i="54"/>
  <c r="C23" i="54"/>
  <c r="B23" i="54"/>
  <c r="A23" i="54"/>
  <c r="D22" i="54"/>
  <c r="C22" i="54"/>
  <c r="B22" i="54"/>
  <c r="A22" i="54"/>
  <c r="C21" i="54"/>
  <c r="B21" i="54"/>
  <c r="A21" i="54"/>
  <c r="D20" i="54"/>
  <c r="C20" i="54"/>
  <c r="B20" i="54"/>
  <c r="A20" i="54"/>
  <c r="D19" i="54"/>
  <c r="C19" i="54"/>
  <c r="B19" i="54"/>
  <c r="A19" i="54"/>
  <c r="D18" i="54"/>
  <c r="C18" i="54"/>
  <c r="B18" i="54"/>
  <c r="A18" i="54"/>
  <c r="D17" i="54"/>
  <c r="C17" i="54"/>
  <c r="B17" i="54"/>
  <c r="A17" i="54"/>
  <c r="Q16" i="54"/>
  <c r="R16" i="54" s="1"/>
  <c r="N16" i="54"/>
  <c r="O16" i="54" s="1"/>
  <c r="J16" i="54"/>
  <c r="K16" i="54" s="1"/>
  <c r="D16" i="54"/>
  <c r="C16" i="54"/>
  <c r="B16" i="54"/>
  <c r="A16" i="54"/>
  <c r="D15" i="54"/>
  <c r="C15" i="54"/>
  <c r="B15" i="54"/>
  <c r="A15" i="54"/>
  <c r="X14" i="54"/>
  <c r="W14" i="54"/>
  <c r="D14" i="54"/>
  <c r="C14" i="54"/>
  <c r="B14" i="54"/>
  <c r="A14" i="54"/>
  <c r="X13" i="54"/>
  <c r="W13" i="54"/>
  <c r="D13" i="54"/>
  <c r="C13" i="54"/>
  <c r="B13" i="54"/>
  <c r="A13" i="54"/>
  <c r="X12" i="54"/>
  <c r="W12" i="54"/>
  <c r="D12" i="54"/>
  <c r="C12" i="54"/>
  <c r="B12" i="54"/>
  <c r="A12" i="54"/>
  <c r="X11" i="54"/>
  <c r="W11" i="54"/>
  <c r="D11" i="54"/>
  <c r="C11" i="54"/>
  <c r="B11" i="54"/>
  <c r="A11" i="54"/>
  <c r="X10" i="54"/>
  <c r="W10" i="54"/>
  <c r="D10" i="54"/>
  <c r="C10" i="54"/>
  <c r="B10" i="54"/>
  <c r="A10" i="54"/>
  <c r="X9" i="54"/>
  <c r="W9" i="54"/>
  <c r="D9" i="54"/>
  <c r="C9" i="54"/>
  <c r="B9" i="54"/>
  <c r="A9" i="54"/>
  <c r="X8" i="54"/>
  <c r="W8" i="54"/>
  <c r="D8" i="54"/>
  <c r="C8" i="54"/>
  <c r="B8" i="54"/>
  <c r="A8" i="54"/>
  <c r="X7" i="54"/>
  <c r="W7" i="54"/>
  <c r="D7" i="54"/>
  <c r="C7" i="54"/>
  <c r="B7" i="54"/>
  <c r="A7" i="54"/>
  <c r="X6" i="54"/>
  <c r="W6" i="54"/>
  <c r="O6" i="54"/>
  <c r="D6" i="54"/>
  <c r="C6" i="54"/>
  <c r="B6" i="54"/>
  <c r="A6" i="54"/>
  <c r="X5" i="54"/>
  <c r="W5" i="54"/>
  <c r="D5" i="54"/>
  <c r="C5" i="54"/>
  <c r="B5" i="54"/>
  <c r="A5" i="54"/>
  <c r="X4" i="54"/>
  <c r="W4" i="54"/>
  <c r="C4" i="54"/>
  <c r="E4" i="54" s="1"/>
  <c r="B4" i="54"/>
  <c r="A4" i="54"/>
  <c r="X3" i="54"/>
  <c r="W3" i="54"/>
  <c r="D3" i="54"/>
  <c r="C3" i="54"/>
  <c r="B3" i="54"/>
  <c r="A3" i="54"/>
  <c r="C2" i="54"/>
  <c r="E2" i="54" s="1"/>
  <c r="F2" i="54" s="1"/>
  <c r="B2" i="54"/>
  <c r="A2" i="54"/>
  <c r="B85" i="32"/>
  <c r="B84" i="32"/>
  <c r="D70" i="32"/>
  <c r="C70" i="32"/>
  <c r="D69" i="32"/>
  <c r="D68" i="32"/>
  <c r="D67" i="32"/>
  <c r="D47" i="32"/>
  <c r="D49" i="32"/>
  <c r="D51" i="32"/>
  <c r="D53" i="32"/>
  <c r="D55" i="32"/>
  <c r="D57" i="32"/>
  <c r="D59" i="32"/>
  <c r="D61" i="32"/>
  <c r="D65" i="32"/>
  <c r="D66" i="32"/>
  <c r="E64" i="32"/>
  <c r="D64" i="32"/>
  <c r="C64" i="32"/>
  <c r="D63" i="32"/>
  <c r="D62" i="32"/>
  <c r="D60" i="32"/>
  <c r="D58" i="32"/>
  <c r="D56" i="32"/>
  <c r="D54" i="32"/>
  <c r="D52" i="32"/>
  <c r="D50" i="32"/>
  <c r="D48" i="32"/>
  <c r="D37" i="32"/>
  <c r="D36" i="32"/>
  <c r="A36" i="32"/>
  <c r="D35" i="32"/>
  <c r="D34" i="32"/>
  <c r="A34" i="32"/>
  <c r="D33" i="32"/>
  <c r="D32" i="32"/>
  <c r="A32" i="32"/>
  <c r="D31" i="32"/>
  <c r="D30" i="32"/>
  <c r="A30" i="32"/>
  <c r="D29" i="32"/>
  <c r="D28" i="32"/>
  <c r="A28" i="32"/>
  <c r="D27" i="32"/>
  <c r="O27" i="32"/>
  <c r="N27" i="32"/>
  <c r="M27" i="32"/>
  <c r="L27" i="32"/>
  <c r="D26" i="32"/>
  <c r="A26" i="32"/>
  <c r="O23" i="32"/>
  <c r="N23" i="32"/>
  <c r="M23" i="32"/>
  <c r="L23" i="32"/>
  <c r="D25" i="32"/>
  <c r="O24" i="32"/>
  <c r="N24" i="32"/>
  <c r="M24" i="32"/>
  <c r="L24" i="32"/>
  <c r="D24" i="32"/>
  <c r="A24" i="32"/>
  <c r="O26" i="32"/>
  <c r="N26" i="32"/>
  <c r="M26" i="32"/>
  <c r="O22" i="32"/>
  <c r="N22" i="32"/>
  <c r="M22" i="32"/>
  <c r="L22" i="32"/>
  <c r="D20" i="32"/>
  <c r="D19" i="32"/>
  <c r="A19" i="32"/>
  <c r="D18" i="32"/>
  <c r="D17" i="32"/>
  <c r="A17" i="32"/>
  <c r="D16" i="32"/>
  <c r="D15" i="32"/>
  <c r="A15" i="32"/>
  <c r="D14" i="32"/>
  <c r="D13" i="32"/>
  <c r="A13" i="32"/>
  <c r="D12" i="32"/>
  <c r="D11" i="32"/>
  <c r="A11" i="32"/>
  <c r="H10" i="32"/>
  <c r="D10" i="32"/>
  <c r="H9" i="32"/>
  <c r="D9" i="32"/>
  <c r="A9" i="32"/>
  <c r="D8" i="32"/>
  <c r="D7" i="32"/>
  <c r="A7" i="32"/>
  <c r="D6" i="32"/>
  <c r="D5" i="32"/>
  <c r="A5" i="32"/>
  <c r="D4" i="32"/>
  <c r="D3" i="32"/>
  <c r="A3" i="32"/>
  <c r="D113" i="26"/>
  <c r="C113" i="26"/>
  <c r="B113" i="26"/>
  <c r="D108" i="26"/>
  <c r="C108" i="26"/>
  <c r="C107" i="26"/>
  <c r="B107" i="26"/>
  <c r="C106" i="26"/>
  <c r="B106" i="26"/>
  <c r="G97" i="26"/>
  <c r="H102" i="26" s="1"/>
  <c r="E97" i="26"/>
  <c r="C102" i="26" s="1"/>
  <c r="G95" i="26"/>
  <c r="C97" i="26"/>
  <c r="G96" i="26"/>
  <c r="H101" i="26" s="1"/>
  <c r="E96" i="26"/>
  <c r="C101" i="26" s="1"/>
  <c r="C96" i="26"/>
  <c r="C95" i="26"/>
  <c r="E95" i="26"/>
  <c r="C100" i="26" s="1"/>
  <c r="G94" i="26"/>
  <c r="E94" i="26"/>
  <c r="C99" i="26" s="1"/>
  <c r="C94" i="26"/>
  <c r="F87" i="26"/>
  <c r="B68" i="26"/>
  <c r="B69" i="26"/>
  <c r="K69" i="26" s="1"/>
  <c r="B70" i="26"/>
  <c r="K70" i="26" s="1"/>
  <c r="B71" i="26"/>
  <c r="B72" i="26"/>
  <c r="K72" i="26" s="1"/>
  <c r="B73" i="26"/>
  <c r="K73" i="26" s="1"/>
  <c r="B75" i="26"/>
  <c r="K75" i="26" s="1"/>
  <c r="B76" i="26"/>
  <c r="K76" i="26" s="1"/>
  <c r="B78" i="26"/>
  <c r="K78" i="26" s="1"/>
  <c r="B80" i="26"/>
  <c r="K80" i="26" s="1"/>
  <c r="B81" i="26"/>
  <c r="K81" i="26" s="1"/>
  <c r="C87" i="26"/>
  <c r="C85" i="26"/>
  <c r="B83" i="26"/>
  <c r="B85" i="26" s="1"/>
  <c r="C60" i="32"/>
  <c r="L39" i="26"/>
  <c r="K39" i="26"/>
  <c r="F39" i="26"/>
  <c r="I39" i="26" s="1"/>
  <c r="E33" i="32" s="1"/>
  <c r="B39" i="26"/>
  <c r="L38" i="26"/>
  <c r="K38" i="26"/>
  <c r="I38" i="26"/>
  <c r="E31" i="32" s="1"/>
  <c r="B38" i="26"/>
  <c r="L37" i="26"/>
  <c r="K37" i="26"/>
  <c r="F37" i="26"/>
  <c r="C29" i="32" s="1"/>
  <c r="B37" i="26"/>
  <c r="E37" i="26" s="1"/>
  <c r="L42" i="26"/>
  <c r="C118" i="26" s="1"/>
  <c r="K42" i="26"/>
  <c r="F42" i="26"/>
  <c r="C37" i="32" s="1"/>
  <c r="B42" i="26"/>
  <c r="L41" i="26"/>
  <c r="C117" i="26" s="1"/>
  <c r="K41" i="26"/>
  <c r="F41" i="26"/>
  <c r="C35" i="32" s="1"/>
  <c r="B41" i="26"/>
  <c r="K36" i="26"/>
  <c r="H36" i="26"/>
  <c r="F45" i="26" s="1"/>
  <c r="L25" i="26"/>
  <c r="C115" i="26" s="1"/>
  <c r="K25" i="26"/>
  <c r="I25" i="26"/>
  <c r="E25" i="32" s="1"/>
  <c r="B25" i="26"/>
  <c r="L35" i="26"/>
  <c r="C114" i="26" s="1"/>
  <c r="K35" i="26"/>
  <c r="F35" i="26"/>
  <c r="C27" i="32" s="1"/>
  <c r="B35" i="26"/>
  <c r="L40" i="26"/>
  <c r="K40" i="26"/>
  <c r="F40" i="26"/>
  <c r="C20" i="32" s="1"/>
  <c r="B40" i="26"/>
  <c r="L28" i="26"/>
  <c r="K28" i="26"/>
  <c r="C18" i="32"/>
  <c r="B28" i="26"/>
  <c r="L27" i="26"/>
  <c r="K27" i="26"/>
  <c r="F27" i="26"/>
  <c r="C10" i="32" s="1"/>
  <c r="B27" i="26"/>
  <c r="L34" i="26"/>
  <c r="K34" i="26"/>
  <c r="F34" i="26"/>
  <c r="I34" i="26" s="1"/>
  <c r="E8" i="32" s="1"/>
  <c r="B34" i="26"/>
  <c r="L33" i="26"/>
  <c r="K33" i="26"/>
  <c r="F33" i="26"/>
  <c r="B33" i="26"/>
  <c r="L23" i="26"/>
  <c r="K23" i="26"/>
  <c r="F23" i="26"/>
  <c r="C16" i="32" s="1"/>
  <c r="B23" i="26"/>
  <c r="L24" i="26"/>
  <c r="K24" i="26"/>
  <c r="I24" i="26"/>
  <c r="E14" i="32" s="1"/>
  <c r="B24" i="26"/>
  <c r="L22" i="26"/>
  <c r="K22" i="26"/>
  <c r="F22" i="26"/>
  <c r="B22" i="26"/>
  <c r="P17" i="26"/>
  <c r="O17" i="26"/>
  <c r="N17" i="26"/>
  <c r="M17" i="26"/>
  <c r="H17" i="26"/>
  <c r="P16" i="26"/>
  <c r="O16" i="26"/>
  <c r="N16" i="26"/>
  <c r="M16" i="26"/>
  <c r="H16" i="26"/>
  <c r="P15" i="26"/>
  <c r="O15" i="26"/>
  <c r="N15" i="26"/>
  <c r="M15" i="26"/>
  <c r="H15" i="26"/>
  <c r="P14" i="26"/>
  <c r="O14" i="26"/>
  <c r="N14" i="26"/>
  <c r="M14" i="26"/>
  <c r="P13" i="26"/>
  <c r="O13" i="26"/>
  <c r="N13" i="26"/>
  <c r="M13" i="26"/>
  <c r="H13" i="26"/>
  <c r="P12" i="26"/>
  <c r="O12" i="26"/>
  <c r="N12" i="26"/>
  <c r="M12" i="26"/>
  <c r="H12" i="26"/>
  <c r="P11" i="26"/>
  <c r="O11" i="26"/>
  <c r="N11" i="26"/>
  <c r="M11" i="26"/>
  <c r="H11" i="26"/>
  <c r="P10" i="26"/>
  <c r="O10" i="26"/>
  <c r="N10" i="26"/>
  <c r="M10" i="26"/>
  <c r="H10" i="26"/>
  <c r="P9" i="26"/>
  <c r="O9" i="26"/>
  <c r="N9" i="26"/>
  <c r="M9" i="26"/>
  <c r="H9" i="26"/>
  <c r="P8" i="26"/>
  <c r="O8" i="26"/>
  <c r="N8" i="26"/>
  <c r="M8" i="26"/>
  <c r="P7" i="26"/>
  <c r="O7" i="26"/>
  <c r="N7" i="26"/>
  <c r="M7" i="26"/>
  <c r="H7" i="26"/>
  <c r="P6" i="26"/>
  <c r="O6" i="26"/>
  <c r="N6" i="26"/>
  <c r="M6" i="26"/>
  <c r="H6" i="26"/>
  <c r="P5" i="26"/>
  <c r="O5" i="26"/>
  <c r="N5" i="26"/>
  <c r="M5" i="26"/>
  <c r="H5" i="26"/>
  <c r="P4" i="26"/>
  <c r="O4" i="26"/>
  <c r="N4" i="26"/>
  <c r="M4" i="26"/>
  <c r="H4" i="26"/>
  <c r="P3" i="26"/>
  <c r="O3" i="26"/>
  <c r="N3" i="26"/>
  <c r="M3" i="26"/>
  <c r="H3" i="26"/>
  <c r="P2" i="26"/>
  <c r="O2" i="26"/>
  <c r="N2" i="26"/>
  <c r="M2" i="26"/>
  <c r="H2" i="26"/>
  <c r="F75" i="64"/>
  <c r="B75" i="64"/>
  <c r="G59" i="64"/>
  <c r="F59" i="64"/>
  <c r="D59" i="64"/>
  <c r="B59" i="64"/>
  <c r="F40" i="64"/>
  <c r="E40" i="64"/>
  <c r="B40" i="64"/>
  <c r="F39" i="64"/>
  <c r="E39" i="64"/>
  <c r="B39" i="64"/>
  <c r="C34" i="64"/>
  <c r="D34" i="64" s="1"/>
  <c r="C33" i="64"/>
  <c r="D33" i="64" s="1"/>
  <c r="C31" i="64"/>
  <c r="D31" i="64" s="1"/>
  <c r="C26" i="64"/>
  <c r="D26" i="64" s="1"/>
  <c r="G20" i="64"/>
  <c r="F20" i="64"/>
  <c r="G19" i="64"/>
  <c r="F19" i="64"/>
  <c r="G18" i="64"/>
  <c r="F18" i="64"/>
  <c r="B107" i="13"/>
  <c r="E107" i="13" s="1"/>
  <c r="B106" i="13"/>
  <c r="E106" i="13" s="1"/>
  <c r="B105" i="13"/>
  <c r="E105" i="13" s="1"/>
  <c r="B104" i="13"/>
  <c r="E104" i="13" s="1"/>
  <c r="B103" i="13"/>
  <c r="E103" i="13" s="1"/>
  <c r="B100" i="13"/>
  <c r="E100" i="13" s="1"/>
  <c r="B86" i="13"/>
  <c r="E86" i="13" s="1"/>
  <c r="B84" i="13"/>
  <c r="E84" i="13" s="1"/>
  <c r="B83" i="13"/>
  <c r="E83" i="13" s="1"/>
  <c r="B81" i="13"/>
  <c r="E81" i="13" s="1"/>
  <c r="B78" i="13"/>
  <c r="E78" i="13" s="1"/>
  <c r="B77" i="13"/>
  <c r="E77" i="13" s="1"/>
  <c r="E75" i="13"/>
  <c r="E74" i="13"/>
  <c r="B73" i="13"/>
  <c r="E73" i="13" s="1"/>
  <c r="B70" i="13"/>
  <c r="E70" i="13" s="1"/>
  <c r="B68" i="13"/>
  <c r="E68" i="13" s="1"/>
  <c r="B67" i="13"/>
  <c r="E67" i="13" s="1"/>
  <c r="B65" i="13"/>
  <c r="E65" i="13" s="1"/>
  <c r="B62" i="13"/>
  <c r="E62" i="13" s="1"/>
  <c r="B61" i="13"/>
  <c r="E61" i="13" s="1"/>
  <c r="E59" i="13"/>
  <c r="E58" i="13"/>
  <c r="B57" i="13"/>
  <c r="E57" i="13" s="1"/>
  <c r="B54" i="13"/>
  <c r="E54" i="13" s="1"/>
  <c r="B53" i="13"/>
  <c r="E53" i="13" s="1"/>
  <c r="B50" i="13"/>
  <c r="E50" i="13" s="1"/>
  <c r="B48" i="13"/>
  <c r="E48" i="13" s="1"/>
  <c r="B47" i="13"/>
  <c r="E47" i="13" s="1"/>
  <c r="B46" i="13"/>
  <c r="E46" i="13" s="1"/>
  <c r="B44" i="13"/>
  <c r="E44" i="13" s="1"/>
  <c r="B43" i="13"/>
  <c r="E43" i="13" s="1"/>
  <c r="X41" i="13"/>
  <c r="B41" i="13"/>
  <c r="E41" i="13" s="1"/>
  <c r="Y40" i="13"/>
  <c r="Y39" i="13"/>
  <c r="E250" i="4"/>
  <c r="C250" i="4"/>
  <c r="E249" i="4"/>
  <c r="C249" i="4"/>
  <c r="E248" i="4"/>
  <c r="C248" i="4"/>
  <c r="E247" i="4"/>
  <c r="D247" i="4"/>
  <c r="C247" i="4"/>
  <c r="E246" i="4"/>
  <c r="D246" i="4"/>
  <c r="C246" i="4"/>
  <c r="E245" i="4"/>
  <c r="D245" i="4"/>
  <c r="C245" i="4"/>
  <c r="F243" i="4"/>
  <c r="C243" i="4"/>
  <c r="D243" i="4" s="1"/>
  <c r="B243" i="4"/>
  <c r="A243" i="4"/>
  <c r="F242" i="4"/>
  <c r="C242" i="4"/>
  <c r="B242" i="4"/>
  <c r="A242" i="4"/>
  <c r="F241" i="4"/>
  <c r="C241" i="4"/>
  <c r="D241" i="4" s="1"/>
  <c r="B241" i="4"/>
  <c r="A241" i="4"/>
  <c r="F240" i="4"/>
  <c r="C240" i="4"/>
  <c r="D240" i="4" s="1"/>
  <c r="B240" i="4"/>
  <c r="A240" i="4"/>
  <c r="F239" i="4"/>
  <c r="C239" i="4"/>
  <c r="D239" i="4" s="1"/>
  <c r="B239" i="4"/>
  <c r="A239" i="4"/>
  <c r="F238" i="4"/>
  <c r="C238" i="4"/>
  <c r="D238" i="4" s="1"/>
  <c r="B238" i="4"/>
  <c r="A238" i="4"/>
  <c r="F237" i="4"/>
  <c r="C237" i="4"/>
  <c r="D237" i="4" s="1"/>
  <c r="B237" i="4"/>
  <c r="A237" i="4"/>
  <c r="F236" i="4"/>
  <c r="C236" i="4"/>
  <c r="D236" i="4" s="1"/>
  <c r="B236" i="4"/>
  <c r="A236" i="4"/>
  <c r="F235" i="4"/>
  <c r="C235" i="4"/>
  <c r="D235" i="4" s="1"/>
  <c r="B235" i="4"/>
  <c r="A235" i="4"/>
  <c r="F234" i="4"/>
  <c r="C234" i="4"/>
  <c r="D234" i="4" s="1"/>
  <c r="B234" i="4"/>
  <c r="A234" i="4"/>
  <c r="F233" i="4"/>
  <c r="C233" i="4"/>
  <c r="D233" i="4" s="1"/>
  <c r="B233" i="4"/>
  <c r="A233" i="4"/>
  <c r="F232" i="4"/>
  <c r="C232" i="4"/>
  <c r="D232" i="4" s="1"/>
  <c r="B232" i="4"/>
  <c r="A232" i="4"/>
  <c r="F231" i="4"/>
  <c r="C231" i="4"/>
  <c r="D231" i="4" s="1"/>
  <c r="B231" i="4"/>
  <c r="A231" i="4"/>
  <c r="F230" i="4"/>
  <c r="C230" i="4"/>
  <c r="B230" i="4"/>
  <c r="A230" i="4"/>
  <c r="F229" i="4"/>
  <c r="C229" i="4"/>
  <c r="D229" i="4" s="1"/>
  <c r="B229" i="4"/>
  <c r="A229" i="4"/>
  <c r="F228" i="4"/>
  <c r="C228" i="4"/>
  <c r="D228" i="4" s="1"/>
  <c r="B228" i="4"/>
  <c r="A228" i="4"/>
  <c r="F227" i="4"/>
  <c r="C227" i="4"/>
  <c r="D227" i="4" s="1"/>
  <c r="B227" i="4"/>
  <c r="A227" i="4"/>
  <c r="F226" i="4"/>
  <c r="C226" i="4"/>
  <c r="D226" i="4" s="1"/>
  <c r="B226" i="4"/>
  <c r="A226" i="4"/>
  <c r="F225" i="4"/>
  <c r="C225" i="4"/>
  <c r="D225" i="4" s="1"/>
  <c r="B225" i="4"/>
  <c r="A225" i="4"/>
  <c r="F224" i="4"/>
  <c r="C224" i="4"/>
  <c r="D224" i="4" s="1"/>
  <c r="B224" i="4"/>
  <c r="A224" i="4"/>
  <c r="F223" i="4"/>
  <c r="C223" i="4"/>
  <c r="D223" i="4" s="1"/>
  <c r="B223" i="4"/>
  <c r="A223" i="4"/>
  <c r="F222" i="4"/>
  <c r="C222" i="4"/>
  <c r="D222" i="4" s="1"/>
  <c r="B222" i="4"/>
  <c r="A222" i="4"/>
  <c r="F221" i="4"/>
  <c r="C221" i="4"/>
  <c r="D221" i="4" s="1"/>
  <c r="B221" i="4"/>
  <c r="A221" i="4"/>
  <c r="F220" i="4"/>
  <c r="C220" i="4"/>
  <c r="D220" i="4" s="1"/>
  <c r="B220" i="4"/>
  <c r="A220" i="4"/>
  <c r="F219" i="4"/>
  <c r="B219" i="4"/>
  <c r="A219" i="4"/>
  <c r="F218" i="4"/>
  <c r="C218" i="4"/>
  <c r="D218" i="4" s="1"/>
  <c r="B218" i="4"/>
  <c r="A218" i="4"/>
  <c r="F217" i="4"/>
  <c r="C217" i="4"/>
  <c r="D217" i="4" s="1"/>
  <c r="B217" i="4"/>
  <c r="A217" i="4"/>
  <c r="F216" i="4"/>
  <c r="C216" i="4"/>
  <c r="D216" i="4" s="1"/>
  <c r="B216" i="4"/>
  <c r="A216" i="4"/>
  <c r="F215" i="4"/>
  <c r="C215" i="4"/>
  <c r="B215" i="4"/>
  <c r="A215" i="4"/>
  <c r="F211" i="4"/>
  <c r="C211" i="4"/>
  <c r="D211" i="4" s="1"/>
  <c r="B211" i="4"/>
  <c r="A211" i="4"/>
  <c r="F210" i="4"/>
  <c r="C210" i="4"/>
  <c r="D210" i="4" s="1"/>
  <c r="B210" i="4"/>
  <c r="A210" i="4"/>
  <c r="F209" i="4"/>
  <c r="C209" i="4"/>
  <c r="D209" i="4" s="1"/>
  <c r="B209" i="4"/>
  <c r="A209" i="4"/>
  <c r="F208" i="4"/>
  <c r="C208" i="4"/>
  <c r="D208" i="4" s="1"/>
  <c r="B208" i="4"/>
  <c r="A208" i="4"/>
  <c r="F207" i="4"/>
  <c r="C207" i="4"/>
  <c r="D207" i="4" s="1"/>
  <c r="B207" i="4"/>
  <c r="A207" i="4"/>
  <c r="F206" i="4"/>
  <c r="C206" i="4"/>
  <c r="D206" i="4" s="1"/>
  <c r="B206" i="4"/>
  <c r="A206" i="4"/>
  <c r="F205" i="4"/>
  <c r="C205" i="4"/>
  <c r="D205" i="4" s="1"/>
  <c r="B205" i="4"/>
  <c r="A205" i="4"/>
  <c r="F204" i="4"/>
  <c r="C204" i="4"/>
  <c r="D204" i="4" s="1"/>
  <c r="B204" i="4"/>
  <c r="A204" i="4"/>
  <c r="F203" i="4"/>
  <c r="C203" i="4"/>
  <c r="D203" i="4" s="1"/>
  <c r="B203" i="4"/>
  <c r="A203" i="4"/>
  <c r="F202" i="4"/>
  <c r="C202" i="4"/>
  <c r="D202" i="4" s="1"/>
  <c r="B202" i="4"/>
  <c r="A202" i="4"/>
  <c r="F201" i="4"/>
  <c r="C201" i="4"/>
  <c r="D201" i="4" s="1"/>
  <c r="B201" i="4"/>
  <c r="A201" i="4"/>
  <c r="F200" i="4"/>
  <c r="C200" i="4"/>
  <c r="D200" i="4" s="1"/>
  <c r="B200" i="4"/>
  <c r="A200" i="4"/>
  <c r="F199" i="4"/>
  <c r="C199" i="4"/>
  <c r="D199" i="4" s="1"/>
  <c r="B199" i="4"/>
  <c r="A199" i="4"/>
  <c r="F198" i="4"/>
  <c r="C198" i="4"/>
  <c r="D198" i="4" s="1"/>
  <c r="B198" i="4"/>
  <c r="A198" i="4"/>
  <c r="F197" i="4"/>
  <c r="C197" i="4"/>
  <c r="D197" i="4" s="1"/>
  <c r="B197" i="4"/>
  <c r="A197" i="4"/>
  <c r="F196" i="4"/>
  <c r="C196" i="4"/>
  <c r="D196" i="4" s="1"/>
  <c r="B196" i="4"/>
  <c r="A196" i="4"/>
  <c r="F195" i="4"/>
  <c r="C195" i="4"/>
  <c r="D195" i="4" s="1"/>
  <c r="B195" i="4"/>
  <c r="A195" i="4"/>
  <c r="F194" i="4"/>
  <c r="C194" i="4"/>
  <c r="D194" i="4" s="1"/>
  <c r="B194" i="4"/>
  <c r="A194" i="4"/>
  <c r="F193" i="4"/>
  <c r="C193" i="4"/>
  <c r="D193" i="4" s="1"/>
  <c r="B193" i="4"/>
  <c r="A193" i="4"/>
  <c r="F192" i="4"/>
  <c r="C192" i="4"/>
  <c r="D192" i="4" s="1"/>
  <c r="B192" i="4"/>
  <c r="A192" i="4"/>
  <c r="F191" i="4"/>
  <c r="C191" i="4"/>
  <c r="D191" i="4" s="1"/>
  <c r="B191" i="4"/>
  <c r="A191" i="4"/>
  <c r="F190" i="4"/>
  <c r="C190" i="4"/>
  <c r="D190" i="4" s="1"/>
  <c r="B190" i="4"/>
  <c r="A190" i="4"/>
  <c r="F189" i="4"/>
  <c r="C189" i="4"/>
  <c r="D189" i="4" s="1"/>
  <c r="B189" i="4"/>
  <c r="A189" i="4"/>
  <c r="F188" i="4"/>
  <c r="C188" i="4"/>
  <c r="D188" i="4" s="1"/>
  <c r="B188" i="4"/>
  <c r="A188" i="4"/>
  <c r="F187" i="4"/>
  <c r="C187" i="4"/>
  <c r="D187" i="4" s="1"/>
  <c r="B187" i="4"/>
  <c r="A187" i="4"/>
  <c r="F186" i="4"/>
  <c r="C186" i="4"/>
  <c r="D186" i="4" s="1"/>
  <c r="B186" i="4"/>
  <c r="A186" i="4"/>
  <c r="F181" i="4"/>
  <c r="C181" i="4"/>
  <c r="D181" i="4" s="1"/>
  <c r="B181" i="4"/>
  <c r="A181" i="4"/>
  <c r="F180" i="4"/>
  <c r="C180" i="4"/>
  <c r="D180" i="4" s="1"/>
  <c r="B180" i="4"/>
  <c r="A180" i="4"/>
  <c r="F179" i="4"/>
  <c r="C179" i="4"/>
  <c r="D179" i="4" s="1"/>
  <c r="B179" i="4"/>
  <c r="A179" i="4"/>
  <c r="F178" i="4"/>
  <c r="C178" i="4"/>
  <c r="D178" i="4" s="1"/>
  <c r="B178" i="4"/>
  <c r="A178" i="4"/>
  <c r="F177" i="4"/>
  <c r="C177" i="4"/>
  <c r="D177" i="4" s="1"/>
  <c r="B177" i="4"/>
  <c r="A177" i="4"/>
  <c r="F176" i="4"/>
  <c r="C176" i="4"/>
  <c r="D176" i="4" s="1"/>
  <c r="B176" i="4"/>
  <c r="A176" i="4"/>
  <c r="F175" i="4"/>
  <c r="B175" i="4"/>
  <c r="A175" i="4"/>
  <c r="F174" i="4"/>
  <c r="B174" i="4"/>
  <c r="A174" i="4"/>
  <c r="F173" i="4"/>
  <c r="B173" i="4"/>
  <c r="A173" i="4"/>
  <c r="F172" i="4"/>
  <c r="B172" i="4"/>
  <c r="A172" i="4"/>
  <c r="F171" i="4"/>
  <c r="B171" i="4"/>
  <c r="A171" i="4"/>
  <c r="F170" i="4"/>
  <c r="B170" i="4"/>
  <c r="A170" i="4"/>
  <c r="F169" i="4"/>
  <c r="C169" i="4"/>
  <c r="D169" i="4" s="1"/>
  <c r="B169" i="4"/>
  <c r="A169" i="4"/>
  <c r="F168" i="4"/>
  <c r="C168" i="4"/>
  <c r="D168" i="4" s="1"/>
  <c r="B168" i="4"/>
  <c r="A168" i="4"/>
  <c r="F167" i="4"/>
  <c r="C167" i="4"/>
  <c r="D167" i="4" s="1"/>
  <c r="B167" i="4"/>
  <c r="A167" i="4"/>
  <c r="F166" i="4"/>
  <c r="C166" i="4"/>
  <c r="D166" i="4" s="1"/>
  <c r="B166" i="4"/>
  <c r="A166" i="4"/>
  <c r="F165" i="4"/>
  <c r="C165" i="4"/>
  <c r="D165" i="4" s="1"/>
  <c r="B165" i="4"/>
  <c r="A165" i="4"/>
  <c r="F164" i="4"/>
  <c r="C164" i="4"/>
  <c r="D164" i="4" s="1"/>
  <c r="B164" i="4"/>
  <c r="A164" i="4"/>
  <c r="F163" i="4"/>
  <c r="C163" i="4"/>
  <c r="D163" i="4" s="1"/>
  <c r="B163" i="4"/>
  <c r="A163" i="4"/>
  <c r="F162" i="4"/>
  <c r="C162" i="4"/>
  <c r="D162" i="4" s="1"/>
  <c r="B162" i="4"/>
  <c r="A162" i="4"/>
  <c r="F161" i="4"/>
  <c r="C161" i="4"/>
  <c r="D161" i="4" s="1"/>
  <c r="B161" i="4"/>
  <c r="F160" i="4"/>
  <c r="C160" i="4"/>
  <c r="D160" i="4" s="1"/>
  <c r="B160" i="4"/>
  <c r="A160" i="4"/>
  <c r="F159" i="4"/>
  <c r="C159" i="4"/>
  <c r="D159" i="4" s="1"/>
  <c r="B159" i="4"/>
  <c r="A159" i="4"/>
  <c r="F158" i="4"/>
  <c r="C158" i="4"/>
  <c r="D158" i="4" s="1"/>
  <c r="B158" i="4"/>
  <c r="A158" i="4"/>
  <c r="F157" i="4"/>
  <c r="C157" i="4"/>
  <c r="D157" i="4" s="1"/>
  <c r="B157" i="4"/>
  <c r="A157" i="4"/>
  <c r="F156" i="4"/>
  <c r="C156" i="4"/>
  <c r="D156" i="4" s="1"/>
  <c r="B156" i="4"/>
  <c r="A156" i="4"/>
  <c r="E148" i="4"/>
  <c r="B148" i="4"/>
  <c r="E147" i="4"/>
  <c r="B147" i="4"/>
  <c r="E146" i="4"/>
  <c r="B146" i="4"/>
  <c r="A146" i="4"/>
  <c r="E145" i="4"/>
  <c r="B145" i="4"/>
  <c r="A145" i="4"/>
  <c r="E144" i="4"/>
  <c r="B144" i="4"/>
  <c r="E143" i="4"/>
  <c r="B143" i="4"/>
  <c r="A143" i="4"/>
  <c r="E142" i="4"/>
  <c r="B142" i="4"/>
  <c r="E141" i="4"/>
  <c r="B141" i="4"/>
  <c r="E140" i="4"/>
  <c r="B140" i="4"/>
  <c r="A140" i="4"/>
  <c r="E139" i="4"/>
  <c r="B139" i="4"/>
  <c r="A139" i="4"/>
  <c r="E138" i="4"/>
  <c r="B138" i="4"/>
  <c r="A138" i="4"/>
  <c r="E137" i="4"/>
  <c r="B137" i="4"/>
  <c r="A137" i="4"/>
  <c r="E136" i="4"/>
  <c r="B136" i="4"/>
  <c r="A136" i="4"/>
  <c r="E135" i="4"/>
  <c r="B135" i="4"/>
  <c r="A135" i="4"/>
  <c r="E134" i="4"/>
  <c r="B134" i="4"/>
  <c r="A134" i="4"/>
  <c r="E133" i="4"/>
  <c r="B133" i="4"/>
  <c r="A133" i="4"/>
  <c r="E132" i="4"/>
  <c r="B132" i="4"/>
  <c r="A132" i="4"/>
  <c r="E131" i="4"/>
  <c r="B131" i="4"/>
  <c r="A131" i="4"/>
  <c r="E130" i="4"/>
  <c r="B130" i="4"/>
  <c r="A130" i="4"/>
  <c r="E129" i="4"/>
  <c r="B129" i="4"/>
  <c r="A129" i="4"/>
  <c r="E128" i="4"/>
  <c r="B128" i="4"/>
  <c r="A128" i="4"/>
  <c r="E127" i="4"/>
  <c r="B127" i="4"/>
  <c r="E126" i="4"/>
  <c r="B126" i="4"/>
  <c r="E125" i="4"/>
  <c r="B125" i="4"/>
  <c r="A125" i="4"/>
  <c r="E124" i="4"/>
  <c r="B124" i="4"/>
  <c r="A124" i="4"/>
  <c r="E123" i="4"/>
  <c r="B123" i="4"/>
  <c r="E122" i="4"/>
  <c r="B122" i="4"/>
  <c r="E121" i="4"/>
  <c r="B121" i="4"/>
  <c r="E120" i="4"/>
  <c r="B120" i="4"/>
  <c r="A120" i="4"/>
  <c r="E119" i="4"/>
  <c r="B119" i="4"/>
  <c r="A119" i="4"/>
  <c r="E118" i="4"/>
  <c r="B118" i="4"/>
  <c r="A118" i="4"/>
  <c r="E117" i="4"/>
  <c r="B117" i="4"/>
  <c r="A117" i="4"/>
  <c r="C79" i="4"/>
  <c r="I12" i="114" s="1"/>
  <c r="D31" i="4"/>
  <c r="C78" i="4"/>
  <c r="I11" i="114" s="1"/>
  <c r="D30" i="4"/>
  <c r="C77" i="4"/>
  <c r="I10" i="114" s="1"/>
  <c r="A70" i="4"/>
  <c r="A69" i="4"/>
  <c r="A68" i="4"/>
  <c r="A67" i="4"/>
  <c r="A66" i="4"/>
  <c r="A65" i="4"/>
  <c r="A64" i="4"/>
  <c r="A63" i="4"/>
  <c r="A62" i="4"/>
  <c r="A61" i="4"/>
  <c r="D56" i="4"/>
  <c r="D70" i="4" s="1"/>
  <c r="I55" i="4"/>
  <c r="D55" i="4"/>
  <c r="D69" i="4" s="1"/>
  <c r="I54" i="4"/>
  <c r="D54" i="4"/>
  <c r="D68" i="4" s="1"/>
  <c r="I53" i="4"/>
  <c r="D53" i="4"/>
  <c r="D67" i="4" s="1"/>
  <c r="I52" i="4"/>
  <c r="D52" i="4"/>
  <c r="D66" i="4" s="1"/>
  <c r="I51" i="4"/>
  <c r="D51" i="4"/>
  <c r="D65" i="4" s="1"/>
  <c r="D50" i="4"/>
  <c r="D64" i="4" s="1"/>
  <c r="I49" i="4"/>
  <c r="D49" i="4"/>
  <c r="D63" i="4" s="1"/>
  <c r="I47" i="4"/>
  <c r="D47" i="4"/>
  <c r="I48" i="4"/>
  <c r="D48" i="4"/>
  <c r="D61" i="4" s="1"/>
  <c r="I46" i="4"/>
  <c r="D46" i="4"/>
  <c r="D60" i="4" s="1"/>
  <c r="A35" i="4"/>
  <c r="A34" i="4"/>
  <c r="A84" i="4"/>
  <c r="A29" i="4"/>
  <c r="H16" i="4"/>
  <c r="I15" i="4"/>
  <c r="F20" i="114" s="1"/>
  <c r="D15" i="4"/>
  <c r="D17" i="64" s="1"/>
  <c r="M18" i="64" s="1"/>
  <c r="I14" i="4"/>
  <c r="F19" i="114" s="1"/>
  <c r="D14" i="4"/>
  <c r="I9" i="4"/>
  <c r="F14" i="114" s="1"/>
  <c r="D9" i="4"/>
  <c r="D11" i="64" s="1"/>
  <c r="M12" i="64" s="1"/>
  <c r="I6" i="4"/>
  <c r="F11" i="114" s="1"/>
  <c r="D6" i="4"/>
  <c r="D29" i="4" s="1"/>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E93" i="27"/>
  <c r="F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E86" i="27"/>
  <c r="F86" i="27"/>
  <c r="D86" i="27"/>
  <c r="C86" i="27"/>
  <c r="B86" i="27"/>
  <c r="A86" i="27"/>
  <c r="F85" i="27"/>
  <c r="E85" i="27"/>
  <c r="D85" i="27"/>
  <c r="C85" i="27"/>
  <c r="B85" i="27"/>
  <c r="A85" i="27"/>
  <c r="F84" i="27"/>
  <c r="E84" i="27"/>
  <c r="D84" i="27"/>
  <c r="C84" i="27"/>
  <c r="B84" i="27"/>
  <c r="A84" i="27"/>
  <c r="F83" i="27"/>
  <c r="E83" i="27"/>
  <c r="D83" i="27"/>
  <c r="C83" i="27"/>
  <c r="B83" i="27"/>
  <c r="A83" i="27"/>
  <c r="E82" i="27"/>
  <c r="F82" i="27"/>
  <c r="D82" i="27"/>
  <c r="C82" i="27"/>
  <c r="B82" i="27"/>
  <c r="A82" i="27"/>
  <c r="E81" i="27"/>
  <c r="F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E47" i="27"/>
  <c r="F47" i="27"/>
  <c r="D47" i="27"/>
  <c r="C47" i="27"/>
  <c r="B47" i="27"/>
  <c r="A47" i="27"/>
  <c r="F46" i="27"/>
  <c r="E46" i="27"/>
  <c r="D46" i="27"/>
  <c r="C46" i="27"/>
  <c r="B46" i="27"/>
  <c r="A46" i="27"/>
  <c r="F44" i="27"/>
  <c r="E44" i="27"/>
  <c r="D44" i="27"/>
  <c r="C44" i="27"/>
  <c r="B44" i="27"/>
  <c r="A44" i="27"/>
  <c r="E43" i="27"/>
  <c r="F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E29" i="27"/>
  <c r="F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16" i="27"/>
  <c r="F15" i="27"/>
  <c r="F14" i="27"/>
  <c r="R59" i="1"/>
  <c r="F10" i="27"/>
  <c r="F7" i="27"/>
  <c r="F5" i="27"/>
  <c r="F4" i="27"/>
  <c r="F3" i="27"/>
  <c r="H115" i="86"/>
  <c r="L115" i="86" s="1"/>
  <c r="M115" i="86" s="1"/>
  <c r="G115" i="86"/>
  <c r="E115" i="86"/>
  <c r="D115" i="86"/>
  <c r="C115" i="86"/>
  <c r="B115" i="86"/>
  <c r="A115" i="86"/>
  <c r="H114" i="86"/>
  <c r="L114" i="86" s="1"/>
  <c r="M114" i="86" s="1"/>
  <c r="G114" i="86"/>
  <c r="F114" i="86"/>
  <c r="E114" i="86"/>
  <c r="D114" i="86"/>
  <c r="C114" i="86"/>
  <c r="B114" i="86"/>
  <c r="A114" i="86"/>
  <c r="H113" i="86"/>
  <c r="L113" i="86" s="1"/>
  <c r="M113" i="86" s="1"/>
  <c r="G113" i="86"/>
  <c r="F113" i="86"/>
  <c r="E113" i="86"/>
  <c r="D113" i="86"/>
  <c r="C113" i="86"/>
  <c r="B113" i="86"/>
  <c r="A113" i="86"/>
  <c r="H112" i="86"/>
  <c r="L112" i="86" s="1"/>
  <c r="M112" i="86" s="1"/>
  <c r="G112" i="86"/>
  <c r="E112" i="86"/>
  <c r="D112" i="86"/>
  <c r="C112" i="86"/>
  <c r="B112" i="86"/>
  <c r="A112" i="86"/>
  <c r="H111" i="86"/>
  <c r="L111" i="86" s="1"/>
  <c r="M111" i="86" s="1"/>
  <c r="G111" i="86"/>
  <c r="F111" i="86"/>
  <c r="E111" i="86"/>
  <c r="D111" i="86"/>
  <c r="C111" i="86"/>
  <c r="B111" i="86"/>
  <c r="A111" i="86"/>
  <c r="H110" i="86"/>
  <c r="L110" i="86" s="1"/>
  <c r="M110" i="86" s="1"/>
  <c r="G110" i="86"/>
  <c r="E110" i="86"/>
  <c r="D110" i="86"/>
  <c r="C110" i="86"/>
  <c r="B110" i="86"/>
  <c r="A110" i="86"/>
  <c r="H109" i="86"/>
  <c r="L109" i="86" s="1"/>
  <c r="M109" i="86" s="1"/>
  <c r="G109" i="86"/>
  <c r="F109" i="86"/>
  <c r="E109" i="86"/>
  <c r="D109" i="86"/>
  <c r="C109" i="86"/>
  <c r="B109" i="86"/>
  <c r="A109" i="86"/>
  <c r="H108" i="86"/>
  <c r="L108" i="86" s="1"/>
  <c r="M108" i="86" s="1"/>
  <c r="G108" i="86"/>
  <c r="E108" i="86"/>
  <c r="D108" i="86"/>
  <c r="C108" i="86"/>
  <c r="B108" i="86"/>
  <c r="A108" i="86"/>
  <c r="H107" i="86"/>
  <c r="L107" i="86" s="1"/>
  <c r="M107" i="86" s="1"/>
  <c r="G107" i="86"/>
  <c r="F107" i="86"/>
  <c r="E107" i="86"/>
  <c r="D107" i="86"/>
  <c r="C107" i="86"/>
  <c r="B107" i="86"/>
  <c r="A107" i="86"/>
  <c r="H106" i="86"/>
  <c r="L106" i="86" s="1"/>
  <c r="M106" i="86" s="1"/>
  <c r="G106" i="86"/>
  <c r="F106" i="86"/>
  <c r="E106" i="86"/>
  <c r="D106" i="86"/>
  <c r="C106" i="86"/>
  <c r="B106" i="86"/>
  <c r="A106" i="86"/>
  <c r="H105" i="86"/>
  <c r="L105" i="86" s="1"/>
  <c r="M105" i="86" s="1"/>
  <c r="G105" i="86"/>
  <c r="E105" i="86"/>
  <c r="D105" i="86"/>
  <c r="C105" i="86"/>
  <c r="B105" i="86"/>
  <c r="A105" i="86"/>
  <c r="H104" i="86"/>
  <c r="G104" i="86"/>
  <c r="E104" i="86"/>
  <c r="D104" i="86"/>
  <c r="C104" i="86"/>
  <c r="B104" i="86"/>
  <c r="A104" i="86"/>
  <c r="H103" i="86"/>
  <c r="G103" i="86"/>
  <c r="E103" i="86"/>
  <c r="D103" i="86"/>
  <c r="C103" i="86"/>
  <c r="B103" i="86"/>
  <c r="A103" i="86"/>
  <c r="H102" i="86"/>
  <c r="L102" i="86" s="1"/>
  <c r="M102" i="86" s="1"/>
  <c r="G102" i="86"/>
  <c r="F102" i="86"/>
  <c r="E102" i="86"/>
  <c r="D102" i="86"/>
  <c r="C102" i="86"/>
  <c r="B102" i="86"/>
  <c r="A102" i="86"/>
  <c r="H101" i="86"/>
  <c r="L101" i="86" s="1"/>
  <c r="M101" i="86" s="1"/>
  <c r="G101" i="86"/>
  <c r="E101" i="86"/>
  <c r="D101" i="86"/>
  <c r="C101" i="86"/>
  <c r="B101" i="86"/>
  <c r="A101" i="86"/>
  <c r="H100" i="86"/>
  <c r="L100" i="86" s="1"/>
  <c r="M100" i="86" s="1"/>
  <c r="G100" i="86"/>
  <c r="F100" i="86"/>
  <c r="E100" i="86"/>
  <c r="D100" i="86"/>
  <c r="C100" i="86"/>
  <c r="B100" i="86"/>
  <c r="A100" i="86"/>
  <c r="H99" i="86"/>
  <c r="L99" i="86" s="1"/>
  <c r="M99" i="86" s="1"/>
  <c r="G99" i="86"/>
  <c r="E99" i="86"/>
  <c r="D99" i="86"/>
  <c r="C99" i="86"/>
  <c r="B99" i="86"/>
  <c r="A99" i="86"/>
  <c r="H98" i="86"/>
  <c r="L98" i="86" s="1"/>
  <c r="M98" i="86" s="1"/>
  <c r="D98" i="86"/>
  <c r="G98" i="86"/>
  <c r="F98" i="86"/>
  <c r="E98" i="86"/>
  <c r="C98" i="86"/>
  <c r="B98" i="86"/>
  <c r="A98" i="86"/>
  <c r="H97" i="86"/>
  <c r="L97" i="86" s="1"/>
  <c r="M97" i="86" s="1"/>
  <c r="G97" i="86"/>
  <c r="E97" i="86"/>
  <c r="D97" i="86"/>
  <c r="C97" i="86"/>
  <c r="B97" i="86"/>
  <c r="A97" i="86"/>
  <c r="H96" i="86"/>
  <c r="L96" i="86" s="1"/>
  <c r="M96" i="86" s="1"/>
  <c r="G96" i="86"/>
  <c r="F96" i="86"/>
  <c r="E96" i="86"/>
  <c r="D96" i="86"/>
  <c r="C96" i="86"/>
  <c r="B96" i="86"/>
  <c r="A96" i="86"/>
  <c r="H95" i="86"/>
  <c r="L95" i="86" s="1"/>
  <c r="M95" i="86" s="1"/>
  <c r="G95" i="86"/>
  <c r="E95" i="86"/>
  <c r="D95" i="86"/>
  <c r="C95" i="86"/>
  <c r="B95" i="86"/>
  <c r="A95" i="86"/>
  <c r="H94" i="86"/>
  <c r="L94" i="86" s="1"/>
  <c r="M94" i="86" s="1"/>
  <c r="G94" i="86"/>
  <c r="F94" i="86"/>
  <c r="E94" i="86"/>
  <c r="D94" i="86"/>
  <c r="C94" i="86"/>
  <c r="B94" i="86"/>
  <c r="A94" i="86"/>
  <c r="H93" i="86"/>
  <c r="L93" i="86" s="1"/>
  <c r="M93" i="86" s="1"/>
  <c r="G93" i="86"/>
  <c r="E93" i="86"/>
  <c r="D93" i="86"/>
  <c r="C93" i="86"/>
  <c r="B93" i="86"/>
  <c r="A93" i="86"/>
  <c r="H92" i="86"/>
  <c r="L92" i="86" s="1"/>
  <c r="M92" i="86" s="1"/>
  <c r="G92" i="86"/>
  <c r="F92" i="86"/>
  <c r="E92" i="86"/>
  <c r="D92" i="86"/>
  <c r="C92" i="86"/>
  <c r="B92" i="86"/>
  <c r="A92" i="86"/>
  <c r="H91" i="86"/>
  <c r="L91" i="86" s="1"/>
  <c r="M91" i="86" s="1"/>
  <c r="G91" i="86"/>
  <c r="E91" i="86"/>
  <c r="D91" i="86"/>
  <c r="C91" i="86"/>
  <c r="B91" i="86"/>
  <c r="A91" i="86"/>
  <c r="H90" i="86"/>
  <c r="L90" i="86" s="1"/>
  <c r="M90" i="86" s="1"/>
  <c r="G90" i="86"/>
  <c r="F90" i="86"/>
  <c r="E90" i="86"/>
  <c r="D90" i="86"/>
  <c r="C90" i="86"/>
  <c r="B90" i="86"/>
  <c r="A90" i="86"/>
  <c r="H89" i="86"/>
  <c r="L89" i="86" s="1"/>
  <c r="M89" i="86" s="1"/>
  <c r="G89" i="86"/>
  <c r="E89" i="86"/>
  <c r="D89" i="86"/>
  <c r="C89" i="86"/>
  <c r="B89" i="86"/>
  <c r="A89" i="86"/>
  <c r="H88" i="86"/>
  <c r="L88" i="86" s="1"/>
  <c r="M88" i="86" s="1"/>
  <c r="G88" i="86"/>
  <c r="F88" i="86"/>
  <c r="E88" i="86"/>
  <c r="D88" i="86"/>
  <c r="C88" i="86"/>
  <c r="B88" i="86"/>
  <c r="A88" i="86"/>
  <c r="H87" i="86"/>
  <c r="L87" i="86" s="1"/>
  <c r="M87" i="86" s="1"/>
  <c r="G87" i="86"/>
  <c r="F87" i="86"/>
  <c r="E87" i="86"/>
  <c r="D87" i="86"/>
  <c r="C87" i="86"/>
  <c r="B87" i="86"/>
  <c r="A87" i="86"/>
  <c r="H86" i="86"/>
  <c r="L86" i="86" s="1"/>
  <c r="M86" i="86" s="1"/>
  <c r="G86" i="86"/>
  <c r="E86" i="86"/>
  <c r="D86" i="86"/>
  <c r="C86" i="86"/>
  <c r="B86" i="86"/>
  <c r="A86" i="86"/>
  <c r="H85" i="86"/>
  <c r="L85" i="86" s="1"/>
  <c r="M85" i="86" s="1"/>
  <c r="G85" i="86"/>
  <c r="F85" i="86"/>
  <c r="E85" i="86"/>
  <c r="D85" i="86"/>
  <c r="C85" i="86"/>
  <c r="B85" i="86"/>
  <c r="A85" i="86"/>
  <c r="H84" i="86"/>
  <c r="L84" i="86" s="1"/>
  <c r="M84" i="86" s="1"/>
  <c r="G84" i="86"/>
  <c r="E84" i="86"/>
  <c r="D84" i="86"/>
  <c r="C84" i="86"/>
  <c r="B84" i="86"/>
  <c r="A84" i="86"/>
  <c r="H83" i="86"/>
  <c r="L83" i="86" s="1"/>
  <c r="M83" i="86" s="1"/>
  <c r="G83" i="86"/>
  <c r="F83" i="86"/>
  <c r="E83" i="86"/>
  <c r="D83" i="86"/>
  <c r="C83" i="86"/>
  <c r="B83" i="86"/>
  <c r="A83" i="86"/>
  <c r="H82" i="86"/>
  <c r="L82" i="86" s="1"/>
  <c r="M82" i="86" s="1"/>
  <c r="G82" i="86"/>
  <c r="E82" i="86"/>
  <c r="D82" i="86"/>
  <c r="C82" i="86"/>
  <c r="B82" i="86"/>
  <c r="A82" i="86"/>
  <c r="H81" i="86"/>
  <c r="L81" i="86" s="1"/>
  <c r="M81" i="86" s="1"/>
  <c r="G81" i="86"/>
  <c r="F81" i="86"/>
  <c r="E81" i="86"/>
  <c r="D81" i="86"/>
  <c r="C81" i="86"/>
  <c r="B81" i="86"/>
  <c r="A81" i="86"/>
  <c r="H80" i="86"/>
  <c r="L80" i="86" s="1"/>
  <c r="M80" i="86" s="1"/>
  <c r="G80" i="86"/>
  <c r="F80" i="86"/>
  <c r="E80" i="86"/>
  <c r="D80" i="86"/>
  <c r="C80" i="86"/>
  <c r="B80" i="86"/>
  <c r="A80" i="86"/>
  <c r="H79" i="86"/>
  <c r="L79" i="86" s="1"/>
  <c r="M79" i="86" s="1"/>
  <c r="G79" i="86"/>
  <c r="E79" i="86"/>
  <c r="D79" i="86"/>
  <c r="C79" i="86"/>
  <c r="B79" i="86"/>
  <c r="A79" i="86"/>
  <c r="H78" i="86"/>
  <c r="L78" i="86" s="1"/>
  <c r="M78" i="86" s="1"/>
  <c r="G78" i="86"/>
  <c r="F78" i="86"/>
  <c r="E78" i="86"/>
  <c r="D78" i="86"/>
  <c r="C78" i="86"/>
  <c r="B78" i="86"/>
  <c r="A78" i="86"/>
  <c r="H77" i="86"/>
  <c r="L77" i="86" s="1"/>
  <c r="M77" i="86" s="1"/>
  <c r="G77" i="86"/>
  <c r="E77" i="86"/>
  <c r="D77" i="86"/>
  <c r="C77" i="86"/>
  <c r="B77" i="86"/>
  <c r="A77" i="86"/>
  <c r="H76" i="86"/>
  <c r="L76" i="86" s="1"/>
  <c r="M76" i="86" s="1"/>
  <c r="G76" i="86"/>
  <c r="F76" i="86"/>
  <c r="E76" i="86"/>
  <c r="D76" i="86"/>
  <c r="C76" i="86"/>
  <c r="B76" i="86"/>
  <c r="A76" i="86"/>
  <c r="H75" i="86"/>
  <c r="L75" i="86" s="1"/>
  <c r="M75" i="86" s="1"/>
  <c r="G75" i="86"/>
  <c r="E75" i="86"/>
  <c r="D75" i="86"/>
  <c r="C75" i="86"/>
  <c r="B75" i="86"/>
  <c r="A75" i="86"/>
  <c r="H74" i="86"/>
  <c r="L74" i="86" s="1"/>
  <c r="M74" i="86" s="1"/>
  <c r="G74" i="86"/>
  <c r="F74" i="86"/>
  <c r="E74" i="86"/>
  <c r="D74" i="86"/>
  <c r="C74" i="86"/>
  <c r="B74" i="86"/>
  <c r="A74" i="86"/>
  <c r="H73" i="86"/>
  <c r="L73" i="86" s="1"/>
  <c r="M73" i="86" s="1"/>
  <c r="G73" i="86"/>
  <c r="E73" i="86"/>
  <c r="D73" i="86"/>
  <c r="C73" i="86"/>
  <c r="B73" i="86"/>
  <c r="A73" i="86"/>
  <c r="H72" i="86"/>
  <c r="L72" i="86" s="1"/>
  <c r="M72" i="86" s="1"/>
  <c r="G72" i="86"/>
  <c r="F72" i="86"/>
  <c r="E72" i="86"/>
  <c r="D72" i="86"/>
  <c r="C72" i="86"/>
  <c r="B72" i="86"/>
  <c r="A72" i="86"/>
  <c r="H71" i="86"/>
  <c r="L71" i="86" s="1"/>
  <c r="M71" i="86" s="1"/>
  <c r="G71" i="86"/>
  <c r="F71" i="86"/>
  <c r="E71" i="86"/>
  <c r="D71" i="86"/>
  <c r="C71" i="86"/>
  <c r="B71" i="86"/>
  <c r="A71" i="86"/>
  <c r="H70" i="86"/>
  <c r="L70" i="86" s="1"/>
  <c r="M70" i="86" s="1"/>
  <c r="G70" i="86"/>
  <c r="E70" i="86"/>
  <c r="D70" i="86"/>
  <c r="C70" i="86"/>
  <c r="B70" i="86"/>
  <c r="A70" i="86"/>
  <c r="H69" i="86"/>
  <c r="L69" i="86" s="1"/>
  <c r="M69" i="86" s="1"/>
  <c r="G69" i="86"/>
  <c r="F69" i="86"/>
  <c r="E69" i="86"/>
  <c r="D69" i="86"/>
  <c r="C69" i="86"/>
  <c r="B69" i="86"/>
  <c r="A69" i="86"/>
  <c r="H68" i="86"/>
  <c r="L68" i="86" s="1"/>
  <c r="M68" i="86" s="1"/>
  <c r="G68" i="86"/>
  <c r="F68" i="86"/>
  <c r="E68" i="86"/>
  <c r="D68" i="86"/>
  <c r="C68" i="86"/>
  <c r="B68" i="86"/>
  <c r="A68" i="86"/>
  <c r="H67" i="86"/>
  <c r="L67" i="86" s="1"/>
  <c r="M67" i="86" s="1"/>
  <c r="G67" i="86"/>
  <c r="E67" i="86"/>
  <c r="D67" i="86"/>
  <c r="C67" i="86"/>
  <c r="B67" i="86"/>
  <c r="A67" i="86"/>
  <c r="H66" i="86"/>
  <c r="L66" i="86" s="1"/>
  <c r="M66" i="86" s="1"/>
  <c r="G66" i="86"/>
  <c r="F66" i="86"/>
  <c r="E66" i="86"/>
  <c r="D66" i="86"/>
  <c r="C66" i="86"/>
  <c r="B66" i="86"/>
  <c r="A66" i="86"/>
  <c r="H65" i="86"/>
  <c r="L65" i="86" s="1"/>
  <c r="M65" i="86" s="1"/>
  <c r="G65" i="86"/>
  <c r="F65" i="86"/>
  <c r="E65" i="86"/>
  <c r="D65" i="86"/>
  <c r="C65" i="86"/>
  <c r="B65" i="86"/>
  <c r="A65" i="86"/>
  <c r="H64" i="86"/>
  <c r="L64" i="86" s="1"/>
  <c r="M64" i="86" s="1"/>
  <c r="G64" i="86"/>
  <c r="E64" i="86"/>
  <c r="D64" i="86"/>
  <c r="C64" i="86"/>
  <c r="B64" i="86"/>
  <c r="A64" i="86"/>
  <c r="H63" i="86"/>
  <c r="L63" i="86" s="1"/>
  <c r="M63" i="86" s="1"/>
  <c r="G63" i="86"/>
  <c r="F63" i="86"/>
  <c r="E63" i="86"/>
  <c r="D63" i="86"/>
  <c r="C63" i="86"/>
  <c r="B63" i="86"/>
  <c r="A63" i="86"/>
  <c r="H62" i="86"/>
  <c r="L62" i="86" s="1"/>
  <c r="M62" i="86" s="1"/>
  <c r="G62" i="86"/>
  <c r="F62" i="86"/>
  <c r="E62" i="86"/>
  <c r="D62" i="86"/>
  <c r="C62" i="86"/>
  <c r="B62" i="86"/>
  <c r="A62" i="86"/>
  <c r="H61" i="86"/>
  <c r="L61" i="86" s="1"/>
  <c r="M61" i="86" s="1"/>
  <c r="G61" i="86"/>
  <c r="E61" i="86"/>
  <c r="D61" i="86"/>
  <c r="C61" i="86"/>
  <c r="B61" i="86"/>
  <c r="A61" i="86"/>
  <c r="H60" i="86"/>
  <c r="G60" i="86"/>
  <c r="F60" i="86"/>
  <c r="E60" i="86"/>
  <c r="D60" i="86"/>
  <c r="C60" i="86"/>
  <c r="B60" i="86"/>
  <c r="A60" i="86"/>
  <c r="H59" i="86"/>
  <c r="L59" i="86" s="1"/>
  <c r="M59" i="86" s="1"/>
  <c r="G59" i="86"/>
  <c r="F59" i="86"/>
  <c r="E59" i="86"/>
  <c r="D59" i="86"/>
  <c r="C59" i="86"/>
  <c r="B59" i="86"/>
  <c r="A59" i="86"/>
  <c r="H58" i="86"/>
  <c r="L58" i="86" s="1"/>
  <c r="M58" i="86" s="1"/>
  <c r="G58" i="86"/>
  <c r="E58" i="86"/>
  <c r="D58" i="86"/>
  <c r="C58" i="86"/>
  <c r="B58" i="86"/>
  <c r="A58" i="86"/>
  <c r="H57" i="86"/>
  <c r="L57" i="86" s="1"/>
  <c r="M57" i="86" s="1"/>
  <c r="G57" i="86"/>
  <c r="F57" i="86"/>
  <c r="E57" i="86"/>
  <c r="D57" i="86"/>
  <c r="C57" i="86"/>
  <c r="B57" i="86"/>
  <c r="A57" i="86"/>
  <c r="H56" i="86"/>
  <c r="L56" i="86" s="1"/>
  <c r="M56" i="86" s="1"/>
  <c r="G56" i="86"/>
  <c r="D56" i="86"/>
  <c r="F56" i="86"/>
  <c r="E56" i="86"/>
  <c r="C56" i="86"/>
  <c r="B56" i="86"/>
  <c r="A56" i="86"/>
  <c r="H55" i="86"/>
  <c r="L55" i="86" s="1"/>
  <c r="M55" i="86" s="1"/>
  <c r="G55" i="86"/>
  <c r="E55" i="86"/>
  <c r="D55" i="86"/>
  <c r="C55" i="86"/>
  <c r="B55" i="86"/>
  <c r="A55" i="86"/>
  <c r="H54" i="86"/>
  <c r="G54" i="86"/>
  <c r="F54" i="86"/>
  <c r="E54" i="86"/>
  <c r="D54" i="86"/>
  <c r="C54" i="86"/>
  <c r="B54" i="86"/>
  <c r="A54" i="86"/>
  <c r="H53" i="86"/>
  <c r="L53" i="86" s="1"/>
  <c r="M53" i="86" s="1"/>
  <c r="G53" i="86"/>
  <c r="F53" i="86"/>
  <c r="E53" i="86"/>
  <c r="D53" i="86"/>
  <c r="C53" i="86"/>
  <c r="B53" i="86"/>
  <c r="A53" i="86"/>
  <c r="H52" i="86"/>
  <c r="L52" i="86" s="1"/>
  <c r="M52" i="86" s="1"/>
  <c r="G52" i="86"/>
  <c r="E52" i="86"/>
  <c r="D52" i="86"/>
  <c r="C52" i="86"/>
  <c r="B52" i="86"/>
  <c r="A52" i="86"/>
  <c r="H51" i="86"/>
  <c r="L51" i="86" s="1"/>
  <c r="M51" i="86" s="1"/>
  <c r="G51" i="86"/>
  <c r="F51" i="86"/>
  <c r="E51" i="86"/>
  <c r="D51" i="86"/>
  <c r="C51" i="86"/>
  <c r="B51" i="86"/>
  <c r="A51" i="86"/>
  <c r="H50" i="86"/>
  <c r="L50" i="86" s="1"/>
  <c r="M50" i="86" s="1"/>
  <c r="G50" i="86"/>
  <c r="F50" i="86"/>
  <c r="E50" i="86"/>
  <c r="D50" i="86"/>
  <c r="C50" i="86"/>
  <c r="B50" i="86"/>
  <c r="A50" i="86"/>
  <c r="H49" i="86"/>
  <c r="L49" i="86" s="1"/>
  <c r="M49" i="86" s="1"/>
  <c r="G49" i="86"/>
  <c r="F49" i="86"/>
  <c r="E49" i="86"/>
  <c r="D49" i="86"/>
  <c r="C49" i="86"/>
  <c r="B49" i="86"/>
  <c r="A49" i="86"/>
  <c r="H48" i="86"/>
  <c r="L48" i="86" s="1"/>
  <c r="M48" i="86" s="1"/>
  <c r="G48" i="86"/>
  <c r="E48" i="86"/>
  <c r="D48" i="86"/>
  <c r="C48" i="86"/>
  <c r="B48" i="86"/>
  <c r="A48" i="86"/>
  <c r="H47" i="86"/>
  <c r="L47" i="86" s="1"/>
  <c r="M47" i="86" s="1"/>
  <c r="G47" i="86"/>
  <c r="F47" i="86"/>
  <c r="E47" i="86"/>
  <c r="D47" i="86"/>
  <c r="C47" i="86"/>
  <c r="B47" i="86"/>
  <c r="A47" i="86"/>
  <c r="H46" i="86"/>
  <c r="L46" i="86" s="1"/>
  <c r="M46" i="86" s="1"/>
  <c r="G46" i="86"/>
  <c r="F46" i="86"/>
  <c r="E46" i="86"/>
  <c r="D46" i="86"/>
  <c r="C46" i="86"/>
  <c r="B46" i="86"/>
  <c r="A46" i="86"/>
  <c r="H45" i="86"/>
  <c r="L45" i="86" s="1"/>
  <c r="M45" i="86" s="1"/>
  <c r="G45" i="86"/>
  <c r="F45" i="86"/>
  <c r="E45" i="86"/>
  <c r="D45" i="86"/>
  <c r="C45" i="86"/>
  <c r="B45" i="86"/>
  <c r="A45" i="86"/>
  <c r="H44" i="86"/>
  <c r="L44" i="86" s="1"/>
  <c r="M44" i="86" s="1"/>
  <c r="G44" i="86"/>
  <c r="F44" i="86"/>
  <c r="E44" i="86"/>
  <c r="D44" i="86"/>
  <c r="C44" i="86"/>
  <c r="B44" i="86"/>
  <c r="A44" i="86"/>
  <c r="H43" i="86"/>
  <c r="L43" i="86" s="1"/>
  <c r="M43" i="86" s="1"/>
  <c r="G43" i="86"/>
  <c r="F43" i="86"/>
  <c r="E43" i="86"/>
  <c r="D43" i="86"/>
  <c r="C43" i="86"/>
  <c r="B43" i="86"/>
  <c r="A43" i="86"/>
  <c r="H42" i="86"/>
  <c r="L42" i="86" s="1"/>
  <c r="M42" i="86" s="1"/>
  <c r="G42" i="86"/>
  <c r="F42" i="86"/>
  <c r="E42" i="86"/>
  <c r="D42" i="86"/>
  <c r="C42" i="86"/>
  <c r="B42" i="86"/>
  <c r="A42" i="86"/>
  <c r="H41" i="86"/>
  <c r="L41" i="86" s="1"/>
  <c r="M41" i="86" s="1"/>
  <c r="G41" i="86"/>
  <c r="E41" i="86"/>
  <c r="D41" i="86"/>
  <c r="C41" i="86"/>
  <c r="B41" i="86"/>
  <c r="A41" i="86"/>
  <c r="H40" i="86"/>
  <c r="L40" i="86" s="1"/>
  <c r="M40" i="86" s="1"/>
  <c r="G40" i="86"/>
  <c r="F40" i="86"/>
  <c r="E40" i="86"/>
  <c r="D40" i="86"/>
  <c r="C40" i="86"/>
  <c r="B40" i="86"/>
  <c r="A40" i="86"/>
  <c r="H39" i="86"/>
  <c r="L39" i="86" s="1"/>
  <c r="M39" i="86" s="1"/>
  <c r="G39" i="86"/>
  <c r="F39" i="86"/>
  <c r="E39" i="86"/>
  <c r="D39" i="86"/>
  <c r="C39" i="86"/>
  <c r="B39" i="86"/>
  <c r="A39" i="86"/>
  <c r="L38" i="86"/>
  <c r="M38" i="86" s="1"/>
  <c r="G38" i="86"/>
  <c r="E38" i="86"/>
  <c r="D38" i="86"/>
  <c r="C38" i="86"/>
  <c r="B38" i="86"/>
  <c r="A38" i="86"/>
  <c r="H37" i="86"/>
  <c r="L37" i="86" s="1"/>
  <c r="M37" i="86" s="1"/>
  <c r="G37" i="86"/>
  <c r="F37" i="86"/>
  <c r="E37" i="86"/>
  <c r="D37" i="86"/>
  <c r="C37" i="86"/>
  <c r="B37" i="86"/>
  <c r="A37" i="86"/>
  <c r="H36" i="86"/>
  <c r="L36" i="86" s="1"/>
  <c r="M36" i="86" s="1"/>
  <c r="G36" i="86"/>
  <c r="F36" i="86"/>
  <c r="E36" i="86"/>
  <c r="D36" i="86"/>
  <c r="C36" i="86"/>
  <c r="B36" i="86"/>
  <c r="A36" i="86"/>
  <c r="H35" i="86"/>
  <c r="G35" i="86"/>
  <c r="E35" i="86"/>
  <c r="D35" i="86"/>
  <c r="C35" i="86"/>
  <c r="B35" i="86"/>
  <c r="A35" i="86"/>
  <c r="H34" i="86"/>
  <c r="L34" i="86" s="1"/>
  <c r="M34" i="86" s="1"/>
  <c r="F34" i="86"/>
  <c r="E34" i="86"/>
  <c r="D34" i="86"/>
  <c r="C34" i="86"/>
  <c r="B34" i="86"/>
  <c r="A34" i="86"/>
  <c r="H33" i="86"/>
  <c r="L33" i="86" s="1"/>
  <c r="M33" i="86" s="1"/>
  <c r="E33" i="86"/>
  <c r="D33" i="86"/>
  <c r="C33" i="86"/>
  <c r="B33" i="86"/>
  <c r="A33" i="86"/>
  <c r="H32" i="86"/>
  <c r="L32" i="86" s="1"/>
  <c r="M32" i="86" s="1"/>
  <c r="F32" i="86"/>
  <c r="E32" i="86"/>
  <c r="D32" i="86"/>
  <c r="C32" i="86"/>
  <c r="B32" i="86"/>
  <c r="A32" i="86"/>
  <c r="H31" i="86"/>
  <c r="L31" i="86" s="1"/>
  <c r="M31" i="86" s="1"/>
  <c r="F31" i="86"/>
  <c r="E31" i="86"/>
  <c r="D31" i="86"/>
  <c r="C31" i="86"/>
  <c r="B31" i="86"/>
  <c r="A31" i="86"/>
  <c r="H30" i="86"/>
  <c r="E30" i="86"/>
  <c r="D30" i="86"/>
  <c r="C30" i="86"/>
  <c r="B30" i="86"/>
  <c r="A30" i="86"/>
  <c r="H29" i="86"/>
  <c r="L29" i="86" s="1"/>
  <c r="M29" i="86" s="1"/>
  <c r="G29" i="86"/>
  <c r="F29" i="86"/>
  <c r="E29" i="86"/>
  <c r="D29" i="86"/>
  <c r="C29" i="86"/>
  <c r="B29" i="86"/>
  <c r="A29" i="86"/>
  <c r="H28" i="86"/>
  <c r="G28" i="86"/>
  <c r="E28" i="86"/>
  <c r="D28" i="86"/>
  <c r="C28" i="86"/>
  <c r="B28" i="86"/>
  <c r="A28" i="86"/>
  <c r="H27" i="86"/>
  <c r="L27" i="86" s="1"/>
  <c r="M27" i="86" s="1"/>
  <c r="G27" i="86"/>
  <c r="F27" i="86"/>
  <c r="E27" i="86"/>
  <c r="D27" i="86"/>
  <c r="C27" i="86"/>
  <c r="B27" i="86"/>
  <c r="A27" i="86"/>
  <c r="H26" i="86"/>
  <c r="L26" i="86" s="1"/>
  <c r="M26" i="86" s="1"/>
  <c r="G26" i="86"/>
  <c r="F26" i="86"/>
  <c r="E26" i="86"/>
  <c r="D26" i="86"/>
  <c r="C26" i="86"/>
  <c r="B26" i="86"/>
  <c r="A26" i="86"/>
  <c r="H25" i="86"/>
  <c r="L25" i="86" s="1"/>
  <c r="M25" i="86" s="1"/>
  <c r="G25" i="86"/>
  <c r="E25" i="86"/>
  <c r="D25" i="86"/>
  <c r="C25" i="86"/>
  <c r="B25" i="86"/>
  <c r="A25" i="86"/>
  <c r="H24" i="86"/>
  <c r="L24" i="86" s="1"/>
  <c r="M24" i="86" s="1"/>
  <c r="G24" i="86"/>
  <c r="F24" i="86"/>
  <c r="E24" i="86"/>
  <c r="D24" i="86"/>
  <c r="C24" i="86"/>
  <c r="B24" i="86"/>
  <c r="A24" i="86"/>
  <c r="H23" i="86"/>
  <c r="L23" i="86" s="1"/>
  <c r="M23" i="86" s="1"/>
  <c r="G23" i="86"/>
  <c r="F23" i="86"/>
  <c r="E23" i="86"/>
  <c r="D23" i="86"/>
  <c r="C23" i="86"/>
  <c r="B23" i="86"/>
  <c r="A23" i="86"/>
  <c r="H22" i="86"/>
  <c r="G22" i="86"/>
  <c r="E22" i="86"/>
  <c r="D22" i="86"/>
  <c r="C22" i="86"/>
  <c r="B22" i="86"/>
  <c r="A22" i="86"/>
  <c r="H21" i="86"/>
  <c r="L21" i="86" s="1"/>
  <c r="M21" i="86" s="1"/>
  <c r="G21" i="86"/>
  <c r="F21" i="86"/>
  <c r="E21" i="86"/>
  <c r="D21" i="86"/>
  <c r="C21" i="86"/>
  <c r="B21" i="86"/>
  <c r="A21" i="86"/>
  <c r="H20" i="86"/>
  <c r="G20" i="86"/>
  <c r="E20" i="86"/>
  <c r="D20" i="86"/>
  <c r="C20" i="86"/>
  <c r="B20" i="86"/>
  <c r="A20" i="86"/>
  <c r="H19" i="86"/>
  <c r="G19" i="86"/>
  <c r="F19" i="86"/>
  <c r="E19" i="86"/>
  <c r="D19" i="86"/>
  <c r="C19" i="86"/>
  <c r="B19" i="86"/>
  <c r="A19" i="86"/>
  <c r="H18" i="86"/>
  <c r="L18" i="86" s="1"/>
  <c r="M18" i="86" s="1"/>
  <c r="G18" i="86"/>
  <c r="F18" i="86"/>
  <c r="E18" i="86"/>
  <c r="D18" i="86"/>
  <c r="C18" i="86"/>
  <c r="B18" i="86"/>
  <c r="A18" i="86"/>
  <c r="H17" i="86"/>
  <c r="L17" i="86" s="1"/>
  <c r="M17" i="86" s="1"/>
  <c r="G17" i="86"/>
  <c r="E17" i="86"/>
  <c r="D17" i="86"/>
  <c r="C17" i="86"/>
  <c r="B17" i="86"/>
  <c r="A17" i="86"/>
  <c r="H16" i="86"/>
  <c r="L16" i="86" s="1"/>
  <c r="M16" i="86" s="1"/>
  <c r="G16" i="86"/>
  <c r="F16" i="86"/>
  <c r="E16" i="86"/>
  <c r="D16" i="86"/>
  <c r="C16" i="86"/>
  <c r="B16" i="86"/>
  <c r="A16" i="86"/>
  <c r="H15" i="86"/>
  <c r="G15" i="86"/>
  <c r="F15" i="86"/>
  <c r="E15" i="86"/>
  <c r="D15" i="86"/>
  <c r="C15" i="86"/>
  <c r="B15" i="86"/>
  <c r="A15" i="86"/>
  <c r="H14" i="86"/>
  <c r="L14" i="86" s="1"/>
  <c r="M14" i="86" s="1"/>
  <c r="G14" i="86"/>
  <c r="F14" i="86"/>
  <c r="E14" i="86"/>
  <c r="D14" i="86"/>
  <c r="C14" i="86"/>
  <c r="B14" i="86"/>
  <c r="A14" i="86"/>
  <c r="H13" i="86"/>
  <c r="G13" i="86"/>
  <c r="E13" i="86"/>
  <c r="D13" i="86"/>
  <c r="C13" i="86"/>
  <c r="B13" i="86"/>
  <c r="A13" i="86"/>
  <c r="H12" i="86"/>
  <c r="L12" i="86" s="1"/>
  <c r="M12" i="86" s="1"/>
  <c r="G12" i="86"/>
  <c r="F12" i="86"/>
  <c r="E12" i="86"/>
  <c r="D12" i="86"/>
  <c r="C12" i="86"/>
  <c r="B12" i="86"/>
  <c r="A12" i="86"/>
  <c r="H11" i="86"/>
  <c r="L11" i="86" s="1"/>
  <c r="M11" i="86" s="1"/>
  <c r="G11" i="86"/>
  <c r="F11" i="86"/>
  <c r="E11" i="86"/>
  <c r="D11" i="86"/>
  <c r="C11" i="86"/>
  <c r="B11" i="86"/>
  <c r="A11" i="86"/>
  <c r="H10" i="86"/>
  <c r="G10" i="86"/>
  <c r="F10" i="86"/>
  <c r="E10" i="86"/>
  <c r="D10" i="86"/>
  <c r="C10" i="86"/>
  <c r="B10" i="86"/>
  <c r="A10" i="86"/>
  <c r="H9" i="86"/>
  <c r="L9" i="86" s="1"/>
  <c r="M9" i="86" s="1"/>
  <c r="G9" i="86"/>
  <c r="E9" i="86"/>
  <c r="D9" i="86"/>
  <c r="C9" i="86"/>
  <c r="B9" i="86"/>
  <c r="A9" i="86"/>
  <c r="H8" i="86"/>
  <c r="L8" i="86" s="1"/>
  <c r="M8" i="86" s="1"/>
  <c r="G8" i="86"/>
  <c r="F8" i="86"/>
  <c r="E8" i="86"/>
  <c r="D8" i="86"/>
  <c r="C8" i="86"/>
  <c r="B8" i="86"/>
  <c r="A8" i="86"/>
  <c r="H7" i="86"/>
  <c r="L7" i="86" s="1"/>
  <c r="M7" i="86" s="1"/>
  <c r="G7" i="86"/>
  <c r="E7" i="86"/>
  <c r="D7" i="86"/>
  <c r="C7" i="86"/>
  <c r="B7" i="86"/>
  <c r="A7" i="86"/>
  <c r="H6" i="86"/>
  <c r="L6" i="86" s="1"/>
  <c r="M6" i="86" s="1"/>
  <c r="G6" i="86"/>
  <c r="F6" i="86"/>
  <c r="E6" i="86"/>
  <c r="D6" i="86"/>
  <c r="C6" i="86"/>
  <c r="B6" i="86"/>
  <c r="A6" i="86"/>
  <c r="H5" i="86"/>
  <c r="L5" i="86" s="1"/>
  <c r="M5" i="86" s="1"/>
  <c r="G5" i="86"/>
  <c r="F5" i="86"/>
  <c r="E5" i="86"/>
  <c r="D5" i="86"/>
  <c r="C5" i="86"/>
  <c r="B5" i="86"/>
  <c r="A5" i="86"/>
  <c r="L4" i="86"/>
  <c r="M4" i="86" s="1"/>
  <c r="G4" i="86"/>
  <c r="E4" i="86"/>
  <c r="D4" i="86"/>
  <c r="C4" i="86"/>
  <c r="B4" i="86"/>
  <c r="A4" i="86"/>
  <c r="I2" i="86"/>
  <c r="H2" i="86"/>
  <c r="G2" i="86"/>
  <c r="F2" i="86"/>
  <c r="E2" i="86"/>
  <c r="D2" i="86"/>
  <c r="C2" i="86"/>
  <c r="B2" i="86"/>
  <c r="A2" i="86"/>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P177" i="29"/>
  <c r="N177" i="29"/>
  <c r="L177" i="29"/>
  <c r="J177" i="29"/>
  <c r="H177" i="29"/>
  <c r="F177" i="29"/>
  <c r="D177" i="29"/>
  <c r="B177" i="29"/>
  <c r="R134" i="29"/>
  <c r="R135" i="29" s="1"/>
  <c r="Q134" i="29"/>
  <c r="Q135" i="29" s="1"/>
  <c r="P134" i="29"/>
  <c r="P135" i="29" s="1"/>
  <c r="O134" i="29"/>
  <c r="O135" i="29" s="1"/>
  <c r="N134" i="29"/>
  <c r="N135" i="29" s="1"/>
  <c r="M134" i="29"/>
  <c r="M135" i="29" s="1"/>
  <c r="L134" i="29"/>
  <c r="L135" i="29" s="1"/>
  <c r="K134" i="29"/>
  <c r="K135" i="29" s="1"/>
  <c r="J134" i="29"/>
  <c r="J135" i="29" s="1"/>
  <c r="I134" i="29"/>
  <c r="I135" i="29" s="1"/>
  <c r="H134" i="29"/>
  <c r="H135" i="29" s="1"/>
  <c r="G134" i="29"/>
  <c r="G135" i="29" s="1"/>
  <c r="F134" i="29"/>
  <c r="F135" i="29" s="1"/>
  <c r="E134" i="29"/>
  <c r="E135" i="29" s="1"/>
  <c r="D134" i="29"/>
  <c r="D135" i="29" s="1"/>
  <c r="C134" i="29"/>
  <c r="R133" i="29"/>
  <c r="Q133" i="29"/>
  <c r="P133" i="29"/>
  <c r="O133" i="29"/>
  <c r="N133" i="29"/>
  <c r="M133" i="29"/>
  <c r="L133" i="29"/>
  <c r="K133" i="29"/>
  <c r="J133" i="29"/>
  <c r="I133" i="29"/>
  <c r="H133" i="29"/>
  <c r="G133" i="29"/>
  <c r="F133" i="29"/>
  <c r="E133" i="29"/>
  <c r="D133" i="29"/>
  <c r="C133" i="29"/>
  <c r="R122" i="29"/>
  <c r="C122" i="29"/>
  <c r="B122" i="29"/>
  <c r="AB122" i="29" s="1"/>
  <c r="A122" i="29"/>
  <c r="R121" i="29"/>
  <c r="C121" i="29"/>
  <c r="B121" i="29"/>
  <c r="AB121" i="29" s="1"/>
  <c r="A121" i="29"/>
  <c r="R120" i="29"/>
  <c r="C120" i="29"/>
  <c r="B120" i="29"/>
  <c r="AB120" i="29" s="1"/>
  <c r="A120" i="29"/>
  <c r="AA120" i="29" s="1"/>
  <c r="R119" i="29"/>
  <c r="C119" i="29"/>
  <c r="B119" i="29"/>
  <c r="AB119" i="29" s="1"/>
  <c r="A119" i="29"/>
  <c r="R118" i="29"/>
  <c r="C118" i="29"/>
  <c r="B118" i="29"/>
  <c r="AB118" i="29" s="1"/>
  <c r="A118" i="29"/>
  <c r="AA118" i="29" s="1"/>
  <c r="R117" i="29"/>
  <c r="C117" i="29"/>
  <c r="B117" i="29"/>
  <c r="AB117" i="29" s="1"/>
  <c r="A117" i="29"/>
  <c r="R116" i="29"/>
  <c r="C116" i="29"/>
  <c r="B116" i="29"/>
  <c r="AB116" i="29" s="1"/>
  <c r="A116" i="29"/>
  <c r="AA116" i="29" s="1"/>
  <c r="R115" i="29"/>
  <c r="C115" i="29"/>
  <c r="B115" i="29"/>
  <c r="AB115" i="29" s="1"/>
  <c r="A115" i="29"/>
  <c r="R114" i="29"/>
  <c r="C114" i="29"/>
  <c r="B114" i="29"/>
  <c r="AB114" i="29" s="1"/>
  <c r="A114" i="29"/>
  <c r="R113" i="29"/>
  <c r="C113" i="29"/>
  <c r="B113" i="29"/>
  <c r="AB113" i="29" s="1"/>
  <c r="A113" i="29"/>
  <c r="AA113" i="29" s="1"/>
  <c r="R112" i="29"/>
  <c r="C112" i="29"/>
  <c r="B112" i="29"/>
  <c r="AB112" i="29" s="1"/>
  <c r="A112" i="29"/>
  <c r="R111" i="29"/>
  <c r="C111" i="29"/>
  <c r="B111" i="29"/>
  <c r="AB111" i="29" s="1"/>
  <c r="A111" i="29"/>
  <c r="AA111" i="29" s="1"/>
  <c r="R110" i="29"/>
  <c r="C110" i="29"/>
  <c r="B110" i="29"/>
  <c r="AB110" i="29" s="1"/>
  <c r="A110" i="29"/>
  <c r="R109" i="29"/>
  <c r="C109" i="29"/>
  <c r="B109" i="29"/>
  <c r="AB109" i="29" s="1"/>
  <c r="A109" i="29"/>
  <c r="AA109" i="29" s="1"/>
  <c r="R108" i="29"/>
  <c r="C108" i="29"/>
  <c r="B108" i="29"/>
  <c r="AB108" i="29" s="1"/>
  <c r="A108" i="29"/>
  <c r="R107" i="29"/>
  <c r="C107" i="29"/>
  <c r="B107" i="29"/>
  <c r="AB107" i="29" s="1"/>
  <c r="A107" i="29"/>
  <c r="AA107" i="29" s="1"/>
  <c r="R106" i="29"/>
  <c r="C106" i="29"/>
  <c r="B106" i="29"/>
  <c r="AB106" i="29" s="1"/>
  <c r="A106" i="29"/>
  <c r="R105" i="29"/>
  <c r="C105" i="29"/>
  <c r="B105" i="29"/>
  <c r="AB105" i="29" s="1"/>
  <c r="A105" i="29"/>
  <c r="AA105" i="29" s="1"/>
  <c r="R104" i="29"/>
  <c r="C104" i="29"/>
  <c r="B104" i="29"/>
  <c r="AB104" i="29" s="1"/>
  <c r="A104" i="29"/>
  <c r="R103" i="29"/>
  <c r="C103" i="29"/>
  <c r="B103" i="29"/>
  <c r="AB103" i="29" s="1"/>
  <c r="A103" i="29"/>
  <c r="AA103" i="29" s="1"/>
  <c r="R102" i="29"/>
  <c r="C102" i="29"/>
  <c r="B102" i="29"/>
  <c r="AB102" i="29" s="1"/>
  <c r="A102" i="29"/>
  <c r="R101" i="29"/>
  <c r="C101" i="29"/>
  <c r="B101" i="29"/>
  <c r="AB101" i="29" s="1"/>
  <c r="A101" i="29"/>
  <c r="R100" i="29"/>
  <c r="C100" i="29"/>
  <c r="B100" i="29"/>
  <c r="AB100" i="29" s="1"/>
  <c r="A100" i="29"/>
  <c r="AA100" i="29" s="1"/>
  <c r="R99" i="29"/>
  <c r="C99" i="29"/>
  <c r="B99" i="29"/>
  <c r="AB99" i="29" s="1"/>
  <c r="A99" i="29"/>
  <c r="R98" i="29"/>
  <c r="C98" i="29"/>
  <c r="B98" i="29"/>
  <c r="AB98" i="29" s="1"/>
  <c r="A98" i="29"/>
  <c r="AA98" i="29" s="1"/>
  <c r="R97" i="29"/>
  <c r="C97" i="29"/>
  <c r="B97" i="29"/>
  <c r="AB97" i="29" s="1"/>
  <c r="A97" i="29"/>
  <c r="R96" i="29"/>
  <c r="C96" i="29"/>
  <c r="B96" i="29"/>
  <c r="AB96" i="29" s="1"/>
  <c r="A96" i="29"/>
  <c r="R95" i="29"/>
  <c r="C95" i="29"/>
  <c r="B95" i="29"/>
  <c r="AB95" i="29" s="1"/>
  <c r="A95" i="29"/>
  <c r="R94" i="29"/>
  <c r="C94" i="29"/>
  <c r="B94" i="29"/>
  <c r="AB94" i="29" s="1"/>
  <c r="A94" i="29"/>
  <c r="R93" i="29"/>
  <c r="C93" i="29"/>
  <c r="B93" i="29"/>
  <c r="AB93" i="29" s="1"/>
  <c r="A93" i="29"/>
  <c r="AA93" i="29" s="1"/>
  <c r="R92" i="29"/>
  <c r="C92" i="29"/>
  <c r="B92" i="29"/>
  <c r="AB92" i="29" s="1"/>
  <c r="A92" i="29"/>
  <c r="R91" i="29"/>
  <c r="C91" i="29"/>
  <c r="B91" i="29"/>
  <c r="AB91" i="29" s="1"/>
  <c r="A91" i="29"/>
  <c r="R90" i="29"/>
  <c r="C90" i="29"/>
  <c r="B90" i="29"/>
  <c r="AB90" i="29" s="1"/>
  <c r="A90" i="29"/>
  <c r="R89" i="29"/>
  <c r="C89" i="29"/>
  <c r="B89" i="29"/>
  <c r="AB89" i="29" s="1"/>
  <c r="A89" i="29"/>
  <c r="AA89" i="29" s="1"/>
  <c r="R88" i="29"/>
  <c r="C88" i="29"/>
  <c r="B88" i="29"/>
  <c r="AB88" i="29" s="1"/>
  <c r="A88" i="29"/>
  <c r="R87" i="29"/>
  <c r="C87" i="29"/>
  <c r="B87" i="29"/>
  <c r="AB87" i="29" s="1"/>
  <c r="A87" i="29"/>
  <c r="R86" i="29"/>
  <c r="C86" i="29"/>
  <c r="B86" i="29"/>
  <c r="AB86" i="29" s="1"/>
  <c r="A86" i="29"/>
  <c r="R85" i="29"/>
  <c r="C85" i="29"/>
  <c r="B85" i="29"/>
  <c r="AB85" i="29" s="1"/>
  <c r="A85" i="29"/>
  <c r="R81" i="29"/>
  <c r="C81" i="29"/>
  <c r="B81" i="29"/>
  <c r="AB81" i="29" s="1"/>
  <c r="A81" i="29"/>
  <c r="R80" i="29"/>
  <c r="C80" i="29"/>
  <c r="B80" i="29"/>
  <c r="AB80" i="29" s="1"/>
  <c r="A80" i="29"/>
  <c r="R79" i="29"/>
  <c r="C79" i="29"/>
  <c r="B79" i="29"/>
  <c r="AB79" i="29" s="1"/>
  <c r="A79" i="29"/>
  <c r="R78" i="29"/>
  <c r="C78" i="29"/>
  <c r="B78" i="29"/>
  <c r="AB78" i="29" s="1"/>
  <c r="A78" i="29"/>
  <c r="R77" i="29"/>
  <c r="C77" i="29"/>
  <c r="B77" i="29"/>
  <c r="AB77" i="29" s="1"/>
  <c r="A77" i="29"/>
  <c r="R76" i="29"/>
  <c r="C76" i="29"/>
  <c r="B76" i="29"/>
  <c r="AB76" i="29" s="1"/>
  <c r="A76" i="29"/>
  <c r="AA76" i="29" s="1"/>
  <c r="R73" i="29"/>
  <c r="C73" i="29"/>
  <c r="B73" i="29"/>
  <c r="AB73" i="29" s="1"/>
  <c r="A73" i="29"/>
  <c r="R72" i="29"/>
  <c r="C72" i="29"/>
  <c r="B72" i="29"/>
  <c r="AB72" i="29" s="1"/>
  <c r="A72" i="29"/>
  <c r="R71" i="29"/>
  <c r="C71" i="29"/>
  <c r="B71" i="29"/>
  <c r="AB71" i="29" s="1"/>
  <c r="A71" i="29"/>
  <c r="R70" i="29"/>
  <c r="C70" i="29"/>
  <c r="B70" i="29"/>
  <c r="AB70" i="29" s="1"/>
  <c r="A70" i="29"/>
  <c r="R69" i="29"/>
  <c r="C69" i="29"/>
  <c r="B69" i="29"/>
  <c r="AB69" i="29" s="1"/>
  <c r="A69" i="29"/>
  <c r="R68" i="29"/>
  <c r="C68" i="29"/>
  <c r="B68" i="29"/>
  <c r="AB68" i="29" s="1"/>
  <c r="A68" i="29"/>
  <c r="AA68" i="29" s="1"/>
  <c r="R65" i="29"/>
  <c r="C65" i="29"/>
  <c r="B65" i="29"/>
  <c r="AB65" i="29" s="1"/>
  <c r="A65" i="29"/>
  <c r="R64" i="29"/>
  <c r="C64" i="29"/>
  <c r="B64" i="29"/>
  <c r="AB64" i="29" s="1"/>
  <c r="A64" i="29"/>
  <c r="R63" i="29"/>
  <c r="C63" i="29"/>
  <c r="B63" i="29"/>
  <c r="AB63" i="29" s="1"/>
  <c r="A63" i="29"/>
  <c r="R62" i="29"/>
  <c r="C62" i="29"/>
  <c r="B62" i="29"/>
  <c r="AB62" i="29" s="1"/>
  <c r="A62" i="29"/>
  <c r="R61" i="29"/>
  <c r="C61" i="29"/>
  <c r="B61" i="29"/>
  <c r="AB61" i="29" s="1"/>
  <c r="A61" i="29"/>
  <c r="R60" i="29"/>
  <c r="C60" i="29"/>
  <c r="B60" i="29"/>
  <c r="AB60" i="29" s="1"/>
  <c r="A60" i="29"/>
  <c r="AA60" i="29" s="1"/>
  <c r="R59" i="29"/>
  <c r="C59" i="29"/>
  <c r="B59" i="29"/>
  <c r="AB59" i="29" s="1"/>
  <c r="A59" i="29"/>
  <c r="R58" i="29"/>
  <c r="C58" i="29"/>
  <c r="B58" i="29"/>
  <c r="AB58" i="29" s="1"/>
  <c r="A58" i="29"/>
  <c r="R57" i="29"/>
  <c r="C57" i="29"/>
  <c r="B57" i="29"/>
  <c r="AB57" i="29" s="1"/>
  <c r="A57" i="29"/>
  <c r="R56" i="29"/>
  <c r="C56" i="29"/>
  <c r="B56" i="29"/>
  <c r="AB56" i="29" s="1"/>
  <c r="A56" i="29"/>
  <c r="R55" i="29"/>
  <c r="C55" i="29"/>
  <c r="B55" i="29"/>
  <c r="AB55" i="29" s="1"/>
  <c r="A55" i="29"/>
  <c r="R54" i="29"/>
  <c r="C54" i="29"/>
  <c r="B54" i="29"/>
  <c r="AB54" i="29" s="1"/>
  <c r="A54" i="29"/>
  <c r="R53" i="29"/>
  <c r="C53" i="29"/>
  <c r="B53" i="29"/>
  <c r="AB53" i="29" s="1"/>
  <c r="A53" i="29"/>
  <c r="R52" i="29"/>
  <c r="C52" i="29"/>
  <c r="B52" i="29"/>
  <c r="AB52" i="29" s="1"/>
  <c r="A52" i="29"/>
  <c r="R51" i="29"/>
  <c r="C51" i="29"/>
  <c r="B51" i="29"/>
  <c r="AB51" i="29" s="1"/>
  <c r="A51" i="29"/>
  <c r="AA51" i="29" s="1"/>
  <c r="R48" i="29"/>
  <c r="C48" i="29"/>
  <c r="B48" i="29"/>
  <c r="AB48" i="29" s="1"/>
  <c r="A48" i="29"/>
  <c r="R47" i="29"/>
  <c r="C47" i="29"/>
  <c r="B47" i="29"/>
  <c r="AB47" i="29" s="1"/>
  <c r="A47" i="29"/>
  <c r="R46" i="29"/>
  <c r="C46" i="29"/>
  <c r="B46" i="29"/>
  <c r="AB46" i="29" s="1"/>
  <c r="A46" i="29"/>
  <c r="R45" i="29"/>
  <c r="C45" i="29"/>
  <c r="B45" i="29"/>
  <c r="AB45" i="29" s="1"/>
  <c r="A45" i="29"/>
  <c r="R44" i="29"/>
  <c r="C44" i="29"/>
  <c r="B44" i="29"/>
  <c r="AB44" i="29" s="1"/>
  <c r="A44" i="29"/>
  <c r="R43" i="29"/>
  <c r="C43" i="29"/>
  <c r="B43" i="29"/>
  <c r="AB43" i="29" s="1"/>
  <c r="A43" i="29"/>
  <c r="AA43" i="29" s="1"/>
  <c r="R40" i="29"/>
  <c r="C40" i="29"/>
  <c r="B40" i="29"/>
  <c r="AB40" i="29" s="1"/>
  <c r="A40" i="29"/>
  <c r="R39" i="29"/>
  <c r="C39" i="29"/>
  <c r="B39" i="29"/>
  <c r="AB39" i="29" s="1"/>
  <c r="R38" i="29"/>
  <c r="C38" i="29"/>
  <c r="B38" i="29"/>
  <c r="AB38" i="29" s="1"/>
  <c r="A38" i="29"/>
  <c r="R37" i="29"/>
  <c r="C37" i="29"/>
  <c r="B37" i="29"/>
  <c r="AB37" i="29" s="1"/>
  <c r="A37" i="29"/>
  <c r="R36" i="29"/>
  <c r="C36" i="29"/>
  <c r="B36" i="29"/>
  <c r="AB36" i="29" s="1"/>
  <c r="A36" i="29"/>
  <c r="AA36" i="29" s="1"/>
  <c r="R35" i="29"/>
  <c r="C35" i="29"/>
  <c r="B35" i="29"/>
  <c r="AB35" i="29" s="1"/>
  <c r="A35" i="29"/>
  <c r="R34" i="29"/>
  <c r="C34" i="29"/>
  <c r="B34" i="29"/>
  <c r="AB34" i="29" s="1"/>
  <c r="A34" i="29"/>
  <c r="R33" i="29"/>
  <c r="C33" i="29"/>
  <c r="B33" i="29"/>
  <c r="AB33" i="29" s="1"/>
  <c r="A33" i="29"/>
  <c r="R32" i="29"/>
  <c r="C32" i="29"/>
  <c r="B32" i="29"/>
  <c r="AB32" i="29" s="1"/>
  <c r="A32" i="29"/>
  <c r="AA32" i="29" s="1"/>
  <c r="R30" i="29"/>
  <c r="B30" i="29"/>
  <c r="AB30" i="29" s="1"/>
  <c r="A30" i="29"/>
  <c r="R29" i="29"/>
  <c r="B29" i="29"/>
  <c r="AB29" i="29" s="1"/>
  <c r="A29" i="29"/>
  <c r="R28" i="29"/>
  <c r="B28" i="29"/>
  <c r="AB28" i="29" s="1"/>
  <c r="A28" i="29"/>
  <c r="R27" i="29"/>
  <c r="B27" i="29"/>
  <c r="AB27" i="29" s="1"/>
  <c r="A27" i="29"/>
  <c r="R26" i="29"/>
  <c r="B26" i="29"/>
  <c r="AB26" i="29" s="1"/>
  <c r="A26" i="29"/>
  <c r="AA26" i="29" s="1"/>
  <c r="R25" i="29"/>
  <c r="C25" i="29"/>
  <c r="B25" i="29"/>
  <c r="AB25" i="29" s="1"/>
  <c r="A25" i="29"/>
  <c r="R24" i="29"/>
  <c r="C24" i="29"/>
  <c r="B24" i="29"/>
  <c r="AB24" i="29" s="1"/>
  <c r="A24" i="29"/>
  <c r="R23" i="29"/>
  <c r="C23" i="29"/>
  <c r="B23" i="29"/>
  <c r="AB23" i="29" s="1"/>
  <c r="A23" i="29"/>
  <c r="R22" i="29"/>
  <c r="C22" i="29"/>
  <c r="B22" i="29"/>
  <c r="AB22" i="29" s="1"/>
  <c r="A22" i="29"/>
  <c r="R21" i="29"/>
  <c r="C21" i="29"/>
  <c r="B21" i="29"/>
  <c r="AB21" i="29" s="1"/>
  <c r="A21" i="29"/>
  <c r="AA21" i="29" s="1"/>
  <c r="R20" i="29"/>
  <c r="C20" i="29"/>
  <c r="B20" i="29"/>
  <c r="AB20" i="29" s="1"/>
  <c r="A20" i="29"/>
  <c r="R19" i="29"/>
  <c r="C19" i="29"/>
  <c r="B19" i="29"/>
  <c r="AB19" i="29" s="1"/>
  <c r="A19" i="29"/>
  <c r="R18" i="29"/>
  <c r="C18" i="29"/>
  <c r="B18" i="29"/>
  <c r="AB18" i="29" s="1"/>
  <c r="A18" i="29"/>
  <c r="R17" i="29"/>
  <c r="C17" i="29"/>
  <c r="B17" i="29"/>
  <c r="AB17" i="29" s="1"/>
  <c r="A17" i="29"/>
  <c r="R16" i="29"/>
  <c r="C16" i="29"/>
  <c r="B16" i="29"/>
  <c r="AB16" i="29" s="1"/>
  <c r="A16" i="29"/>
  <c r="R15" i="29"/>
  <c r="C15" i="29"/>
  <c r="B15" i="29"/>
  <c r="AB15" i="29" s="1"/>
  <c r="A15" i="29"/>
  <c r="R14" i="29"/>
  <c r="C14" i="29"/>
  <c r="B14" i="29"/>
  <c r="AB14" i="29" s="1"/>
  <c r="A14" i="29"/>
  <c r="R13" i="29"/>
  <c r="C13" i="29"/>
  <c r="B13" i="29"/>
  <c r="AB13" i="29" s="1"/>
  <c r="A13" i="29"/>
  <c r="AA13" i="29" s="1"/>
  <c r="R12" i="29"/>
  <c r="C12" i="29"/>
  <c r="B12" i="29"/>
  <c r="AB12" i="29" s="1"/>
  <c r="A12" i="29"/>
  <c r="R11" i="29"/>
  <c r="C11" i="29"/>
  <c r="B11" i="29"/>
  <c r="AB11" i="29" s="1"/>
  <c r="A11" i="29"/>
  <c r="R10" i="29"/>
  <c r="C10" i="29"/>
  <c r="B10" i="29"/>
  <c r="AB10" i="29" s="1"/>
  <c r="A10" i="29"/>
  <c r="R9" i="29"/>
  <c r="C9" i="29"/>
  <c r="B9" i="29"/>
  <c r="AB9" i="29" s="1"/>
  <c r="A9" i="29"/>
  <c r="R8" i="29"/>
  <c r="B8" i="29"/>
  <c r="AB8" i="29" s="1"/>
  <c r="A8" i="29"/>
  <c r="AA8" i="29" s="1"/>
  <c r="B5" i="29"/>
  <c r="D2" i="29" s="1"/>
  <c r="C2" i="29"/>
  <c r="C3" i="29" s="1"/>
  <c r="D115" i="12"/>
  <c r="D114" i="12"/>
  <c r="D113" i="12"/>
  <c r="E110" i="12"/>
  <c r="B110" i="12"/>
  <c r="E108" i="12"/>
  <c r="A107" i="12"/>
  <c r="A106" i="12"/>
  <c r="S53" i="12"/>
  <c r="C105" i="12" s="1"/>
  <c r="A105" i="12"/>
  <c r="A104" i="12"/>
  <c r="A103" i="12"/>
  <c r="E102" i="12"/>
  <c r="A101" i="12"/>
  <c r="A100" i="12"/>
  <c r="E99" i="12"/>
  <c r="A99" i="12"/>
  <c r="A98" i="12"/>
  <c r="A97" i="12"/>
  <c r="A96" i="12"/>
  <c r="A95" i="12"/>
  <c r="A82" i="12"/>
  <c r="G75" i="12"/>
  <c r="G74" i="12"/>
  <c r="G69" i="12"/>
  <c r="G68" i="12"/>
  <c r="A67" i="12"/>
  <c r="A66" i="12"/>
  <c r="C108" i="12"/>
  <c r="C74" i="64"/>
  <c r="S55" i="12"/>
  <c r="C107" i="12" s="1"/>
  <c r="O55" i="12"/>
  <c r="M55" i="12"/>
  <c r="C73" i="64" s="1"/>
  <c r="D73" i="64" s="1"/>
  <c r="I55" i="12"/>
  <c r="E107" i="12" s="1"/>
  <c r="H55" i="12"/>
  <c r="J55" i="12" s="1"/>
  <c r="U55" i="12" s="1"/>
  <c r="V55" i="12" s="1"/>
  <c r="S54" i="12"/>
  <c r="C106" i="12" s="1"/>
  <c r="M54" i="12"/>
  <c r="O54" i="12" s="1"/>
  <c r="B69" i="4" s="1"/>
  <c r="H54" i="12"/>
  <c r="J54" i="12" s="1"/>
  <c r="U54" i="12" s="1"/>
  <c r="V54" i="12" s="1"/>
  <c r="M53" i="12"/>
  <c r="O53" i="12" s="1"/>
  <c r="B68" i="4" s="1"/>
  <c r="I53" i="12"/>
  <c r="E105" i="12" s="1"/>
  <c r="C110" i="12"/>
  <c r="H52" i="12"/>
  <c r="J52" i="12" s="1"/>
  <c r="U52" i="12" s="1"/>
  <c r="V52" i="12" s="1"/>
  <c r="S51" i="12"/>
  <c r="C104" i="12" s="1"/>
  <c r="M51" i="12"/>
  <c r="B104" i="12" s="1"/>
  <c r="H51" i="12"/>
  <c r="J51" i="12" s="1"/>
  <c r="U51" i="12" s="1"/>
  <c r="V51" i="12" s="1"/>
  <c r="S50" i="12"/>
  <c r="C103" i="12" s="1"/>
  <c r="M50" i="12"/>
  <c r="C70" i="64" s="1"/>
  <c r="D70" i="64" s="1"/>
  <c r="H50" i="12"/>
  <c r="J50" i="12" s="1"/>
  <c r="U50" i="12" s="1"/>
  <c r="V50" i="12" s="1"/>
  <c r="C102" i="12"/>
  <c r="C69" i="64"/>
  <c r="D69" i="64" s="1"/>
  <c r="S49" i="12"/>
  <c r="C101" i="12" s="1"/>
  <c r="M49" i="12"/>
  <c r="C68" i="64" s="1"/>
  <c r="D68" i="64" s="1"/>
  <c r="H49" i="12"/>
  <c r="J49" i="12" s="1"/>
  <c r="U49" i="12" s="1"/>
  <c r="V49" i="12" s="1"/>
  <c r="C100" i="12"/>
  <c r="B100" i="12"/>
  <c r="S48" i="12"/>
  <c r="C99" i="12" s="1"/>
  <c r="M48" i="12"/>
  <c r="C66" i="64" s="1"/>
  <c r="D66" i="64" s="1"/>
  <c r="H48" i="12"/>
  <c r="J48" i="12" s="1"/>
  <c r="U48" i="12" s="1"/>
  <c r="V48" i="12" s="1"/>
  <c r="S47" i="12"/>
  <c r="C98" i="12" s="1"/>
  <c r="M47" i="12"/>
  <c r="C65" i="64" s="1"/>
  <c r="D65" i="64" s="1"/>
  <c r="I47" i="12"/>
  <c r="E98" i="12" s="1"/>
  <c r="S45" i="12"/>
  <c r="C97" i="12" s="1"/>
  <c r="M45" i="12"/>
  <c r="B97" i="12" s="1"/>
  <c r="H45" i="12"/>
  <c r="J45" i="12" s="1"/>
  <c r="U45" i="12" s="1"/>
  <c r="V45" i="12" s="1"/>
  <c r="S46" i="12"/>
  <c r="C96" i="12" s="1"/>
  <c r="M46" i="12"/>
  <c r="C64" i="64" s="1"/>
  <c r="D64" i="64" s="1"/>
  <c r="I46" i="12"/>
  <c r="E96" i="12" s="1"/>
  <c r="S44" i="12"/>
  <c r="C95" i="12" s="1"/>
  <c r="M44" i="12"/>
  <c r="C63" i="64" s="1"/>
  <c r="H44" i="12"/>
  <c r="J44" i="12" s="1"/>
  <c r="U44" i="12" s="1"/>
  <c r="V44" i="12" s="1"/>
  <c r="S40" i="12"/>
  <c r="D83" i="12" s="1"/>
  <c r="M40" i="12"/>
  <c r="B83" i="12" s="1"/>
  <c r="H40" i="12"/>
  <c r="U40" i="12" s="1"/>
  <c r="V40" i="12" s="1"/>
  <c r="D82" i="12"/>
  <c r="B82" i="12"/>
  <c r="G82" i="12"/>
  <c r="S36" i="12"/>
  <c r="D81" i="12" s="1"/>
  <c r="M36" i="12"/>
  <c r="G81" i="12"/>
  <c r="S35" i="12"/>
  <c r="M35" i="12"/>
  <c r="S34" i="12"/>
  <c r="M34" i="12"/>
  <c r="S33" i="12"/>
  <c r="M33" i="12"/>
  <c r="O33" i="12" s="1"/>
  <c r="N33" i="12" s="1"/>
  <c r="S31" i="12"/>
  <c r="M31" i="12"/>
  <c r="O31" i="12" s="1"/>
  <c r="N31" i="12" s="1"/>
  <c r="S30" i="12"/>
  <c r="M30" i="12"/>
  <c r="O30" i="12" s="1"/>
  <c r="H30" i="12"/>
  <c r="U30" i="12" s="1"/>
  <c r="V30" i="12" s="1"/>
  <c r="S29" i="12"/>
  <c r="G29" i="12"/>
  <c r="H29" i="12" s="1"/>
  <c r="U29" i="12" s="1"/>
  <c r="S28" i="12"/>
  <c r="G28" i="12"/>
  <c r="H28" i="12" s="1"/>
  <c r="U28" i="12" s="1"/>
  <c r="S27" i="12"/>
  <c r="M27" i="12"/>
  <c r="O27" i="12" s="1"/>
  <c r="N27" i="12" s="1"/>
  <c r="S26" i="12"/>
  <c r="M26" i="12"/>
  <c r="O26" i="12" s="1"/>
  <c r="D75" i="12"/>
  <c r="B75" i="12"/>
  <c r="M25" i="12"/>
  <c r="B72" i="12"/>
  <c r="H20" i="12"/>
  <c r="U20" i="12" s="1"/>
  <c r="V20" i="12" s="1"/>
  <c r="S19" i="12"/>
  <c r="M19" i="12"/>
  <c r="O19" i="12" s="1"/>
  <c r="N19" i="12" s="1"/>
  <c r="S18" i="12"/>
  <c r="M18" i="12"/>
  <c r="O18" i="12" s="1"/>
  <c r="N18" i="12" s="1"/>
  <c r="S17" i="12"/>
  <c r="M17" i="12"/>
  <c r="O17" i="12" s="1"/>
  <c r="N17" i="12" s="1"/>
  <c r="M16" i="12"/>
  <c r="O16" i="12" s="1"/>
  <c r="N16" i="12" s="1"/>
  <c r="H16" i="12"/>
  <c r="D69" i="12"/>
  <c r="B69" i="12"/>
  <c r="D68" i="12"/>
  <c r="D67" i="12"/>
  <c r="B67" i="12"/>
  <c r="G67" i="12"/>
  <c r="D66" i="12"/>
  <c r="B66" i="12"/>
  <c r="S10" i="12"/>
  <c r="D65" i="12" s="1"/>
  <c r="M10" i="12"/>
  <c r="B65" i="12" s="1"/>
  <c r="H10" i="12"/>
  <c r="U10" i="12" s="1"/>
  <c r="V10" i="12" s="1"/>
  <c r="S7" i="12"/>
  <c r="M7" i="12"/>
  <c r="O7" i="12" s="1"/>
  <c r="N7" i="12" s="1"/>
  <c r="S6" i="12"/>
  <c r="M6" i="12"/>
  <c r="O6" i="12" s="1"/>
  <c r="N6" i="12" s="1"/>
  <c r="H6" i="12"/>
  <c r="U6" i="12" s="1"/>
  <c r="V6" i="12" s="1"/>
  <c r="S5" i="12"/>
  <c r="M5" i="12"/>
  <c r="O5" i="12" s="1"/>
  <c r="N5" i="12" s="1"/>
  <c r="S4" i="12"/>
  <c r="M4" i="12"/>
  <c r="S2" i="12"/>
  <c r="D62" i="12" s="1"/>
  <c r="M2" i="12"/>
  <c r="H2" i="12"/>
  <c r="U2" i="12" s="1"/>
  <c r="V2" i="12" s="1"/>
  <c r="I127" i="1"/>
  <c r="H127" i="1"/>
  <c r="D127" i="1"/>
  <c r="C127" i="1"/>
  <c r="B127" i="1"/>
  <c r="J126" i="1"/>
  <c r="I126" i="1"/>
  <c r="H126" i="1"/>
  <c r="D126" i="1"/>
  <c r="C126" i="1"/>
  <c r="B126" i="1"/>
  <c r="C148" i="4"/>
  <c r="B108" i="13"/>
  <c r="E108" i="13" s="1"/>
  <c r="C56" i="64"/>
  <c r="E56" i="64" s="1"/>
  <c r="F108" i="86"/>
  <c r="C54" i="64"/>
  <c r="F97" i="86"/>
  <c r="F89" i="86"/>
  <c r="B99" i="13"/>
  <c r="E99" i="13" s="1"/>
  <c r="F84" i="86"/>
  <c r="B15" i="4"/>
  <c r="B45" i="13"/>
  <c r="E45" i="13" s="1"/>
  <c r="C6" i="64"/>
  <c r="K38" i="64" s="1"/>
  <c r="F4" i="86"/>
  <c r="J127" i="1"/>
  <c r="K127" i="1" s="1"/>
  <c r="E178" i="4"/>
  <c r="E162" i="4"/>
  <c r="E22" i="26"/>
  <c r="E199" i="4"/>
  <c r="I33" i="86"/>
  <c r="E166" i="4"/>
  <c r="I37" i="86"/>
  <c r="E205" i="4"/>
  <c r="I68" i="86"/>
  <c r="E210" i="4"/>
  <c r="I73" i="86"/>
  <c r="E189" i="4"/>
  <c r="I7" i="86"/>
  <c r="E157" i="4"/>
  <c r="I10" i="86"/>
  <c r="E159" i="4"/>
  <c r="I12" i="86"/>
  <c r="I15" i="86"/>
  <c r="E216" i="4"/>
  <c r="I23" i="86"/>
  <c r="E218" i="4"/>
  <c r="I25" i="86"/>
  <c r="E219" i="4"/>
  <c r="I26" i="86"/>
  <c r="E198" i="4"/>
  <c r="E165" i="4"/>
  <c r="E168" i="4"/>
  <c r="I39" i="86"/>
  <c r="E226" i="4"/>
  <c r="I43" i="86"/>
  <c r="E227" i="4"/>
  <c r="I44" i="86"/>
  <c r="E228" i="4"/>
  <c r="I45" i="86"/>
  <c r="E231" i="4"/>
  <c r="I48" i="86"/>
  <c r="E234" i="4"/>
  <c r="I51" i="86"/>
  <c r="E176" i="4"/>
  <c r="E16" i="114"/>
  <c r="I58" i="86"/>
  <c r="E177" i="4"/>
  <c r="I59" i="86"/>
  <c r="I60" i="86"/>
  <c r="E179" i="4"/>
  <c r="I61" i="86"/>
  <c r="E180" i="4"/>
  <c r="I62" i="86"/>
  <c r="E181" i="4"/>
  <c r="I63" i="86"/>
  <c r="E203" i="4"/>
  <c r="I66" i="86"/>
  <c r="E204" i="4"/>
  <c r="I67" i="86"/>
  <c r="E237" i="4"/>
  <c r="I77" i="86"/>
  <c r="E241" i="4"/>
  <c r="I81" i="86"/>
  <c r="D122" i="4"/>
  <c r="I87" i="86"/>
  <c r="D120" i="4"/>
  <c r="I90" i="86"/>
  <c r="D124" i="4"/>
  <c r="F49" i="4"/>
  <c r="G49" i="4" s="1"/>
  <c r="E28" i="114" s="1"/>
  <c r="I91" i="86"/>
  <c r="D128" i="4"/>
  <c r="C128" i="4"/>
  <c r="I95" i="86"/>
  <c r="C130" i="4"/>
  <c r="B51" i="4"/>
  <c r="C51" i="64"/>
  <c r="F99" i="86"/>
  <c r="C132" i="4"/>
  <c r="D133" i="4"/>
  <c r="I100" i="86"/>
  <c r="C135" i="4"/>
  <c r="D140" i="4"/>
  <c r="I107" i="86"/>
  <c r="D141" i="4"/>
  <c r="F54" i="4"/>
  <c r="G54" i="4" s="1"/>
  <c r="E33" i="114" s="1"/>
  <c r="I108" i="86"/>
  <c r="F55" i="4"/>
  <c r="G55" i="4" s="1"/>
  <c r="E34" i="114" s="1"/>
  <c r="D143" i="4"/>
  <c r="I110" i="86"/>
  <c r="C145" i="4"/>
  <c r="D147" i="4"/>
  <c r="I114" i="86"/>
  <c r="E187" i="4"/>
  <c r="I5" i="86"/>
  <c r="E197" i="4"/>
  <c r="I31" i="86"/>
  <c r="E167" i="4"/>
  <c r="I38" i="86"/>
  <c r="E169" i="4"/>
  <c r="I40" i="86"/>
  <c r="E243" i="4"/>
  <c r="I83" i="86"/>
  <c r="F3" i="4"/>
  <c r="G3" i="4" s="1"/>
  <c r="E8" i="114" s="1"/>
  <c r="E156" i="4"/>
  <c r="C4" i="27"/>
  <c r="I9" i="86"/>
  <c r="E158" i="4"/>
  <c r="I11" i="86"/>
  <c r="E160" i="4"/>
  <c r="I13" i="86"/>
  <c r="E161" i="4"/>
  <c r="I14" i="86"/>
  <c r="E163" i="4"/>
  <c r="I16" i="86"/>
  <c r="E215" i="4"/>
  <c r="I22" i="86"/>
  <c r="E217" i="4"/>
  <c r="I24" i="86"/>
  <c r="E222" i="4"/>
  <c r="I28" i="86"/>
  <c r="E191" i="4"/>
  <c r="F4" i="4"/>
  <c r="G4" i="4" s="1"/>
  <c r="E9" i="114" s="1"/>
  <c r="C5" i="27"/>
  <c r="I17" i="86"/>
  <c r="E194" i="4"/>
  <c r="I20" i="86"/>
  <c r="E195" i="4"/>
  <c r="I21" i="86"/>
  <c r="E220" i="4"/>
  <c r="F6" i="4"/>
  <c r="G6" i="4" s="1"/>
  <c r="E11" i="114" s="1"/>
  <c r="C7" i="27"/>
  <c r="E223" i="4"/>
  <c r="I29" i="86"/>
  <c r="I32" i="86"/>
  <c r="E164" i="4"/>
  <c r="I35" i="86"/>
  <c r="I36" i="86"/>
  <c r="E224" i="4"/>
  <c r="F77" i="4"/>
  <c r="G77" i="4" s="1"/>
  <c r="K10" i="114" s="1"/>
  <c r="F9" i="4"/>
  <c r="G9" i="4" s="1"/>
  <c r="E14" i="114" s="1"/>
  <c r="C10" i="27"/>
  <c r="I41" i="86"/>
  <c r="E229" i="4"/>
  <c r="F78" i="4"/>
  <c r="G78" i="4" s="1"/>
  <c r="K11" i="114" s="1"/>
  <c r="I46" i="86"/>
  <c r="E232" i="4"/>
  <c r="F79" i="4"/>
  <c r="G79" i="4" s="1"/>
  <c r="K12" i="114" s="1"/>
  <c r="I49" i="86"/>
  <c r="E233" i="4"/>
  <c r="I50" i="86"/>
  <c r="E201" i="4"/>
  <c r="I64" i="86"/>
  <c r="E207" i="4"/>
  <c r="F13" i="4"/>
  <c r="G13" i="4" s="1"/>
  <c r="E18" i="114" s="1"/>
  <c r="I70" i="86"/>
  <c r="C14" i="27"/>
  <c r="E209" i="4"/>
  <c r="I72" i="86"/>
  <c r="E235" i="4"/>
  <c r="F14" i="4"/>
  <c r="G14" i="4" s="1"/>
  <c r="E19" i="114" s="1"/>
  <c r="C15" i="27"/>
  <c r="I75" i="86"/>
  <c r="E239" i="4"/>
  <c r="F15" i="4"/>
  <c r="C16" i="27"/>
  <c r="I79" i="86"/>
  <c r="E242" i="4"/>
  <c r="I82" i="86"/>
  <c r="C121" i="4"/>
  <c r="C123" i="4"/>
  <c r="C119" i="4"/>
  <c r="C125" i="4"/>
  <c r="C49" i="64"/>
  <c r="E49" i="64" s="1"/>
  <c r="F93" i="86"/>
  <c r="C126" i="4"/>
  <c r="C127" i="4"/>
  <c r="D127" i="4"/>
  <c r="C129" i="4"/>
  <c r="D130" i="4"/>
  <c r="I97" i="86"/>
  <c r="D132" i="4"/>
  <c r="F51" i="4"/>
  <c r="G51" i="4" s="1"/>
  <c r="E30" i="114" s="1"/>
  <c r="I99" i="86"/>
  <c r="D135" i="4"/>
  <c r="I102" i="86"/>
  <c r="C142" i="4"/>
  <c r="D142" i="4"/>
  <c r="C144" i="4"/>
  <c r="D145" i="4"/>
  <c r="F56" i="4"/>
  <c r="G56" i="4" s="1"/>
  <c r="E35" i="114" s="1"/>
  <c r="I112" i="86"/>
  <c r="F2" i="4"/>
  <c r="G2" i="4" s="1"/>
  <c r="E7" i="114" s="1"/>
  <c r="E186" i="4"/>
  <c r="C3" i="27"/>
  <c r="I4" i="86"/>
  <c r="E188" i="4"/>
  <c r="I6" i="86"/>
  <c r="E230" i="4"/>
  <c r="I47" i="86"/>
  <c r="E238" i="4"/>
  <c r="I78" i="86"/>
  <c r="C117" i="4"/>
  <c r="C118" i="4"/>
  <c r="D121" i="4"/>
  <c r="F47" i="4"/>
  <c r="G47" i="4" s="1"/>
  <c r="E27" i="114" s="1"/>
  <c r="I86" i="86"/>
  <c r="D123" i="4"/>
  <c r="I88" i="86"/>
  <c r="D119" i="4"/>
  <c r="F48" i="4"/>
  <c r="I89" i="86"/>
  <c r="D125" i="4"/>
  <c r="I92" i="86"/>
  <c r="D126" i="4"/>
  <c r="F50" i="4"/>
  <c r="G50" i="4" s="1"/>
  <c r="I93" i="86"/>
  <c r="I94" i="86"/>
  <c r="D129" i="4"/>
  <c r="I96" i="86"/>
  <c r="C131" i="4"/>
  <c r="C134" i="4"/>
  <c r="C136" i="4"/>
  <c r="C137" i="4"/>
  <c r="C138" i="4"/>
  <c r="C139" i="4"/>
  <c r="D139" i="4"/>
  <c r="I109" i="86"/>
  <c r="D144" i="4"/>
  <c r="I111" i="86"/>
  <c r="C146" i="4"/>
  <c r="D146" i="4"/>
  <c r="E190" i="4"/>
  <c r="I8" i="86"/>
  <c r="E192" i="4"/>
  <c r="I18" i="86"/>
  <c r="E193" i="4"/>
  <c r="I19" i="86"/>
  <c r="E221" i="4"/>
  <c r="I27" i="86"/>
  <c r="E196" i="4"/>
  <c r="G7" i="4"/>
  <c r="E12" i="114" s="1"/>
  <c r="I30" i="86"/>
  <c r="X32" i="1"/>
  <c r="E200" i="4"/>
  <c r="I34" i="86"/>
  <c r="E225" i="4"/>
  <c r="I42" i="86"/>
  <c r="E170" i="4"/>
  <c r="I52" i="86"/>
  <c r="E171" i="4"/>
  <c r="I53" i="86"/>
  <c r="E172" i="4"/>
  <c r="I54" i="86"/>
  <c r="E173" i="4"/>
  <c r="I55" i="86"/>
  <c r="E174" i="4"/>
  <c r="I56" i="86"/>
  <c r="E175" i="4"/>
  <c r="I57" i="86"/>
  <c r="E202" i="4"/>
  <c r="I65" i="86"/>
  <c r="E206" i="4"/>
  <c r="I69" i="86"/>
  <c r="E208" i="4"/>
  <c r="I71" i="86"/>
  <c r="E211" i="4"/>
  <c r="I74" i="86"/>
  <c r="E236" i="4"/>
  <c r="I76" i="86"/>
  <c r="E240" i="4"/>
  <c r="I80" i="86"/>
  <c r="F46" i="4"/>
  <c r="G46" i="4" s="1"/>
  <c r="E25" i="114" s="1"/>
  <c r="D117" i="4"/>
  <c r="I84" i="86"/>
  <c r="D118" i="4"/>
  <c r="I85" i="86"/>
  <c r="C122" i="4"/>
  <c r="C120" i="4"/>
  <c r="F91" i="86"/>
  <c r="B49" i="4"/>
  <c r="C124" i="4"/>
  <c r="D131" i="4"/>
  <c r="I98" i="86"/>
  <c r="C133" i="4"/>
  <c r="G53" i="4"/>
  <c r="E31" i="114" s="1"/>
  <c r="D134" i="4"/>
  <c r="I101" i="86"/>
  <c r="D136" i="4"/>
  <c r="I103" i="86"/>
  <c r="D137" i="4"/>
  <c r="I104" i="86"/>
  <c r="D138" i="4"/>
  <c r="F52" i="4"/>
  <c r="G52" i="4" s="1"/>
  <c r="E32" i="114" s="1"/>
  <c r="I105" i="86"/>
  <c r="I106" i="86"/>
  <c r="C140" i="4"/>
  <c r="C141" i="4"/>
  <c r="C143" i="4"/>
  <c r="I113" i="86"/>
  <c r="C147" i="4"/>
  <c r="C5" i="32"/>
  <c r="C48" i="32"/>
  <c r="H12" i="92"/>
  <c r="H14" i="95"/>
  <c r="H15" i="97"/>
  <c r="H17" i="97"/>
  <c r="B77" i="12"/>
  <c r="B69" i="13"/>
  <c r="E69" i="13" s="1"/>
  <c r="B56" i="4"/>
  <c r="F112" i="86"/>
  <c r="C57" i="64"/>
  <c r="E57" i="64" s="1"/>
  <c r="B85" i="13"/>
  <c r="E85" i="13" s="1"/>
  <c r="F110" i="86"/>
  <c r="B55" i="4"/>
  <c r="B49" i="13"/>
  <c r="E49" i="13" s="1"/>
  <c r="B54" i="4"/>
  <c r="C68" i="4" s="1"/>
  <c r="C55" i="64"/>
  <c r="E55" i="64" s="1"/>
  <c r="B52" i="4"/>
  <c r="C53" i="64"/>
  <c r="F105" i="86"/>
  <c r="B64" i="13"/>
  <c r="E64" i="13" s="1"/>
  <c r="B53" i="4"/>
  <c r="B80" i="13"/>
  <c r="E80" i="13" s="1"/>
  <c r="F101" i="86"/>
  <c r="C52" i="64"/>
  <c r="E52" i="64" s="1"/>
  <c r="B76" i="13"/>
  <c r="E76" i="13" s="1"/>
  <c r="F95" i="86"/>
  <c r="B60" i="13"/>
  <c r="E60" i="13" s="1"/>
  <c r="B102" i="13"/>
  <c r="E102" i="13" s="1"/>
  <c r="C50" i="64"/>
  <c r="E50" i="64" s="1"/>
  <c r="B50" i="4"/>
  <c r="B98" i="13"/>
  <c r="E98" i="13" s="1"/>
  <c r="B101" i="13"/>
  <c r="E101" i="13" s="1"/>
  <c r="C48" i="64"/>
  <c r="E48" i="64" s="1"/>
  <c r="B48" i="4"/>
  <c r="C46" i="64"/>
  <c r="E46" i="64" s="1"/>
  <c r="F86" i="86"/>
  <c r="C47" i="64"/>
  <c r="B47" i="4"/>
  <c r="C61" i="4" s="1"/>
  <c r="C45" i="64"/>
  <c r="B46" i="4"/>
  <c r="B97" i="13"/>
  <c r="E97" i="13" s="1"/>
  <c r="B16" i="27"/>
  <c r="B16" i="13"/>
  <c r="E16" i="13" s="1"/>
  <c r="B52" i="13"/>
  <c r="E52" i="13" s="1"/>
  <c r="C17" i="64"/>
  <c r="L18" i="64" s="1"/>
  <c r="F79" i="86"/>
  <c r="B15" i="27"/>
  <c r="B15" i="13"/>
  <c r="E15" i="13" s="1"/>
  <c r="B14" i="4"/>
  <c r="C16" i="64"/>
  <c r="L15" i="64" s="1"/>
  <c r="F75" i="86"/>
  <c r="B14" i="27"/>
  <c r="C15" i="64"/>
  <c r="K47" i="64" s="1"/>
  <c r="F70" i="86"/>
  <c r="B11" i="13"/>
  <c r="E11" i="13" s="1"/>
  <c r="F64" i="86"/>
  <c r="B51" i="13"/>
  <c r="E51" i="13" s="1"/>
  <c r="B10" i="13"/>
  <c r="E10" i="13" s="1"/>
  <c r="C14" i="64"/>
  <c r="K44" i="64" s="1"/>
  <c r="B13" i="27"/>
  <c r="F58" i="86"/>
  <c r="C13" i="64"/>
  <c r="K32" i="64" s="1"/>
  <c r="B12" i="27"/>
  <c r="B6" i="13"/>
  <c r="E6" i="13" s="1"/>
  <c r="B66" i="13"/>
  <c r="E66" i="13" s="1"/>
  <c r="B82" i="13"/>
  <c r="E82" i="13" s="1"/>
  <c r="F52" i="86"/>
  <c r="B11" i="27"/>
  <c r="F41" i="86"/>
  <c r="B10" i="27"/>
  <c r="B14" i="13"/>
  <c r="E14" i="13" s="1"/>
  <c r="C11" i="64"/>
  <c r="L12" i="64" s="1"/>
  <c r="B9" i="4"/>
  <c r="B9" i="27"/>
  <c r="F35" i="86"/>
  <c r="B9" i="13"/>
  <c r="E9" i="13" s="1"/>
  <c r="C9" i="64"/>
  <c r="K41" i="64" s="1"/>
  <c r="B8" i="27"/>
  <c r="F30" i="86"/>
  <c r="B6" i="4"/>
  <c r="B13" i="13"/>
  <c r="E13" i="13" s="1"/>
  <c r="B7" i="27"/>
  <c r="C8" i="64"/>
  <c r="L9" i="64" s="1"/>
  <c r="B6" i="27"/>
  <c r="B12" i="13"/>
  <c r="E12" i="13" s="1"/>
  <c r="C7" i="64"/>
  <c r="L6" i="64" s="1"/>
  <c r="F22" i="86"/>
  <c r="F17" i="86"/>
  <c r="B8" i="13"/>
  <c r="E8" i="13" s="1"/>
  <c r="B5" i="27"/>
  <c r="B4" i="27"/>
  <c r="C5" i="64"/>
  <c r="K23" i="64" s="1"/>
  <c r="B3" i="13"/>
  <c r="E3" i="13" s="1"/>
  <c r="F9" i="86"/>
  <c r="B7" i="13"/>
  <c r="E7" i="13" s="1"/>
  <c r="C4" i="64"/>
  <c r="K35" i="64" s="1"/>
  <c r="B3" i="27"/>
  <c r="P83" i="1" l="1"/>
  <c r="U16" i="12"/>
  <c r="V16" i="12" s="1"/>
  <c r="U48" i="1"/>
  <c r="U83" i="1"/>
  <c r="T66" i="29"/>
  <c r="D66" i="29" s="1"/>
  <c r="T67" i="29"/>
  <c r="D67" i="29" s="1"/>
  <c r="X64" i="1"/>
  <c r="U107" i="1"/>
  <c r="U88" i="1"/>
  <c r="W103" i="1"/>
  <c r="P13" i="1"/>
  <c r="H9" i="115"/>
  <c r="J9" i="115" s="1"/>
  <c r="T75" i="29"/>
  <c r="D75" i="29" s="1"/>
  <c r="T74" i="29"/>
  <c r="D74" i="29" s="1"/>
  <c r="T50" i="29"/>
  <c r="D50" i="29" s="1"/>
  <c r="T49" i="29"/>
  <c r="D49" i="29" s="1"/>
  <c r="T84" i="29"/>
  <c r="D84" i="29" s="1"/>
  <c r="T83" i="29"/>
  <c r="D83" i="29" s="1"/>
  <c r="T82" i="29"/>
  <c r="D82" i="29" s="1"/>
  <c r="T41" i="29"/>
  <c r="D41" i="29" s="1"/>
  <c r="T42" i="29"/>
  <c r="D42" i="29" s="1"/>
  <c r="G35" i="1"/>
  <c r="F33" i="86" s="1"/>
  <c r="P35" i="1"/>
  <c r="R35" i="1"/>
  <c r="T35" i="1"/>
  <c r="D11" i="114"/>
  <c r="P30" i="1"/>
  <c r="R30" i="1"/>
  <c r="T30" i="1"/>
  <c r="G30" i="1"/>
  <c r="F28" i="86" s="1"/>
  <c r="G87" i="1"/>
  <c r="F77" i="86" s="1"/>
  <c r="P87" i="1"/>
  <c r="R87" i="1"/>
  <c r="T87" i="1"/>
  <c r="G92" i="1"/>
  <c r="F82" i="86" s="1"/>
  <c r="P92" i="1"/>
  <c r="R92" i="1"/>
  <c r="T92" i="1"/>
  <c r="R25" i="1"/>
  <c r="T25" i="1"/>
  <c r="G25" i="1"/>
  <c r="F25" i="86" s="1"/>
  <c r="G42" i="1"/>
  <c r="F38" i="86" s="1"/>
  <c r="R42" i="1"/>
  <c r="P42" i="1"/>
  <c r="T42" i="1"/>
  <c r="R13" i="1"/>
  <c r="T13" i="1"/>
  <c r="G13" i="1"/>
  <c r="F13" i="86" s="1"/>
  <c r="G20" i="1"/>
  <c r="F20" i="86" s="1"/>
  <c r="R20" i="1"/>
  <c r="P20" i="1"/>
  <c r="T20" i="1"/>
  <c r="P52" i="1"/>
  <c r="R52" i="1"/>
  <c r="T52" i="1"/>
  <c r="G52" i="1"/>
  <c r="F48" i="86" s="1"/>
  <c r="G67" i="1"/>
  <c r="F61" i="86" s="1"/>
  <c r="R67" i="1"/>
  <c r="P67" i="1"/>
  <c r="T67" i="1"/>
  <c r="G75" i="1"/>
  <c r="P75" i="1"/>
  <c r="R75" i="1"/>
  <c r="T75" i="1"/>
  <c r="G83" i="1"/>
  <c r="F73" i="86" s="1"/>
  <c r="R83" i="1"/>
  <c r="T83" i="1"/>
  <c r="U110" i="1"/>
  <c r="X9" i="1"/>
  <c r="U30" i="1"/>
  <c r="U90" i="1"/>
  <c r="O90" i="1"/>
  <c r="O88" i="1"/>
  <c r="W109" i="1"/>
  <c r="U117" i="1"/>
  <c r="W107" i="1"/>
  <c r="F89" i="1"/>
  <c r="W117" i="1"/>
  <c r="U89" i="1"/>
  <c r="W89" i="1"/>
  <c r="Y89" i="1" s="1"/>
  <c r="U114" i="1"/>
  <c r="F84" i="1"/>
  <c r="W85" i="1"/>
  <c r="Y85" i="1" s="1"/>
  <c r="W102" i="1"/>
  <c r="W98" i="1"/>
  <c r="O86" i="1"/>
  <c r="W104" i="1"/>
  <c r="F86" i="1"/>
  <c r="U86" i="1"/>
  <c r="W114" i="1"/>
  <c r="U84" i="1"/>
  <c r="O85" i="1"/>
  <c r="W110" i="1"/>
  <c r="U85" i="1"/>
  <c r="U104" i="1"/>
  <c r="O84" i="1"/>
  <c r="O83" i="1"/>
  <c r="W83" i="1"/>
  <c r="Y83" i="1" s="1"/>
  <c r="O53" i="1"/>
  <c r="Z39" i="1"/>
  <c r="W112" i="1"/>
  <c r="O50" i="1"/>
  <c r="F92" i="1"/>
  <c r="F93" i="1"/>
  <c r="U34" i="1"/>
  <c r="O87" i="1"/>
  <c r="W48" i="1"/>
  <c r="Y48" i="1" s="1"/>
  <c r="W52" i="1"/>
  <c r="Y52" i="1" s="1"/>
  <c r="O51" i="1"/>
  <c r="F26" i="1"/>
  <c r="U52" i="1"/>
  <c r="O19" i="1"/>
  <c r="Y90" i="1"/>
  <c r="Y86" i="1"/>
  <c r="U42" i="1"/>
  <c r="U87" i="1"/>
  <c r="F66" i="1"/>
  <c r="U10" i="1"/>
  <c r="U9" i="1"/>
  <c r="W44" i="1"/>
  <c r="Y44" i="1" s="1"/>
  <c r="F87" i="1"/>
  <c r="O75" i="1"/>
  <c r="F88" i="1"/>
  <c r="U50" i="1"/>
  <c r="W66" i="1"/>
  <c r="Y66" i="1" s="1"/>
  <c r="W93" i="1"/>
  <c r="Y93" i="1" s="1"/>
  <c r="W115" i="1"/>
  <c r="U92" i="1"/>
  <c r="U66" i="1"/>
  <c r="U93" i="1"/>
  <c r="W96" i="1"/>
  <c r="W116" i="1"/>
  <c r="U113" i="1"/>
  <c r="O65" i="1"/>
  <c r="F43" i="1"/>
  <c r="W113" i="1"/>
  <c r="U75" i="1"/>
  <c r="U41" i="1"/>
  <c r="O69" i="1"/>
  <c r="O44" i="1"/>
  <c r="U44" i="1"/>
  <c r="O10" i="1"/>
  <c r="O92" i="1"/>
  <c r="W108" i="1"/>
  <c r="Y30" i="1"/>
  <c r="Y92" i="1"/>
  <c r="U91" i="1"/>
  <c r="U20" i="1"/>
  <c r="O56" i="1"/>
  <c r="U98" i="1"/>
  <c r="U22" i="1"/>
  <c r="W39" i="1"/>
  <c r="Y39" i="1" s="1"/>
  <c r="O72" i="1"/>
  <c r="F80" i="1"/>
  <c r="W118" i="1"/>
  <c r="F60" i="1"/>
  <c r="W91" i="1"/>
  <c r="Y91" i="1" s="1"/>
  <c r="U13" i="1"/>
  <c r="Y13" i="1" s="1"/>
  <c r="O22" i="1"/>
  <c r="F59" i="1"/>
  <c r="O91" i="1"/>
  <c r="U39" i="1"/>
  <c r="O23" i="1"/>
  <c r="U54" i="1"/>
  <c r="O57" i="1"/>
  <c r="O35" i="1"/>
  <c r="U80" i="1"/>
  <c r="O80" i="1"/>
  <c r="F35" i="1"/>
  <c r="U82" i="1"/>
  <c r="Y82" i="1" s="1"/>
  <c r="U76" i="1"/>
  <c r="Y76" i="1" s="1"/>
  <c r="F61" i="1"/>
  <c r="O81" i="1"/>
  <c r="U81" i="1"/>
  <c r="U14" i="1"/>
  <c r="W101" i="1"/>
  <c r="F81" i="1"/>
  <c r="O24" i="1"/>
  <c r="W77" i="1"/>
  <c r="Y77" i="1" s="1"/>
  <c r="O47" i="1"/>
  <c r="W100" i="1"/>
  <c r="W111" i="1"/>
  <c r="U101" i="1"/>
  <c r="O33" i="1"/>
  <c r="O82" i="1"/>
  <c r="O29" i="1"/>
  <c r="O77" i="1"/>
  <c r="F82" i="1"/>
  <c r="O32" i="1"/>
  <c r="U77" i="1"/>
  <c r="U100" i="1"/>
  <c r="O76" i="1"/>
  <c r="O36" i="1"/>
  <c r="F25" i="1"/>
  <c r="Y88" i="1"/>
  <c r="Y84" i="1"/>
  <c r="Y42" i="1"/>
  <c r="Y9" i="1"/>
  <c r="Y10" i="1"/>
  <c r="F39" i="1"/>
  <c r="C55" i="4"/>
  <c r="E55" i="4" s="1"/>
  <c r="E69" i="4" s="1"/>
  <c r="D34" i="114"/>
  <c r="O16" i="1"/>
  <c r="O64" i="1"/>
  <c r="F33" i="1"/>
  <c r="O55" i="1"/>
  <c r="O41" i="1"/>
  <c r="D29" i="114"/>
  <c r="C56" i="4"/>
  <c r="E56" i="4" s="1"/>
  <c r="E70" i="4" s="1"/>
  <c r="D35" i="114"/>
  <c r="O58" i="1"/>
  <c r="O13" i="1"/>
  <c r="W20" i="1"/>
  <c r="Y20" i="1" s="1"/>
  <c r="F54" i="1"/>
  <c r="C48" i="4"/>
  <c r="E48" i="4" s="1"/>
  <c r="E62" i="4" s="1"/>
  <c r="D27" i="114"/>
  <c r="D18" i="114"/>
  <c r="C47" i="4"/>
  <c r="E47" i="4" s="1"/>
  <c r="E61" i="4" s="1"/>
  <c r="D26" i="114"/>
  <c r="O9" i="1"/>
  <c r="W41" i="1"/>
  <c r="Y41" i="1" s="1"/>
  <c r="F53" i="1"/>
  <c r="C49" i="4"/>
  <c r="E49" i="4" s="1"/>
  <c r="E63" i="4" s="1"/>
  <c r="D28" i="114"/>
  <c r="F24" i="1"/>
  <c r="O67" i="1"/>
  <c r="O49" i="1"/>
  <c r="F32" i="1"/>
  <c r="F67" i="1"/>
  <c r="O11" i="1"/>
  <c r="F49" i="1"/>
  <c r="U24" i="1"/>
  <c r="Y24" i="1" s="1"/>
  <c r="O14" i="1"/>
  <c r="F11" i="1"/>
  <c r="O18" i="1"/>
  <c r="U11" i="1"/>
  <c r="Y11" i="1" s="1"/>
  <c r="U32" i="1"/>
  <c r="O68" i="1"/>
  <c r="F14" i="1"/>
  <c r="F28" i="1"/>
  <c r="U68" i="1"/>
  <c r="U49" i="1"/>
  <c r="Y49" i="1" s="1"/>
  <c r="U18" i="1"/>
  <c r="F68" i="1"/>
  <c r="F76" i="1"/>
  <c r="U25" i="1"/>
  <c r="Y25" i="1" s="1"/>
  <c r="U67" i="1"/>
  <c r="Y67" i="1" s="1"/>
  <c r="O25" i="1"/>
  <c r="O17" i="1"/>
  <c r="X47" i="1"/>
  <c r="U69" i="1"/>
  <c r="Y69" i="1" s="1"/>
  <c r="U16" i="1"/>
  <c r="Y16" i="1" s="1"/>
  <c r="U23" i="1"/>
  <c r="Y23" i="1" s="1"/>
  <c r="F12" i="1"/>
  <c r="F15" i="1"/>
  <c r="W29" i="1"/>
  <c r="Y29" i="1" s="1"/>
  <c r="O74" i="1"/>
  <c r="O42" i="1"/>
  <c r="F34" i="1"/>
  <c r="F75" i="1"/>
  <c r="F40" i="1"/>
  <c r="O31" i="1"/>
  <c r="O73" i="1"/>
  <c r="W31" i="1"/>
  <c r="Y31" i="1" s="1"/>
  <c r="F29" i="1"/>
  <c r="F19" i="1"/>
  <c r="X4" i="1"/>
  <c r="X89" i="1"/>
  <c r="U15" i="1"/>
  <c r="Y15" i="1" s="1"/>
  <c r="U21" i="1"/>
  <c r="O26" i="1"/>
  <c r="F74" i="1"/>
  <c r="F42" i="1"/>
  <c r="W50" i="1"/>
  <c r="Y50" i="1" s="1"/>
  <c r="F31" i="1"/>
  <c r="F73" i="1"/>
  <c r="W35" i="1"/>
  <c r="Y35" i="1" s="1"/>
  <c r="O54" i="1"/>
  <c r="W19" i="1"/>
  <c r="Y19" i="1" s="1"/>
  <c r="U55" i="1"/>
  <c r="U12" i="1"/>
  <c r="Y12" i="1" s="1"/>
  <c r="U74" i="1"/>
  <c r="Y74" i="1" s="1"/>
  <c r="F69" i="1"/>
  <c r="F16" i="1"/>
  <c r="F23" i="1"/>
  <c r="O30" i="1"/>
  <c r="F55" i="1"/>
  <c r="F51" i="1"/>
  <c r="U33" i="1"/>
  <c r="U51" i="1"/>
  <c r="U53" i="1"/>
  <c r="Y53" i="1" s="1"/>
  <c r="F30" i="1"/>
  <c r="E29" i="114"/>
  <c r="U73" i="1"/>
  <c r="F22" i="1"/>
  <c r="F10" i="1"/>
  <c r="F9" i="1"/>
  <c r="F13" i="1"/>
  <c r="O52" i="1"/>
  <c r="O20" i="1"/>
  <c r="W34" i="1"/>
  <c r="Y34" i="1" s="1"/>
  <c r="O48" i="1"/>
  <c r="W18" i="1"/>
  <c r="Y18" i="1" s="1"/>
  <c r="F21" i="1"/>
  <c r="X85" i="1"/>
  <c r="X17" i="1"/>
  <c r="U40" i="1"/>
  <c r="Y40" i="1" s="1"/>
  <c r="O12" i="1"/>
  <c r="O15" i="1"/>
  <c r="O40" i="1"/>
  <c r="O21" i="1"/>
  <c r="C46" i="4"/>
  <c r="E46" i="4" s="1"/>
  <c r="E60" i="4" s="1"/>
  <c r="D25" i="114"/>
  <c r="D8" i="114"/>
  <c r="U109" i="1"/>
  <c r="Y68" i="1"/>
  <c r="U108" i="1"/>
  <c r="X72" i="1"/>
  <c r="X39" i="1"/>
  <c r="C28" i="103"/>
  <c r="D28" i="103" s="1"/>
  <c r="X28" i="1"/>
  <c r="X80" i="1"/>
  <c r="F84" i="4"/>
  <c r="Y81" i="1"/>
  <c r="U111" i="1"/>
  <c r="Y87" i="1"/>
  <c r="N26" i="12"/>
  <c r="B22" i="4"/>
  <c r="U112" i="1"/>
  <c r="U96" i="1"/>
  <c r="Y73" i="1"/>
  <c r="E168" i="103"/>
  <c r="U103" i="1"/>
  <c r="C4" i="32"/>
  <c r="H20" i="64"/>
  <c r="U118" i="1"/>
  <c r="U116" i="1"/>
  <c r="U115" i="1"/>
  <c r="U102" i="1"/>
  <c r="U95" i="1"/>
  <c r="Y33" i="1"/>
  <c r="Z4" i="1"/>
  <c r="Z17" i="1"/>
  <c r="Z47" i="1"/>
  <c r="Z72" i="1"/>
  <c r="Z85" i="1"/>
  <c r="Z89" i="1"/>
  <c r="Z80" i="1"/>
  <c r="Y75" i="1"/>
  <c r="Y32" i="1"/>
  <c r="Y54" i="1"/>
  <c r="U17" i="1"/>
  <c r="W17" i="1"/>
  <c r="Y17" i="1" s="1"/>
  <c r="U43" i="1"/>
  <c r="W43" i="1"/>
  <c r="U28" i="1"/>
  <c r="W28" i="1"/>
  <c r="U65" i="1"/>
  <c r="W65" i="1"/>
  <c r="U47" i="1"/>
  <c r="W47" i="1"/>
  <c r="Z28" i="1"/>
  <c r="V49" i="54"/>
  <c r="E55" i="54"/>
  <c r="P55" i="54" s="1"/>
  <c r="U99" i="1"/>
  <c r="W99" i="1"/>
  <c r="U94" i="1"/>
  <c r="V94" i="1" s="1"/>
  <c r="W94" i="1"/>
  <c r="U97" i="1"/>
  <c r="W97" i="1"/>
  <c r="U64" i="1"/>
  <c r="W64" i="1"/>
  <c r="U72" i="1"/>
  <c r="W72" i="1"/>
  <c r="U36" i="1"/>
  <c r="W36" i="1"/>
  <c r="F7" i="86"/>
  <c r="G59" i="1"/>
  <c r="F55" i="86" s="1"/>
  <c r="Z9" i="1"/>
  <c r="E52" i="54"/>
  <c r="I52" i="54" s="1"/>
  <c r="I11" i="92"/>
  <c r="H26" i="92"/>
  <c r="J20" i="92" s="1"/>
  <c r="G22" i="96"/>
  <c r="H22" i="96" s="1"/>
  <c r="H19" i="64"/>
  <c r="H12" i="95"/>
  <c r="F41" i="64"/>
  <c r="G18" i="96"/>
  <c r="H18" i="96" s="1"/>
  <c r="G19" i="96"/>
  <c r="H19" i="96" s="1"/>
  <c r="C61" i="32"/>
  <c r="D16" i="114"/>
  <c r="Y41" i="13"/>
  <c r="E54" i="54"/>
  <c r="F54" i="54" s="1"/>
  <c r="L54" i="54" s="1"/>
  <c r="M54" i="54" s="1"/>
  <c r="C59" i="32"/>
  <c r="C47" i="32"/>
  <c r="K68" i="26"/>
  <c r="C53" i="32"/>
  <c r="K71" i="26"/>
  <c r="B74" i="12"/>
  <c r="C13" i="32"/>
  <c r="C19" i="32"/>
  <c r="E35" i="26"/>
  <c r="E26" i="32" s="1"/>
  <c r="C34" i="32"/>
  <c r="C28" i="32"/>
  <c r="E26" i="26"/>
  <c r="E11" i="32" s="1"/>
  <c r="E25" i="26"/>
  <c r="E24" i="32" s="1"/>
  <c r="N55" i="12"/>
  <c r="B70" i="4"/>
  <c r="C70" i="4" s="1"/>
  <c r="H13" i="92"/>
  <c r="I13" i="92"/>
  <c r="N30" i="12"/>
  <c r="B21" i="4"/>
  <c r="L36" i="26"/>
  <c r="C116" i="26" s="1"/>
  <c r="B107" i="32"/>
  <c r="B108" i="32"/>
  <c r="D40" i="64"/>
  <c r="B98" i="32"/>
  <c r="H26" i="96"/>
  <c r="C69" i="32"/>
  <c r="H26" i="95"/>
  <c r="I41" i="26"/>
  <c r="E35" i="32" s="1"/>
  <c r="I13" i="95"/>
  <c r="C49" i="32"/>
  <c r="C55" i="32"/>
  <c r="B101" i="26"/>
  <c r="D101" i="26" s="1"/>
  <c r="K101" i="26" s="1"/>
  <c r="C8" i="32"/>
  <c r="C6" i="32"/>
  <c r="I40" i="26"/>
  <c r="E20" i="32" s="1"/>
  <c r="I35" i="26"/>
  <c r="I27" i="26"/>
  <c r="E10" i="32" s="1"/>
  <c r="I33" i="26"/>
  <c r="E5" i="32"/>
  <c r="B88" i="32"/>
  <c r="B90" i="32"/>
  <c r="B93" i="32"/>
  <c r="E48" i="32"/>
  <c r="E56" i="32"/>
  <c r="C57" i="32"/>
  <c r="E66" i="32"/>
  <c r="E54" i="32"/>
  <c r="E68" i="32"/>
  <c r="C7" i="32"/>
  <c r="E34" i="26"/>
  <c r="E40" i="26"/>
  <c r="B99" i="32"/>
  <c r="B95" i="32"/>
  <c r="C65" i="32"/>
  <c r="I37" i="26"/>
  <c r="E24" i="26"/>
  <c r="E13" i="32" s="1"/>
  <c r="B92" i="32"/>
  <c r="B112" i="32"/>
  <c r="C9" i="32"/>
  <c r="C12" i="32"/>
  <c r="B87" i="26"/>
  <c r="C51" i="32"/>
  <c r="C54" i="32"/>
  <c r="C56" i="32"/>
  <c r="C67" i="32"/>
  <c r="C66" i="32"/>
  <c r="C68" i="32"/>
  <c r="J39" i="26"/>
  <c r="B106" i="32"/>
  <c r="S27" i="29"/>
  <c r="T27" i="29" s="1"/>
  <c r="D27" i="29" s="1"/>
  <c r="S32" i="29"/>
  <c r="T32" i="29" s="1"/>
  <c r="D32" i="29" s="1"/>
  <c r="S33" i="29"/>
  <c r="T33" i="29" s="1"/>
  <c r="D33" i="29" s="1"/>
  <c r="S34" i="29"/>
  <c r="T34" i="29" s="1"/>
  <c r="D34" i="29" s="1"/>
  <c r="S37" i="29"/>
  <c r="T37" i="29" s="1"/>
  <c r="D37" i="29" s="1"/>
  <c r="S38" i="29"/>
  <c r="T38" i="29" s="1"/>
  <c r="D38" i="29" s="1"/>
  <c r="S39" i="29"/>
  <c r="T39" i="29" s="1"/>
  <c r="D39" i="29" s="1"/>
  <c r="S40" i="29"/>
  <c r="T40" i="29" s="1"/>
  <c r="D40" i="29" s="1"/>
  <c r="S43" i="29"/>
  <c r="T43" i="29" s="1"/>
  <c r="D43" i="29" s="1"/>
  <c r="S44" i="29"/>
  <c r="T44" i="29" s="1"/>
  <c r="D44" i="29" s="1"/>
  <c r="S45" i="29"/>
  <c r="T45" i="29" s="1"/>
  <c r="D45" i="29" s="1"/>
  <c r="S46" i="29"/>
  <c r="T46" i="29" s="1"/>
  <c r="D46" i="29" s="1"/>
  <c r="S47" i="29"/>
  <c r="T47" i="29" s="1"/>
  <c r="D47" i="29" s="1"/>
  <c r="S48" i="29"/>
  <c r="T48" i="29" s="1"/>
  <c r="D48" i="29" s="1"/>
  <c r="S51" i="29"/>
  <c r="T51" i="29" s="1"/>
  <c r="D51" i="29" s="1"/>
  <c r="S52" i="29"/>
  <c r="T52" i="29" s="1"/>
  <c r="D52" i="29" s="1"/>
  <c r="S53" i="29"/>
  <c r="T53" i="29" s="1"/>
  <c r="D53" i="29" s="1"/>
  <c r="S59" i="29"/>
  <c r="T59" i="29" s="1"/>
  <c r="D59" i="29" s="1"/>
  <c r="S72" i="29"/>
  <c r="T72" i="29" s="1"/>
  <c r="D72" i="29" s="1"/>
  <c r="S76" i="29"/>
  <c r="T76" i="29" s="1"/>
  <c r="D76" i="29" s="1"/>
  <c r="S77" i="29"/>
  <c r="T77" i="29" s="1"/>
  <c r="D77" i="29" s="1"/>
  <c r="S78" i="29"/>
  <c r="T78" i="29" s="1"/>
  <c r="D78" i="29" s="1"/>
  <c r="S79" i="29"/>
  <c r="T79" i="29" s="1"/>
  <c r="D79" i="29" s="1"/>
  <c r="S80" i="29"/>
  <c r="T80" i="29" s="1"/>
  <c r="D80" i="29" s="1"/>
  <c r="S81" i="29"/>
  <c r="T81" i="29" s="1"/>
  <c r="D81" i="29" s="1"/>
  <c r="S85" i="29"/>
  <c r="T85" i="29" s="1"/>
  <c r="D85" i="29" s="1"/>
  <c r="S86" i="29"/>
  <c r="T86" i="29" s="1"/>
  <c r="D86" i="29" s="1"/>
  <c r="S88" i="29"/>
  <c r="T88" i="29" s="1"/>
  <c r="D88" i="29" s="1"/>
  <c r="S89" i="29"/>
  <c r="T89" i="29" s="1"/>
  <c r="D89" i="29" s="1"/>
  <c r="S90" i="29"/>
  <c r="T90" i="29" s="1"/>
  <c r="D90" i="29" s="1"/>
  <c r="S91" i="29"/>
  <c r="T91" i="29" s="1"/>
  <c r="D91" i="29" s="1"/>
  <c r="S92" i="29"/>
  <c r="T92" i="29" s="1"/>
  <c r="D92" i="29" s="1"/>
  <c r="S93" i="29"/>
  <c r="T93" i="29" s="1"/>
  <c r="D93" i="29" s="1"/>
  <c r="S94" i="29"/>
  <c r="T94" i="29" s="1"/>
  <c r="D94" i="29" s="1"/>
  <c r="S95" i="29"/>
  <c r="T95" i="29" s="1"/>
  <c r="D95" i="29" s="1"/>
  <c r="S96" i="29"/>
  <c r="T96" i="29" s="1"/>
  <c r="D96" i="29" s="1"/>
  <c r="S97" i="29"/>
  <c r="T97" i="29" s="1"/>
  <c r="D97" i="29" s="1"/>
  <c r="S98" i="29"/>
  <c r="T98" i="29" s="1"/>
  <c r="D98" i="29" s="1"/>
  <c r="S99" i="29"/>
  <c r="T99" i="29" s="1"/>
  <c r="D99" i="29" s="1"/>
  <c r="S101" i="29"/>
  <c r="T101" i="29" s="1"/>
  <c r="D101" i="29" s="1"/>
  <c r="S102" i="29"/>
  <c r="T102" i="29" s="1"/>
  <c r="D102" i="29" s="1"/>
  <c r="S103" i="29"/>
  <c r="T103" i="29" s="1"/>
  <c r="D103" i="29" s="1"/>
  <c r="S104" i="29"/>
  <c r="T104" i="29" s="1"/>
  <c r="D104" i="29" s="1"/>
  <c r="S105" i="29"/>
  <c r="T105" i="29" s="1"/>
  <c r="D105" i="29" s="1"/>
  <c r="S106" i="29"/>
  <c r="T106" i="29" s="1"/>
  <c r="D106" i="29" s="1"/>
  <c r="S107" i="29"/>
  <c r="T107" i="29" s="1"/>
  <c r="D107" i="29" s="1"/>
  <c r="S108" i="29"/>
  <c r="T108" i="29" s="1"/>
  <c r="D108" i="29" s="1"/>
  <c r="K177" i="29"/>
  <c r="M177" i="29"/>
  <c r="H26" i="97"/>
  <c r="I26" i="97" s="1"/>
  <c r="H23" i="97"/>
  <c r="I23" i="97" s="1"/>
  <c r="H20" i="97"/>
  <c r="I20" i="97" s="1"/>
  <c r="H25" i="97"/>
  <c r="I25" i="97" s="1"/>
  <c r="H22" i="97"/>
  <c r="I22" i="97" s="1"/>
  <c r="H27" i="97"/>
  <c r="I27" i="97" s="1"/>
  <c r="H24" i="97"/>
  <c r="I24" i="97" s="1"/>
  <c r="H21" i="97"/>
  <c r="I21" i="97" s="1"/>
  <c r="G23" i="95"/>
  <c r="H23" i="95" s="1"/>
  <c r="G21" i="95"/>
  <c r="H21" i="95" s="1"/>
  <c r="G18" i="95"/>
  <c r="H18" i="95" s="1"/>
  <c r="G19" i="95"/>
  <c r="H19" i="95" s="1"/>
  <c r="G20" i="95"/>
  <c r="H20" i="95" s="1"/>
  <c r="G22" i="95"/>
  <c r="H22" i="95" s="1"/>
  <c r="C32" i="32"/>
  <c r="C30" i="32"/>
  <c r="J33" i="26"/>
  <c r="J37" i="26"/>
  <c r="G177" i="29"/>
  <c r="B36" i="26"/>
  <c r="B45" i="26" s="1"/>
  <c r="G23" i="96"/>
  <c r="H23" i="96" s="1"/>
  <c r="G20" i="96"/>
  <c r="H20" i="96" s="1"/>
  <c r="J18" i="95"/>
  <c r="B109" i="32"/>
  <c r="B114" i="32"/>
  <c r="B110" i="32"/>
  <c r="E41" i="26"/>
  <c r="C3" i="32"/>
  <c r="J40" i="26"/>
  <c r="B102" i="26"/>
  <c r="D102" i="26" s="1"/>
  <c r="K102" i="26" s="1"/>
  <c r="J38" i="26"/>
  <c r="C26" i="32"/>
  <c r="B103" i="32"/>
  <c r="B105" i="32"/>
  <c r="B108" i="26"/>
  <c r="B111" i="32"/>
  <c r="B113" i="32"/>
  <c r="J35" i="26"/>
  <c r="O177" i="29"/>
  <c r="I177" i="29"/>
  <c r="N53" i="12"/>
  <c r="E38" i="26"/>
  <c r="E39" i="26"/>
  <c r="C69" i="4"/>
  <c r="N54" i="12"/>
  <c r="C31" i="32"/>
  <c r="C33" i="32"/>
  <c r="G21" i="96"/>
  <c r="H21" i="96" s="1"/>
  <c r="H16" i="97"/>
  <c r="H30" i="97"/>
  <c r="J22" i="95"/>
  <c r="B104" i="32"/>
  <c r="E27" i="26"/>
  <c r="J27" i="26"/>
  <c r="Q177" i="29"/>
  <c r="H13" i="97"/>
  <c r="E33" i="26"/>
  <c r="F36" i="26"/>
  <c r="E45" i="26" s="1"/>
  <c r="J34" i="26"/>
  <c r="C177" i="29"/>
  <c r="E177" i="29"/>
  <c r="E41" i="64"/>
  <c r="D41" i="64" s="1"/>
  <c r="J18" i="92"/>
  <c r="J19" i="95"/>
  <c r="P26" i="32"/>
  <c r="S30" i="29"/>
  <c r="T30" i="29" s="1"/>
  <c r="D30" i="29" s="1"/>
  <c r="R123" i="29"/>
  <c r="S29" i="29"/>
  <c r="T29" i="29" s="1"/>
  <c r="D29" i="29" s="1"/>
  <c r="S28" i="29"/>
  <c r="T28" i="29" s="1"/>
  <c r="D28" i="29" s="1"/>
  <c r="D3" i="29"/>
  <c r="S8" i="29"/>
  <c r="T8" i="29" s="1"/>
  <c r="D8" i="29" s="1"/>
  <c r="C135" i="29"/>
  <c r="T31" i="29"/>
  <c r="D31" i="29" s="1"/>
  <c r="E2" i="29"/>
  <c r="D144" i="29" s="1"/>
  <c r="D145" i="29" s="1"/>
  <c r="D146" i="29" s="1"/>
  <c r="D147" i="29" s="1"/>
  <c r="F183" i="29"/>
  <c r="D183" i="29"/>
  <c r="S100" i="29"/>
  <c r="T100" i="29" s="1"/>
  <c r="D100" i="29" s="1"/>
  <c r="S36" i="29"/>
  <c r="T36" i="29" s="1"/>
  <c r="D36" i="29" s="1"/>
  <c r="I42" i="26"/>
  <c r="E37" i="32" s="1"/>
  <c r="B101" i="32"/>
  <c r="S9" i="29"/>
  <c r="T9" i="29" s="1"/>
  <c r="D9" i="29" s="1"/>
  <c r="S10" i="29"/>
  <c r="T10" i="29" s="1"/>
  <c r="D10" i="29" s="1"/>
  <c r="S11" i="29"/>
  <c r="T11" i="29" s="1"/>
  <c r="D11" i="29" s="1"/>
  <c r="S12" i="29"/>
  <c r="T12" i="29" s="1"/>
  <c r="S13" i="29"/>
  <c r="T13" i="29" s="1"/>
  <c r="D13" i="29" s="1"/>
  <c r="S14" i="29"/>
  <c r="T14" i="29" s="1"/>
  <c r="D14" i="29" s="1"/>
  <c r="S15" i="29"/>
  <c r="T15" i="29" s="1"/>
  <c r="D15" i="29" s="1"/>
  <c r="S16" i="29"/>
  <c r="T16" i="29" s="1"/>
  <c r="D16" i="29" s="1"/>
  <c r="S17" i="29"/>
  <c r="T17" i="29" s="1"/>
  <c r="D17" i="29" s="1"/>
  <c r="S18" i="29"/>
  <c r="T18" i="29" s="1"/>
  <c r="D18" i="29" s="1"/>
  <c r="S19" i="29"/>
  <c r="T19" i="29" s="1"/>
  <c r="D19" i="29" s="1"/>
  <c r="S20" i="29"/>
  <c r="T20" i="29" s="1"/>
  <c r="D20" i="29" s="1"/>
  <c r="S21" i="29"/>
  <c r="T21" i="29" s="1"/>
  <c r="D21" i="29" s="1"/>
  <c r="S22" i="29"/>
  <c r="T22" i="29" s="1"/>
  <c r="D22" i="29" s="1"/>
  <c r="S23" i="29"/>
  <c r="T23" i="29" s="1"/>
  <c r="D23" i="29" s="1"/>
  <c r="S24" i="29"/>
  <c r="T24" i="29" s="1"/>
  <c r="D24" i="29" s="1"/>
  <c r="S25" i="29"/>
  <c r="T25" i="29" s="1"/>
  <c r="D25" i="29" s="1"/>
  <c r="S26" i="29"/>
  <c r="T26" i="29" s="1"/>
  <c r="D26" i="29" s="1"/>
  <c r="P27" i="32"/>
  <c r="P24" i="32"/>
  <c r="P22" i="32"/>
  <c r="B133" i="1"/>
  <c r="C25" i="32"/>
  <c r="C24" i="32"/>
  <c r="J41" i="26"/>
  <c r="B117" i="26" s="1"/>
  <c r="I23" i="26"/>
  <c r="E16" i="32" s="1"/>
  <c r="B97" i="32"/>
  <c r="Q183" i="29"/>
  <c r="G183" i="29"/>
  <c r="J183" i="29"/>
  <c r="H183" i="29"/>
  <c r="N183" i="29"/>
  <c r="L183" i="29"/>
  <c r="B183" i="29"/>
  <c r="R183" i="29"/>
  <c r="P183" i="29"/>
  <c r="S73" i="29"/>
  <c r="T73" i="29" s="1"/>
  <c r="D73" i="29" s="1"/>
  <c r="S71" i="29"/>
  <c r="T71" i="29" s="1"/>
  <c r="D71" i="29" s="1"/>
  <c r="S70" i="29"/>
  <c r="T70" i="29" s="1"/>
  <c r="D70" i="29" s="1"/>
  <c r="S69" i="29"/>
  <c r="T69" i="29" s="1"/>
  <c r="D69" i="29" s="1"/>
  <c r="S68" i="29"/>
  <c r="T68" i="29" s="1"/>
  <c r="D68" i="29" s="1"/>
  <c r="E65" i="12"/>
  <c r="H65" i="12" s="1"/>
  <c r="E42" i="26"/>
  <c r="C36" i="32"/>
  <c r="J42" i="26"/>
  <c r="B118" i="26" s="1"/>
  <c r="O36" i="12"/>
  <c r="B33" i="4" s="1"/>
  <c r="B81" i="12"/>
  <c r="E81" i="12" s="1"/>
  <c r="H81" i="12" s="1"/>
  <c r="G63" i="12"/>
  <c r="I28" i="26"/>
  <c r="E18" i="32" s="1"/>
  <c r="J28" i="26"/>
  <c r="G71" i="12"/>
  <c r="G76" i="12"/>
  <c r="E89" i="12" s="1"/>
  <c r="E83" i="12"/>
  <c r="H83" i="12" s="1"/>
  <c r="J25" i="26"/>
  <c r="B91" i="32"/>
  <c r="C15" i="32"/>
  <c r="E23" i="26"/>
  <c r="J23" i="26"/>
  <c r="D80" i="12"/>
  <c r="E72" i="12"/>
  <c r="H72" i="12" s="1"/>
  <c r="D73" i="12"/>
  <c r="B73" i="12"/>
  <c r="B62" i="12"/>
  <c r="E62" i="12" s="1"/>
  <c r="H62" i="12" s="1"/>
  <c r="J30" i="86"/>
  <c r="C11" i="32"/>
  <c r="B94" i="32"/>
  <c r="J26" i="26"/>
  <c r="C51" i="4"/>
  <c r="E51" i="4" s="1"/>
  <c r="E65" i="4" s="1"/>
  <c r="V58" i="54"/>
  <c r="J24" i="26"/>
  <c r="C14" i="32"/>
  <c r="B96" i="32"/>
  <c r="P23" i="32"/>
  <c r="V59" i="54"/>
  <c r="B80" i="12"/>
  <c r="D70" i="12"/>
  <c r="B100" i="32"/>
  <c r="C53" i="4"/>
  <c r="E53" i="4" s="1"/>
  <c r="E67" i="4" s="1"/>
  <c r="E127" i="1"/>
  <c r="G127" i="1" s="1"/>
  <c r="C17" i="32"/>
  <c r="E28" i="26"/>
  <c r="H7" i="12"/>
  <c r="U7" i="12" s="1"/>
  <c r="V7" i="12" s="1"/>
  <c r="D44" i="32"/>
  <c r="H56" i="4"/>
  <c r="I56" i="4" s="1"/>
  <c r="I50" i="12"/>
  <c r="E103" i="12" s="1"/>
  <c r="D63" i="12"/>
  <c r="H24" i="12"/>
  <c r="U24" i="12" s="1"/>
  <c r="V24" i="12" s="1"/>
  <c r="C38" i="64"/>
  <c r="D38" i="64" s="1"/>
  <c r="D79" i="12"/>
  <c r="S61" i="29"/>
  <c r="T61" i="29" s="1"/>
  <c r="D61" i="29" s="1"/>
  <c r="S62" i="29"/>
  <c r="T62" i="29" s="1"/>
  <c r="D62" i="29" s="1"/>
  <c r="S63" i="29"/>
  <c r="T63" i="29" s="1"/>
  <c r="D63" i="29" s="1"/>
  <c r="S64" i="29"/>
  <c r="T64" i="29" s="1"/>
  <c r="D64" i="29" s="1"/>
  <c r="S65" i="29"/>
  <c r="T65" i="29" s="1"/>
  <c r="D65" i="29" s="1"/>
  <c r="S60" i="29"/>
  <c r="T60" i="29" s="1"/>
  <c r="D60" i="29" s="1"/>
  <c r="S35" i="29"/>
  <c r="T35" i="29" s="1"/>
  <c r="D35" i="29" s="1"/>
  <c r="S55" i="29"/>
  <c r="T55" i="29" s="1"/>
  <c r="D55" i="29" s="1"/>
  <c r="S56" i="29"/>
  <c r="T56" i="29" s="1"/>
  <c r="D56" i="29" s="1"/>
  <c r="S57" i="29"/>
  <c r="T57" i="29" s="1"/>
  <c r="D57" i="29" s="1"/>
  <c r="S58" i="29"/>
  <c r="T58" i="29" s="1"/>
  <c r="D58" i="29" s="1"/>
  <c r="S54" i="29"/>
  <c r="T54" i="29" s="1"/>
  <c r="D54" i="29" s="1"/>
  <c r="S87" i="29"/>
  <c r="T87" i="29" s="1"/>
  <c r="D87" i="29" s="1"/>
  <c r="G23" i="92"/>
  <c r="H23" i="92" s="1"/>
  <c r="G21" i="92"/>
  <c r="H21" i="92" s="1"/>
  <c r="G19" i="92"/>
  <c r="H19" i="92" s="1"/>
  <c r="G22" i="92"/>
  <c r="H22" i="92" s="1"/>
  <c r="G20" i="92"/>
  <c r="H20" i="92" s="1"/>
  <c r="G18" i="92"/>
  <c r="H18" i="92" s="1"/>
  <c r="J23" i="96"/>
  <c r="J22" i="96"/>
  <c r="K22" i="96" s="1"/>
  <c r="L22" i="96" s="1"/>
  <c r="B73" i="32"/>
  <c r="E87" i="26"/>
  <c r="E28" i="32"/>
  <c r="V73" i="29"/>
  <c r="E3" i="29"/>
  <c r="M183" i="29"/>
  <c r="C183" i="29"/>
  <c r="I183" i="29"/>
  <c r="O183" i="29"/>
  <c r="E183" i="29"/>
  <c r="K183" i="29"/>
  <c r="S183" i="29"/>
  <c r="H100" i="26"/>
  <c r="B100" i="26"/>
  <c r="D100" i="26" s="1"/>
  <c r="H34" i="12"/>
  <c r="U34" i="12" s="1"/>
  <c r="V34" i="12" s="1"/>
  <c r="H53" i="12"/>
  <c r="J53" i="12" s="1"/>
  <c r="U53" i="12" s="1"/>
  <c r="V53" i="12" s="1"/>
  <c r="H33" i="12"/>
  <c r="C58" i="32"/>
  <c r="D83" i="26"/>
  <c r="C63" i="32"/>
  <c r="J23" i="92"/>
  <c r="J21" i="92"/>
  <c r="J19" i="92"/>
  <c r="J20" i="95"/>
  <c r="J21" i="96"/>
  <c r="C50" i="32"/>
  <c r="C52" i="32"/>
  <c r="C62" i="32"/>
  <c r="C73" i="32"/>
  <c r="J18" i="96"/>
  <c r="K18" i="96" s="1"/>
  <c r="L18" i="96" s="1"/>
  <c r="D78" i="12"/>
  <c r="N4" i="86"/>
  <c r="O4" i="86" s="1"/>
  <c r="P4" i="86" s="1"/>
  <c r="R4" i="86" s="1"/>
  <c r="B41" i="64"/>
  <c r="H99" i="26"/>
  <c r="B99" i="26"/>
  <c r="D99" i="26" s="1"/>
  <c r="J22" i="92"/>
  <c r="J20" i="96"/>
  <c r="S109" i="29"/>
  <c r="T109" i="29" s="1"/>
  <c r="D109" i="29" s="1"/>
  <c r="S110" i="29"/>
  <c r="T110" i="29" s="1"/>
  <c r="D110" i="29" s="1"/>
  <c r="S111" i="29"/>
  <c r="T111" i="29" s="1"/>
  <c r="D111" i="29" s="1"/>
  <c r="S112" i="29"/>
  <c r="T112" i="29" s="1"/>
  <c r="D112" i="29" s="1"/>
  <c r="S113" i="29"/>
  <c r="T113" i="29" s="1"/>
  <c r="D113" i="29" s="1"/>
  <c r="S114" i="29"/>
  <c r="T114" i="29" s="1"/>
  <c r="D114" i="29" s="1"/>
  <c r="S115" i="29"/>
  <c r="T115" i="29" s="1"/>
  <c r="D115" i="29" s="1"/>
  <c r="S116" i="29"/>
  <c r="T116" i="29" s="1"/>
  <c r="D116" i="29" s="1"/>
  <c r="S117" i="29"/>
  <c r="T117" i="29" s="1"/>
  <c r="D117" i="29" s="1"/>
  <c r="S118" i="29"/>
  <c r="T118" i="29" s="1"/>
  <c r="D118" i="29" s="1"/>
  <c r="S119" i="29"/>
  <c r="T119" i="29" s="1"/>
  <c r="D119" i="29" s="1"/>
  <c r="S120" i="29"/>
  <c r="T120" i="29" s="1"/>
  <c r="D120" i="29" s="1"/>
  <c r="S121" i="29"/>
  <c r="T121" i="29" s="1"/>
  <c r="D121" i="29" s="1"/>
  <c r="S122" i="29"/>
  <c r="T122" i="29" s="1"/>
  <c r="D122" i="29" s="1"/>
  <c r="N38" i="86"/>
  <c r="O38" i="86" s="1"/>
  <c r="Q38" i="86" s="1"/>
  <c r="S38" i="86" s="1"/>
  <c r="H55" i="27"/>
  <c r="J55" i="27" s="1"/>
  <c r="L55" i="27" s="1"/>
  <c r="G63" i="27"/>
  <c r="I63" i="27" s="1"/>
  <c r="K63" i="27" s="1"/>
  <c r="I14" i="92"/>
  <c r="I11" i="95"/>
  <c r="H14" i="97"/>
  <c r="B89" i="32"/>
  <c r="L2" i="54"/>
  <c r="M2" i="54" s="1"/>
  <c r="J19" i="96"/>
  <c r="K19" i="96" s="1"/>
  <c r="L19" i="96" s="1"/>
  <c r="H19" i="12"/>
  <c r="U19" i="12" s="1"/>
  <c r="V19" i="12" s="1"/>
  <c r="D110" i="12"/>
  <c r="I44" i="12"/>
  <c r="E95" i="12" s="1"/>
  <c r="G70" i="12"/>
  <c r="O49" i="12"/>
  <c r="B65" i="4" s="1"/>
  <c r="C67" i="64"/>
  <c r="D67" i="64" s="1"/>
  <c r="C29" i="64"/>
  <c r="D29" i="64" s="1"/>
  <c r="C28" i="64"/>
  <c r="D28" i="64" s="1"/>
  <c r="C29" i="4"/>
  <c r="B76" i="12"/>
  <c r="B89" i="12" s="1"/>
  <c r="H47" i="12"/>
  <c r="J47" i="12" s="1"/>
  <c r="U47" i="12" s="1"/>
  <c r="V47" i="12" s="1"/>
  <c r="D76" i="12"/>
  <c r="C89" i="12" s="1"/>
  <c r="C27" i="64"/>
  <c r="D27" i="64" s="1"/>
  <c r="B98" i="12"/>
  <c r="D98" i="12" s="1"/>
  <c r="H36" i="12"/>
  <c r="H17" i="12"/>
  <c r="G64" i="12"/>
  <c r="H18" i="12"/>
  <c r="U18" i="12" s="1"/>
  <c r="V18" i="12" s="1"/>
  <c r="D71" i="12"/>
  <c r="K11" i="4"/>
  <c r="B106" i="12"/>
  <c r="D106" i="12" s="1"/>
  <c r="O47" i="12"/>
  <c r="B63" i="4" s="1"/>
  <c r="O2" i="12"/>
  <c r="N2" i="12" s="1"/>
  <c r="C25" i="64"/>
  <c r="D25" i="64" s="1"/>
  <c r="I54" i="12"/>
  <c r="E106" i="12" s="1"/>
  <c r="I45" i="12"/>
  <c r="E97" i="12" s="1"/>
  <c r="H26" i="12"/>
  <c r="U26" i="12" s="1"/>
  <c r="V26" i="12" s="1"/>
  <c r="H3" i="12"/>
  <c r="U3" i="12" s="1"/>
  <c r="V3" i="12" s="1"/>
  <c r="O45" i="12"/>
  <c r="B61" i="4" s="1"/>
  <c r="H46" i="12"/>
  <c r="J46" i="12" s="1"/>
  <c r="U46" i="12" s="1"/>
  <c r="V46" i="12" s="1"/>
  <c r="B78" i="12"/>
  <c r="D64" i="12"/>
  <c r="D77" i="12"/>
  <c r="E77" i="12" s="1"/>
  <c r="H77" i="12" s="1"/>
  <c r="I49" i="12"/>
  <c r="E101" i="12" s="1"/>
  <c r="D148" i="4"/>
  <c r="F148" i="4" s="1"/>
  <c r="G202" i="4"/>
  <c r="N113" i="86"/>
  <c r="O113" i="86" s="1"/>
  <c r="P113" i="86" s="1"/>
  <c r="R113" i="86" s="1"/>
  <c r="H44" i="27"/>
  <c r="J44" i="27" s="1"/>
  <c r="L44" i="27" s="1"/>
  <c r="H91" i="27"/>
  <c r="J91" i="27" s="1"/>
  <c r="L91" i="27" s="1"/>
  <c r="M51" i="27"/>
  <c r="H31" i="27"/>
  <c r="J31" i="27" s="1"/>
  <c r="L31" i="27" s="1"/>
  <c r="E9" i="54"/>
  <c r="I9" i="54" s="1"/>
  <c r="E33" i="54"/>
  <c r="P33" i="54" s="1"/>
  <c r="D42" i="32"/>
  <c r="I16" i="4"/>
  <c r="C12" i="64"/>
  <c r="K29" i="64" s="1"/>
  <c r="O10" i="12"/>
  <c r="B28" i="4" s="1"/>
  <c r="C34" i="4"/>
  <c r="C30" i="64"/>
  <c r="D30" i="64" s="1"/>
  <c r="O20" i="12"/>
  <c r="G60" i="27"/>
  <c r="I60" i="27" s="1"/>
  <c r="K60" i="27" s="1"/>
  <c r="F136" i="4"/>
  <c r="P2" i="54"/>
  <c r="G203" i="4"/>
  <c r="G200" i="4"/>
  <c r="C52" i="4"/>
  <c r="E52" i="4" s="1"/>
  <c r="E66" i="4" s="1"/>
  <c r="G2" i="54"/>
  <c r="H2" i="54" s="1"/>
  <c r="D35" i="4"/>
  <c r="I115" i="86"/>
  <c r="H42" i="27"/>
  <c r="J42" i="27" s="1"/>
  <c r="L42" i="27" s="1"/>
  <c r="H83" i="27"/>
  <c r="J83" i="27" s="1"/>
  <c r="L83" i="27" s="1"/>
  <c r="M99" i="27"/>
  <c r="N101" i="27"/>
  <c r="I2" i="54"/>
  <c r="N26" i="86"/>
  <c r="O26" i="86" s="1"/>
  <c r="Q26" i="86" s="1"/>
  <c r="S26" i="86" s="1"/>
  <c r="N59" i="86"/>
  <c r="O59" i="86" s="1"/>
  <c r="Q59" i="86" s="1"/>
  <c r="S59" i="86" s="1"/>
  <c r="J77" i="86"/>
  <c r="J97" i="86"/>
  <c r="G25" i="27"/>
  <c r="I25" i="27" s="1"/>
  <c r="K25" i="27" s="1"/>
  <c r="H27" i="27"/>
  <c r="J27" i="27" s="1"/>
  <c r="L27" i="27" s="1"/>
  <c r="H33" i="27"/>
  <c r="J33" i="27" s="1"/>
  <c r="L33" i="27" s="1"/>
  <c r="G35" i="27"/>
  <c r="I35" i="27" s="1"/>
  <c r="K35" i="27" s="1"/>
  <c r="H37" i="27"/>
  <c r="J37" i="27" s="1"/>
  <c r="L37" i="27" s="1"/>
  <c r="H41" i="27"/>
  <c r="J41" i="27" s="1"/>
  <c r="L41" i="27" s="1"/>
  <c r="G50" i="27"/>
  <c r="I50" i="27" s="1"/>
  <c r="K50" i="27" s="1"/>
  <c r="H56" i="27"/>
  <c r="J56" i="27" s="1"/>
  <c r="L56" i="27" s="1"/>
  <c r="H58" i="27"/>
  <c r="J58" i="27" s="1"/>
  <c r="L58" i="27" s="1"/>
  <c r="H64" i="27"/>
  <c r="J64" i="27" s="1"/>
  <c r="L64" i="27" s="1"/>
  <c r="H66" i="27"/>
  <c r="J66" i="27" s="1"/>
  <c r="L66" i="27" s="1"/>
  <c r="H74" i="27"/>
  <c r="J74" i="27" s="1"/>
  <c r="L74" i="27" s="1"/>
  <c r="H76" i="27"/>
  <c r="J76" i="27" s="1"/>
  <c r="L76" i="27" s="1"/>
  <c r="H78" i="27"/>
  <c r="J78" i="27" s="1"/>
  <c r="L78" i="27" s="1"/>
  <c r="G80" i="27"/>
  <c r="I80" i="27" s="1"/>
  <c r="K80" i="27" s="1"/>
  <c r="E13" i="54"/>
  <c r="I13" i="54" s="1"/>
  <c r="E25" i="54"/>
  <c r="F25" i="54" s="1"/>
  <c r="E28" i="54"/>
  <c r="I28" i="54" s="1"/>
  <c r="E29" i="54"/>
  <c r="P29" i="54" s="1"/>
  <c r="E34" i="54"/>
  <c r="P34" i="54" s="1"/>
  <c r="E97" i="54"/>
  <c r="I97" i="54" s="1"/>
  <c r="E103" i="54"/>
  <c r="I103" i="54" s="1"/>
  <c r="N5" i="86"/>
  <c r="O5" i="86" s="1"/>
  <c r="P5" i="86" s="1"/>
  <c r="R5" i="86" s="1"/>
  <c r="N22" i="27"/>
  <c r="M36" i="27"/>
  <c r="M38" i="27"/>
  <c r="M55" i="27"/>
  <c r="N65" i="27"/>
  <c r="M77" i="27"/>
  <c r="N85" i="27"/>
  <c r="N89" i="27"/>
  <c r="M97" i="27"/>
  <c r="N99" i="27"/>
  <c r="C58" i="64"/>
  <c r="C59" i="64" s="1"/>
  <c r="E59" i="64" s="1"/>
  <c r="C30" i="4"/>
  <c r="N39" i="86"/>
  <c r="O39" i="86" s="1"/>
  <c r="Q39" i="86" s="1"/>
  <c r="S39" i="86" s="1"/>
  <c r="M30" i="27"/>
  <c r="M34" i="27"/>
  <c r="M49" i="27"/>
  <c r="M53" i="27"/>
  <c r="M57" i="27"/>
  <c r="M61" i="27"/>
  <c r="N87" i="27"/>
  <c r="N91" i="27"/>
  <c r="N93" i="27"/>
  <c r="N95" i="27"/>
  <c r="G186" i="4"/>
  <c r="N114" i="86"/>
  <c r="O114" i="86" s="1"/>
  <c r="Q114" i="86" s="1"/>
  <c r="S114" i="86" s="1"/>
  <c r="N36" i="27"/>
  <c r="M95" i="27"/>
  <c r="N27" i="86"/>
  <c r="O27" i="86" s="1"/>
  <c r="Q27" i="86" s="1"/>
  <c r="S27" i="86" s="1"/>
  <c r="N62" i="86"/>
  <c r="O62" i="86" s="1"/>
  <c r="Q62" i="86" s="1"/>
  <c r="S62" i="86" s="1"/>
  <c r="N100" i="86"/>
  <c r="O100" i="86" s="1"/>
  <c r="Q100" i="86" s="1"/>
  <c r="S100" i="86" s="1"/>
  <c r="H25" i="27"/>
  <c r="J25" i="27" s="1"/>
  <c r="L25" i="27" s="1"/>
  <c r="G27" i="27"/>
  <c r="I27" i="27" s="1"/>
  <c r="K27" i="27" s="1"/>
  <c r="H35" i="27"/>
  <c r="J35" i="27" s="1"/>
  <c r="L35" i="27" s="1"/>
  <c r="G37" i="27"/>
  <c r="I37" i="27" s="1"/>
  <c r="K37" i="27" s="1"/>
  <c r="H46" i="27"/>
  <c r="J46" i="27" s="1"/>
  <c r="L46" i="27" s="1"/>
  <c r="H48" i="27"/>
  <c r="J48" i="27" s="1"/>
  <c r="L48" i="27" s="1"/>
  <c r="H52" i="27"/>
  <c r="J52" i="27" s="1"/>
  <c r="L52" i="27" s="1"/>
  <c r="H62" i="27"/>
  <c r="J62" i="27" s="1"/>
  <c r="L62" i="27" s="1"/>
  <c r="G66" i="27"/>
  <c r="I66" i="27" s="1"/>
  <c r="K66" i="27" s="1"/>
  <c r="H68" i="27"/>
  <c r="J68" i="27" s="1"/>
  <c r="L68" i="27" s="1"/>
  <c r="G76" i="27"/>
  <c r="I76" i="27" s="1"/>
  <c r="K76" i="27" s="1"/>
  <c r="G78" i="27"/>
  <c r="I78" i="27" s="1"/>
  <c r="K78" i="27" s="1"/>
  <c r="H84" i="27"/>
  <c r="J84" i="27" s="1"/>
  <c r="L84" i="27" s="1"/>
  <c r="H88" i="27"/>
  <c r="J88" i="27" s="1"/>
  <c r="L88" i="27" s="1"/>
  <c r="H98" i="27"/>
  <c r="J98" i="27" s="1"/>
  <c r="L98" i="27" s="1"/>
  <c r="H80" i="27"/>
  <c r="J80" i="27" s="1"/>
  <c r="L80" i="27" s="1"/>
  <c r="M85" i="27"/>
  <c r="G74" i="27"/>
  <c r="I74" i="27" s="1"/>
  <c r="K74" i="27" s="1"/>
  <c r="J4" i="86"/>
  <c r="N12" i="86"/>
  <c r="O12" i="86" s="1"/>
  <c r="Q12" i="86" s="1"/>
  <c r="S12" i="86" s="1"/>
  <c r="N102" i="86"/>
  <c r="O102" i="86" s="1"/>
  <c r="Q102" i="86" s="1"/>
  <c r="S102" i="86" s="1"/>
  <c r="C172" i="4"/>
  <c r="K126" i="1"/>
  <c r="B131" i="1" s="1"/>
  <c r="B132" i="1" s="1"/>
  <c r="J5" i="86"/>
  <c r="J8" i="86"/>
  <c r="J18" i="86"/>
  <c r="J24" i="86"/>
  <c r="J26" i="86"/>
  <c r="J27" i="86"/>
  <c r="J31" i="86"/>
  <c r="J35" i="86"/>
  <c r="J44" i="86"/>
  <c r="J51" i="86"/>
  <c r="J74" i="86"/>
  <c r="N107" i="86"/>
  <c r="O107" i="86" s="1"/>
  <c r="Q107" i="86" s="1"/>
  <c r="S107" i="86" s="1"/>
  <c r="M27" i="27"/>
  <c r="H29" i="27"/>
  <c r="J29" i="27" s="1"/>
  <c r="L29" i="27" s="1"/>
  <c r="H30" i="27"/>
  <c r="J30" i="27" s="1"/>
  <c r="L30" i="27" s="1"/>
  <c r="G32" i="27"/>
  <c r="I32" i="27" s="1"/>
  <c r="K32" i="27" s="1"/>
  <c r="G34" i="27"/>
  <c r="I34" i="27" s="1"/>
  <c r="K34" i="27" s="1"/>
  <c r="H36" i="27"/>
  <c r="J36" i="27" s="1"/>
  <c r="L36" i="27" s="1"/>
  <c r="N39" i="27"/>
  <c r="H43" i="27"/>
  <c r="J43" i="27" s="1"/>
  <c r="L43" i="27" s="1"/>
  <c r="H47" i="27"/>
  <c r="J47" i="27" s="1"/>
  <c r="L47" i="27" s="1"/>
  <c r="N50" i="27"/>
  <c r="G53" i="27"/>
  <c r="I53" i="27" s="1"/>
  <c r="K53" i="27" s="1"/>
  <c r="G55" i="27"/>
  <c r="I55" i="27" s="1"/>
  <c r="K55" i="27" s="1"/>
  <c r="G57" i="27"/>
  <c r="I57" i="27" s="1"/>
  <c r="K57" i="27" s="1"/>
  <c r="H59" i="27"/>
  <c r="J59" i="27" s="1"/>
  <c r="L59" i="27" s="1"/>
  <c r="M64" i="27"/>
  <c r="M70" i="27"/>
  <c r="H71" i="27"/>
  <c r="J71" i="27" s="1"/>
  <c r="L71" i="27" s="1"/>
  <c r="H73" i="27"/>
  <c r="J73" i="27" s="1"/>
  <c r="L73" i="27" s="1"/>
  <c r="M78" i="27"/>
  <c r="H81" i="27"/>
  <c r="J81" i="27" s="1"/>
  <c r="L81" i="27" s="1"/>
  <c r="H82" i="27"/>
  <c r="J82" i="27" s="1"/>
  <c r="L82" i="27" s="1"/>
  <c r="H85" i="27"/>
  <c r="J85" i="27" s="1"/>
  <c r="L85" i="27" s="1"/>
  <c r="H86" i="27"/>
  <c r="J86" i="27" s="1"/>
  <c r="L86" i="27" s="1"/>
  <c r="G89" i="27"/>
  <c r="I89" i="27" s="1"/>
  <c r="K89" i="27" s="1"/>
  <c r="V47" i="54"/>
  <c r="J12" i="86"/>
  <c r="J14" i="86"/>
  <c r="N18" i="86"/>
  <c r="O18" i="86" s="1"/>
  <c r="P18" i="86" s="1"/>
  <c r="R18" i="86" s="1"/>
  <c r="N52" i="86"/>
  <c r="O52" i="86" s="1"/>
  <c r="P52" i="86" s="1"/>
  <c r="R52" i="86" s="1"/>
  <c r="N85" i="86"/>
  <c r="O85" i="86" s="1"/>
  <c r="Q85" i="86" s="1"/>
  <c r="S85" i="86" s="1"/>
  <c r="N30" i="27"/>
  <c r="N34" i="27"/>
  <c r="N38" i="27"/>
  <c r="N49" i="27"/>
  <c r="N55" i="27"/>
  <c r="N57" i="27"/>
  <c r="N61" i="27"/>
  <c r="N79" i="27"/>
  <c r="M81" i="27"/>
  <c r="M87" i="27"/>
  <c r="M89" i="27"/>
  <c r="M91" i="27"/>
  <c r="M101" i="27"/>
  <c r="E8" i="54"/>
  <c r="F8" i="54" s="1"/>
  <c r="L8" i="54" s="1"/>
  <c r="M8" i="54" s="1"/>
  <c r="E12" i="54"/>
  <c r="P12" i="54" s="1"/>
  <c r="E14" i="54"/>
  <c r="F14" i="54" s="1"/>
  <c r="E17" i="54"/>
  <c r="I17" i="54" s="1"/>
  <c r="E19" i="54"/>
  <c r="P19" i="54" s="1"/>
  <c r="E23" i="54"/>
  <c r="P23" i="54" s="1"/>
  <c r="E37" i="54"/>
  <c r="I37" i="54" s="1"/>
  <c r="E38" i="54"/>
  <c r="F38" i="54" s="1"/>
  <c r="G38" i="54" s="1"/>
  <c r="H38" i="54" s="1"/>
  <c r="E39" i="54"/>
  <c r="I39" i="54" s="1"/>
  <c r="E40" i="54"/>
  <c r="P40" i="54" s="1"/>
  <c r="E41" i="54"/>
  <c r="F41" i="54" s="1"/>
  <c r="L41" i="54" s="1"/>
  <c r="M41" i="54" s="1"/>
  <c r="E42" i="54"/>
  <c r="F42" i="54" s="1"/>
  <c r="E43" i="54"/>
  <c r="I43" i="54" s="1"/>
  <c r="E44" i="54"/>
  <c r="F44" i="54" s="1"/>
  <c r="G44" i="54" s="1"/>
  <c r="E45" i="54"/>
  <c r="I45" i="54" s="1"/>
  <c r="E46" i="54"/>
  <c r="F46" i="54" s="1"/>
  <c r="E47" i="54"/>
  <c r="F47" i="54" s="1"/>
  <c r="E48" i="54"/>
  <c r="P48" i="54" s="1"/>
  <c r="E49" i="54"/>
  <c r="I49" i="54" s="1"/>
  <c r="E50" i="54"/>
  <c r="P50" i="54" s="1"/>
  <c r="E51" i="54"/>
  <c r="F51" i="54" s="1"/>
  <c r="G51" i="54" s="1"/>
  <c r="E58" i="54"/>
  <c r="I58" i="54" s="1"/>
  <c r="E59" i="54"/>
  <c r="F59" i="54" s="1"/>
  <c r="G59" i="54" s="1"/>
  <c r="H59" i="54" s="1"/>
  <c r="E63" i="54"/>
  <c r="P63" i="54" s="1"/>
  <c r="E72" i="54"/>
  <c r="P72" i="54" s="1"/>
  <c r="E74" i="54"/>
  <c r="P74" i="54" s="1"/>
  <c r="E75" i="54"/>
  <c r="F75" i="54" s="1"/>
  <c r="G75" i="54" s="1"/>
  <c r="H75" i="54" s="1"/>
  <c r="E96" i="54"/>
  <c r="I96" i="54" s="1"/>
  <c r="E106" i="54"/>
  <c r="F106" i="54" s="1"/>
  <c r="G106" i="54" s="1"/>
  <c r="H106" i="54" s="1"/>
  <c r="E109" i="54"/>
  <c r="I109" i="54" s="1"/>
  <c r="E110" i="54"/>
  <c r="I110" i="54" s="1"/>
  <c r="E111" i="54"/>
  <c r="F111" i="54" s="1"/>
  <c r="G111" i="54" s="1"/>
  <c r="H111" i="54" s="1"/>
  <c r="E112" i="54"/>
  <c r="I112" i="54" s="1"/>
  <c r="E113" i="54"/>
  <c r="F113" i="54" s="1"/>
  <c r="G113" i="54" s="1"/>
  <c r="H113" i="54" s="1"/>
  <c r="E114" i="54"/>
  <c r="I114" i="54" s="1"/>
  <c r="E115" i="54"/>
  <c r="F115" i="54" s="1"/>
  <c r="G115" i="54" s="1"/>
  <c r="H115" i="54" s="1"/>
  <c r="E116" i="54"/>
  <c r="I116" i="54" s="1"/>
  <c r="E117" i="54"/>
  <c r="F117" i="54" s="1"/>
  <c r="G117" i="54" s="1"/>
  <c r="E118" i="54"/>
  <c r="F118" i="54" s="1"/>
  <c r="G118" i="54" s="1"/>
  <c r="H118" i="54" s="1"/>
  <c r="E119" i="54"/>
  <c r="I119" i="54" s="1"/>
  <c r="E120" i="54"/>
  <c r="I120" i="54" s="1"/>
  <c r="H32" i="27"/>
  <c r="J32" i="27" s="1"/>
  <c r="L32" i="27" s="1"/>
  <c r="J65" i="86"/>
  <c r="J66" i="86"/>
  <c r="N72" i="86"/>
  <c r="O72" i="86" s="1"/>
  <c r="Q72" i="86" s="1"/>
  <c r="S72" i="86" s="1"/>
  <c r="N75" i="86"/>
  <c r="O75" i="86" s="1"/>
  <c r="P75" i="86" s="1"/>
  <c r="R75" i="86" s="1"/>
  <c r="N89" i="86"/>
  <c r="O89" i="86" s="1"/>
  <c r="P89" i="86" s="1"/>
  <c r="R89" i="86" s="1"/>
  <c r="J91" i="86"/>
  <c r="N93" i="86"/>
  <c r="O93" i="86" s="1"/>
  <c r="Q93" i="86" s="1"/>
  <c r="S93" i="86" s="1"/>
  <c r="J102" i="86"/>
  <c r="J108" i="86"/>
  <c r="J111" i="86"/>
  <c r="F143" i="4"/>
  <c r="J70" i="86"/>
  <c r="N68" i="86"/>
  <c r="O68" i="86" s="1"/>
  <c r="P68" i="86" s="1"/>
  <c r="R68" i="86" s="1"/>
  <c r="N108" i="86"/>
  <c r="O108" i="86" s="1"/>
  <c r="Q108" i="86" s="1"/>
  <c r="S108" i="86" s="1"/>
  <c r="N109" i="86"/>
  <c r="O109" i="86" s="1"/>
  <c r="P109" i="86" s="1"/>
  <c r="R109" i="86" s="1"/>
  <c r="G47" i="27"/>
  <c r="I47" i="27" s="1"/>
  <c r="K47" i="27" s="1"/>
  <c r="F140" i="4"/>
  <c r="H34" i="27"/>
  <c r="J34" i="27" s="1"/>
  <c r="L34" i="27" s="1"/>
  <c r="C32" i="4"/>
  <c r="L35" i="86"/>
  <c r="M35" i="86" s="1"/>
  <c r="N35" i="86" s="1"/>
  <c r="O35" i="86" s="1"/>
  <c r="P35" i="86" s="1"/>
  <c r="R35" i="86" s="1"/>
  <c r="J41" i="86"/>
  <c r="N29" i="27"/>
  <c r="N41" i="27"/>
  <c r="M43" i="27"/>
  <c r="M58" i="27"/>
  <c r="M72" i="27"/>
  <c r="M74" i="27"/>
  <c r="M96" i="27"/>
  <c r="E99" i="54"/>
  <c r="F126" i="4"/>
  <c r="H23" i="27"/>
  <c r="J23" i="27" s="1"/>
  <c r="L23" i="27" s="1"/>
  <c r="G23" i="27"/>
  <c r="I23" i="27" s="1"/>
  <c r="K23" i="27" s="1"/>
  <c r="G33" i="27"/>
  <c r="I33" i="27" s="1"/>
  <c r="K33" i="27" s="1"/>
  <c r="M33" i="27"/>
  <c r="M39" i="27"/>
  <c r="G39" i="27"/>
  <c r="I39" i="27" s="1"/>
  <c r="K39" i="27" s="1"/>
  <c r="H39" i="27"/>
  <c r="J39" i="27" s="1"/>
  <c r="L39" i="27" s="1"/>
  <c r="M50" i="27"/>
  <c r="H50" i="27"/>
  <c r="J50" i="27" s="1"/>
  <c r="L50" i="27" s="1"/>
  <c r="H54" i="27"/>
  <c r="J54" i="27" s="1"/>
  <c r="L54" i="27" s="1"/>
  <c r="G54" i="27"/>
  <c r="I54" i="27" s="1"/>
  <c r="K54" i="27" s="1"/>
  <c r="N56" i="27"/>
  <c r="G56" i="27"/>
  <c r="I56" i="27" s="1"/>
  <c r="K56" i="27" s="1"/>
  <c r="M56" i="27"/>
  <c r="M60" i="27"/>
  <c r="H60" i="27"/>
  <c r="J60" i="27" s="1"/>
  <c r="L60" i="27" s="1"/>
  <c r="G64" i="27"/>
  <c r="I64" i="27" s="1"/>
  <c r="K64" i="27" s="1"/>
  <c r="N64" i="27"/>
  <c r="G70" i="27"/>
  <c r="I70" i="27" s="1"/>
  <c r="K70" i="27" s="1"/>
  <c r="H70" i="27"/>
  <c r="J70" i="27" s="1"/>
  <c r="L70" i="27" s="1"/>
  <c r="J85" i="86"/>
  <c r="F117" i="4"/>
  <c r="F125" i="4"/>
  <c r="J6" i="86"/>
  <c r="J39" i="86"/>
  <c r="J40" i="86"/>
  <c r="J81" i="86"/>
  <c r="J114" i="86"/>
  <c r="M25" i="27"/>
  <c r="H26" i="27"/>
  <c r="J26" i="27" s="1"/>
  <c r="L26" i="27" s="1"/>
  <c r="N27" i="27"/>
  <c r="H28" i="27"/>
  <c r="J28" i="27" s="1"/>
  <c r="L28" i="27" s="1"/>
  <c r="N31" i="27"/>
  <c r="N33" i="27"/>
  <c r="N35" i="27"/>
  <c r="N37" i="27"/>
  <c r="M41" i="27"/>
  <c r="G44" i="27"/>
  <c r="I44" i="27" s="1"/>
  <c r="K44" i="27" s="1"/>
  <c r="N46" i="27"/>
  <c r="M48" i="27"/>
  <c r="H49" i="27"/>
  <c r="J49" i="27" s="1"/>
  <c r="L49" i="27" s="1"/>
  <c r="M52" i="27"/>
  <c r="N54" i="27"/>
  <c r="H57" i="27"/>
  <c r="J57" i="27" s="1"/>
  <c r="L57" i="27" s="1"/>
  <c r="N58" i="27"/>
  <c r="N60" i="27"/>
  <c r="H61" i="27"/>
  <c r="J61" i="27" s="1"/>
  <c r="L61" i="27" s="1"/>
  <c r="H63" i="27"/>
  <c r="J63" i="27" s="1"/>
  <c r="L63" i="27" s="1"/>
  <c r="G65" i="27"/>
  <c r="I65" i="27" s="1"/>
  <c r="K65" i="27" s="1"/>
  <c r="N66" i="27"/>
  <c r="H67" i="27"/>
  <c r="J67" i="27" s="1"/>
  <c r="L67" i="27" s="1"/>
  <c r="H69" i="27"/>
  <c r="J69" i="27" s="1"/>
  <c r="L69" i="27" s="1"/>
  <c r="N72" i="27"/>
  <c r="N74" i="27"/>
  <c r="G77" i="27"/>
  <c r="I77" i="27" s="1"/>
  <c r="K77" i="27" s="1"/>
  <c r="G81" i="27"/>
  <c r="I81" i="27" s="1"/>
  <c r="K81" i="27" s="1"/>
  <c r="G83" i="27"/>
  <c r="I83" i="27" s="1"/>
  <c r="K83" i="27" s="1"/>
  <c r="G86" i="27"/>
  <c r="I86" i="27" s="1"/>
  <c r="K86" i="27" s="1"/>
  <c r="G87" i="27"/>
  <c r="I87" i="27" s="1"/>
  <c r="K87" i="27" s="1"/>
  <c r="M88" i="27"/>
  <c r="H89" i="27"/>
  <c r="J89" i="27" s="1"/>
  <c r="L89" i="27" s="1"/>
  <c r="H95" i="27"/>
  <c r="J95" i="27" s="1"/>
  <c r="L95" i="27" s="1"/>
  <c r="G99" i="27"/>
  <c r="I99" i="27" s="1"/>
  <c r="K99" i="27" s="1"/>
  <c r="G101" i="27"/>
  <c r="I101" i="27" s="1"/>
  <c r="K101" i="27" s="1"/>
  <c r="G227" i="4"/>
  <c r="G228" i="4"/>
  <c r="G234" i="4"/>
  <c r="G237" i="4"/>
  <c r="G239" i="4"/>
  <c r="F145" i="4"/>
  <c r="N31" i="86"/>
  <c r="O31" i="86" s="1"/>
  <c r="Q31" i="86" s="1"/>
  <c r="S31" i="86" s="1"/>
  <c r="N32" i="86"/>
  <c r="O32" i="86" s="1"/>
  <c r="Q32" i="86" s="1"/>
  <c r="S32" i="86" s="1"/>
  <c r="J43" i="86"/>
  <c r="J63" i="86"/>
  <c r="J67" i="86"/>
  <c r="J68" i="86"/>
  <c r="J71" i="86"/>
  <c r="J78" i="86"/>
  <c r="J79" i="86"/>
  <c r="J36" i="86"/>
  <c r="N77" i="86"/>
  <c r="O77" i="86" s="1"/>
  <c r="Q77" i="86" s="1"/>
  <c r="S77" i="86" s="1"/>
  <c r="J88" i="86"/>
  <c r="N90" i="86"/>
  <c r="O90" i="86" s="1"/>
  <c r="P90" i="86" s="1"/>
  <c r="R90" i="86" s="1"/>
  <c r="N99" i="86"/>
  <c r="O99" i="86" s="1"/>
  <c r="P99" i="86" s="1"/>
  <c r="R99" i="86" s="1"/>
  <c r="J105" i="86"/>
  <c r="E15" i="54"/>
  <c r="E27" i="54"/>
  <c r="E30" i="54"/>
  <c r="E31" i="54"/>
  <c r="E35" i="54"/>
  <c r="I35" i="54" s="1"/>
  <c r="H5" i="12"/>
  <c r="U5" i="12" s="1"/>
  <c r="V5" i="12" s="1"/>
  <c r="B135" i="1"/>
  <c r="B136" i="1" s="1"/>
  <c r="H25" i="12"/>
  <c r="U25" i="12" s="1"/>
  <c r="V25" i="12" s="1"/>
  <c r="H4" i="12"/>
  <c r="U4" i="12" s="1"/>
  <c r="V4" i="12" s="1"/>
  <c r="B96" i="12"/>
  <c r="D96" i="12" s="1"/>
  <c r="AA39" i="1"/>
  <c r="B99" i="12"/>
  <c r="D99" i="12" s="1"/>
  <c r="B107" i="12"/>
  <c r="D107" i="12" s="1"/>
  <c r="D74" i="12"/>
  <c r="E74" i="12" s="1"/>
  <c r="H74" i="12" s="1"/>
  <c r="O51" i="12"/>
  <c r="B67" i="4" s="1"/>
  <c r="O46" i="12"/>
  <c r="B62" i="4" s="1"/>
  <c r="G66" i="12"/>
  <c r="L11" i="4"/>
  <c r="G65" i="12"/>
  <c r="O35" i="12"/>
  <c r="N35" i="12" s="1"/>
  <c r="O40" i="12"/>
  <c r="B35" i="4" s="1"/>
  <c r="C23" i="4"/>
  <c r="E69" i="12"/>
  <c r="H69" i="12" s="1"/>
  <c r="B70" i="12"/>
  <c r="B102" i="12"/>
  <c r="D102" i="12" s="1"/>
  <c r="C71" i="64"/>
  <c r="D71" i="64" s="1"/>
  <c r="F115" i="86"/>
  <c r="L22" i="86"/>
  <c r="M22" i="86" s="1"/>
  <c r="N22" i="86" s="1"/>
  <c r="O22" i="86" s="1"/>
  <c r="J22" i="86"/>
  <c r="L103" i="86"/>
  <c r="M103" i="86" s="1"/>
  <c r="N103" i="86" s="1"/>
  <c r="O103" i="86" s="1"/>
  <c r="J103" i="86"/>
  <c r="D8" i="64"/>
  <c r="M9" i="64" s="1"/>
  <c r="E29" i="4"/>
  <c r="F4" i="54"/>
  <c r="L4" i="54" s="1"/>
  <c r="M4" i="54" s="1"/>
  <c r="P4" i="54"/>
  <c r="C171" i="4"/>
  <c r="C175" i="4"/>
  <c r="C50" i="4"/>
  <c r="E50" i="4" s="1"/>
  <c r="E64" i="4" s="1"/>
  <c r="C54" i="4"/>
  <c r="E54" i="4" s="1"/>
  <c r="E68" i="4" s="1"/>
  <c r="G236" i="4"/>
  <c r="G224" i="4"/>
  <c r="N78" i="86"/>
  <c r="O78" i="86" s="1"/>
  <c r="P78" i="86" s="1"/>
  <c r="R78" i="86" s="1"/>
  <c r="N23" i="27"/>
  <c r="M23" i="27"/>
  <c r="G38" i="27"/>
  <c r="I38" i="27" s="1"/>
  <c r="K38" i="27" s="1"/>
  <c r="H38" i="27"/>
  <c r="J38" i="27" s="1"/>
  <c r="L38" i="27" s="1"/>
  <c r="G29" i="27"/>
  <c r="I29" i="27" s="1"/>
  <c r="K29" i="27" s="1"/>
  <c r="G49" i="27"/>
  <c r="I49" i="27" s="1"/>
  <c r="K49" i="27" s="1"/>
  <c r="G61" i="27"/>
  <c r="I61" i="27" s="1"/>
  <c r="K61" i="27" s="1"/>
  <c r="H65" i="27"/>
  <c r="J65" i="27" s="1"/>
  <c r="L65" i="27" s="1"/>
  <c r="H99" i="27"/>
  <c r="J99" i="27" s="1"/>
  <c r="L99" i="27" s="1"/>
  <c r="H101" i="27"/>
  <c r="J101" i="27" s="1"/>
  <c r="L101" i="27" s="1"/>
  <c r="M66" i="27"/>
  <c r="D84" i="4"/>
  <c r="M35" i="27"/>
  <c r="M54" i="27"/>
  <c r="G235" i="4"/>
  <c r="M31" i="27"/>
  <c r="N74" i="86"/>
  <c r="O74" i="86" s="1"/>
  <c r="P74" i="86" s="1"/>
  <c r="R74" i="86" s="1"/>
  <c r="N105" i="86"/>
  <c r="O105" i="86" s="1"/>
  <c r="Q105" i="86" s="1"/>
  <c r="S105" i="86" s="1"/>
  <c r="G36" i="27"/>
  <c r="I36" i="27" s="1"/>
  <c r="K36" i="27" s="1"/>
  <c r="M44" i="27"/>
  <c r="N44" i="27"/>
  <c r="H77" i="27"/>
  <c r="J77" i="27" s="1"/>
  <c r="L77" i="27" s="1"/>
  <c r="N83" i="27"/>
  <c r="M83" i="27"/>
  <c r="G231" i="4"/>
  <c r="M62" i="27"/>
  <c r="N62" i="27"/>
  <c r="N80" i="27"/>
  <c r="M80" i="27"/>
  <c r="G190" i="4"/>
  <c r="G95" i="27"/>
  <c r="I95" i="27" s="1"/>
  <c r="K95" i="27" s="1"/>
  <c r="F133" i="4"/>
  <c r="G221" i="4"/>
  <c r="F132" i="4"/>
  <c r="M46" i="27"/>
  <c r="N48" i="27"/>
  <c r="N49" i="86"/>
  <c r="O49" i="86" s="1"/>
  <c r="P49" i="86" s="1"/>
  <c r="R49" i="86" s="1"/>
  <c r="J94" i="86"/>
  <c r="V44" i="54"/>
  <c r="E7" i="54"/>
  <c r="V48" i="54"/>
  <c r="E26" i="54"/>
  <c r="F26" i="54" s="1"/>
  <c r="C170" i="4"/>
  <c r="C174" i="4"/>
  <c r="G187" i="4"/>
  <c r="J17" i="86"/>
  <c r="N21" i="86"/>
  <c r="O21" i="86" s="1"/>
  <c r="Q21" i="86" s="1"/>
  <c r="S21" i="86" s="1"/>
  <c r="J37" i="86"/>
  <c r="J72" i="86"/>
  <c r="J75" i="86"/>
  <c r="G68" i="27"/>
  <c r="I68" i="27" s="1"/>
  <c r="K68" i="27" s="1"/>
  <c r="G161" i="4"/>
  <c r="G169" i="4"/>
  <c r="E5" i="54"/>
  <c r="I5" i="54" s="1"/>
  <c r="V45" i="54"/>
  <c r="F137" i="4"/>
  <c r="F129" i="4"/>
  <c r="G226" i="4"/>
  <c r="N9" i="86"/>
  <c r="O9" i="86" s="1"/>
  <c r="P9" i="86" s="1"/>
  <c r="R9" i="86" s="1"/>
  <c r="N17" i="86"/>
  <c r="O17" i="86" s="1"/>
  <c r="P17" i="86" s="1"/>
  <c r="R17" i="86" s="1"/>
  <c r="N48" i="86"/>
  <c r="O48" i="86" s="1"/>
  <c r="Q48" i="86" s="1"/>
  <c r="S48" i="86" s="1"/>
  <c r="J49" i="86"/>
  <c r="J53" i="86"/>
  <c r="J56" i="86"/>
  <c r="N71" i="86"/>
  <c r="O71" i="86" s="1"/>
  <c r="P71" i="86" s="1"/>
  <c r="R71" i="86" s="1"/>
  <c r="N81" i="86"/>
  <c r="O81" i="86" s="1"/>
  <c r="P81" i="86" s="1"/>
  <c r="R81" i="86" s="1"/>
  <c r="J83" i="86"/>
  <c r="J87" i="86"/>
  <c r="J89" i="86"/>
  <c r="J90" i="86"/>
  <c r="J93" i="86"/>
  <c r="J95" i="86"/>
  <c r="J99" i="86"/>
  <c r="N101" i="86"/>
  <c r="O101" i="86" s="1"/>
  <c r="Q101" i="86" s="1"/>
  <c r="S101" i="86" s="1"/>
  <c r="J106" i="86"/>
  <c r="J110" i="86"/>
  <c r="N112" i="86"/>
  <c r="O112" i="86" s="1"/>
  <c r="Q112" i="86" s="1"/>
  <c r="S112" i="86" s="1"/>
  <c r="N25" i="27"/>
  <c r="M37" i="27"/>
  <c r="N96" i="27"/>
  <c r="G157" i="4"/>
  <c r="G158" i="4"/>
  <c r="G156" i="4"/>
  <c r="N40" i="86"/>
  <c r="O40" i="86" s="1"/>
  <c r="P40" i="86" s="1"/>
  <c r="R40" i="86" s="1"/>
  <c r="N84" i="86"/>
  <c r="O84" i="86" s="1"/>
  <c r="P84" i="86" s="1"/>
  <c r="R84" i="86" s="1"/>
  <c r="N96" i="86"/>
  <c r="O96" i="86" s="1"/>
  <c r="P96" i="86" s="1"/>
  <c r="R96" i="86" s="1"/>
  <c r="I4" i="54"/>
  <c r="F130" i="4"/>
  <c r="G160" i="4"/>
  <c r="N7" i="86"/>
  <c r="O7" i="86" s="1"/>
  <c r="N8" i="86"/>
  <c r="O8" i="86" s="1"/>
  <c r="Q8" i="86" s="1"/>
  <c r="S8" i="86" s="1"/>
  <c r="N64" i="86"/>
  <c r="O64" i="86" s="1"/>
  <c r="P64" i="86" s="1"/>
  <c r="R64" i="86" s="1"/>
  <c r="F138" i="4"/>
  <c r="N16" i="86"/>
  <c r="O16" i="86" s="1"/>
  <c r="P16" i="86" s="1"/>
  <c r="R16" i="86" s="1"/>
  <c r="N36" i="86"/>
  <c r="O36" i="86" s="1"/>
  <c r="N43" i="86"/>
  <c r="O43" i="86" s="1"/>
  <c r="Q43" i="86" s="1"/>
  <c r="S43" i="86" s="1"/>
  <c r="N63" i="86"/>
  <c r="O63" i="86" s="1"/>
  <c r="N69" i="86"/>
  <c r="O69" i="86" s="1"/>
  <c r="G177" i="4"/>
  <c r="G180" i="4"/>
  <c r="G181" i="4"/>
  <c r="G189" i="4"/>
  <c r="G193" i="4"/>
  <c r="G194" i="4"/>
  <c r="G195" i="4"/>
  <c r="G201" i="4"/>
  <c r="G204" i="4"/>
  <c r="G206" i="4"/>
  <c r="G208" i="4"/>
  <c r="E3" i="54"/>
  <c r="E53" i="54"/>
  <c r="G167" i="4"/>
  <c r="N84" i="27"/>
  <c r="M84" i="27"/>
  <c r="N88" i="27"/>
  <c r="G88" i="27"/>
  <c r="I88" i="27" s="1"/>
  <c r="K88" i="27" s="1"/>
  <c r="M90" i="27"/>
  <c r="H90" i="27"/>
  <c r="J90" i="27" s="1"/>
  <c r="L90" i="27" s="1"/>
  <c r="N90" i="27"/>
  <c r="G90" i="27"/>
  <c r="I90" i="27" s="1"/>
  <c r="K90" i="27" s="1"/>
  <c r="M92" i="27"/>
  <c r="H92" i="27"/>
  <c r="J92" i="27" s="1"/>
  <c r="L92" i="27" s="1"/>
  <c r="G92" i="27"/>
  <c r="I92" i="27" s="1"/>
  <c r="K92" i="27" s="1"/>
  <c r="N94" i="27"/>
  <c r="H94" i="27"/>
  <c r="J94" i="27" s="1"/>
  <c r="L94" i="27" s="1"/>
  <c r="G100" i="27"/>
  <c r="I100" i="27" s="1"/>
  <c r="K100" i="27" s="1"/>
  <c r="N100" i="27"/>
  <c r="H100" i="27"/>
  <c r="J100" i="27" s="1"/>
  <c r="L100" i="27" s="1"/>
  <c r="E6" i="54"/>
  <c r="I6" i="54" s="1"/>
  <c r="V43" i="54"/>
  <c r="H96" i="27"/>
  <c r="J96" i="27" s="1"/>
  <c r="L96" i="27" s="1"/>
  <c r="G191" i="4"/>
  <c r="G217" i="4"/>
  <c r="G216" i="4"/>
  <c r="N98" i="27"/>
  <c r="N92" i="27"/>
  <c r="N47" i="86"/>
  <c r="O47" i="86" s="1"/>
  <c r="L15" i="86"/>
  <c r="M15" i="86" s="1"/>
  <c r="N15" i="86" s="1"/>
  <c r="O15" i="86" s="1"/>
  <c r="P15" i="86" s="1"/>
  <c r="R15" i="86" s="1"/>
  <c r="J15" i="86"/>
  <c r="G238" i="4"/>
  <c r="N98" i="86"/>
  <c r="O98" i="86" s="1"/>
  <c r="Q98" i="86" s="1"/>
  <c r="S98" i="86" s="1"/>
  <c r="H50" i="4"/>
  <c r="I50" i="4" s="1"/>
  <c r="G188" i="4"/>
  <c r="F144" i="4"/>
  <c r="G225" i="4"/>
  <c r="F120" i="4"/>
  <c r="G232" i="4"/>
  <c r="G168" i="4"/>
  <c r="M22" i="27"/>
  <c r="G22" i="27"/>
  <c r="I22" i="27" s="1"/>
  <c r="K22" i="27" s="1"/>
  <c r="N24" i="27"/>
  <c r="G24" i="27"/>
  <c r="I24" i="27" s="1"/>
  <c r="K24" i="27" s="1"/>
  <c r="M24" i="27"/>
  <c r="H24" i="27"/>
  <c r="J24" i="27" s="1"/>
  <c r="L24" i="27" s="1"/>
  <c r="G26" i="27"/>
  <c r="I26" i="27" s="1"/>
  <c r="K26" i="27" s="1"/>
  <c r="M26" i="27"/>
  <c r="M28" i="27"/>
  <c r="N28" i="27"/>
  <c r="G28" i="27"/>
  <c r="I28" i="27" s="1"/>
  <c r="K28" i="27" s="1"/>
  <c r="M32" i="27"/>
  <c r="N32" i="27"/>
  <c r="N40" i="27"/>
  <c r="M40" i="27"/>
  <c r="G40" i="27"/>
  <c r="I40" i="27" s="1"/>
  <c r="K40" i="27" s="1"/>
  <c r="H40" i="27"/>
  <c r="J40" i="27" s="1"/>
  <c r="L40" i="27" s="1"/>
  <c r="M42" i="27"/>
  <c r="N42" i="27"/>
  <c r="G42" i="27"/>
  <c r="I42" i="27" s="1"/>
  <c r="K42" i="27" s="1"/>
  <c r="N51" i="27"/>
  <c r="H51" i="27"/>
  <c r="J51" i="27" s="1"/>
  <c r="L51" i="27" s="1"/>
  <c r="G51" i="27"/>
  <c r="I51" i="27" s="1"/>
  <c r="K51" i="27" s="1"/>
  <c r="N53" i="27"/>
  <c r="H53" i="27"/>
  <c r="J53" i="27" s="1"/>
  <c r="L53" i="27" s="1"/>
  <c r="N59" i="27"/>
  <c r="M59" i="27"/>
  <c r="M67" i="27"/>
  <c r="G67" i="27"/>
  <c r="I67" i="27" s="1"/>
  <c r="K67" i="27" s="1"/>
  <c r="N69" i="27"/>
  <c r="G69" i="27"/>
  <c r="I69" i="27" s="1"/>
  <c r="K69" i="27" s="1"/>
  <c r="N71" i="27"/>
  <c r="G71" i="27"/>
  <c r="I71" i="27" s="1"/>
  <c r="K71" i="27" s="1"/>
  <c r="M71" i="27"/>
  <c r="N73" i="27"/>
  <c r="M73" i="27"/>
  <c r="N75" i="27"/>
  <c r="M75" i="27"/>
  <c r="H75" i="27"/>
  <c r="J75" i="27" s="1"/>
  <c r="L75" i="27" s="1"/>
  <c r="H79" i="27"/>
  <c r="J79" i="27" s="1"/>
  <c r="L79" i="27" s="1"/>
  <c r="M79" i="27"/>
  <c r="F141" i="4"/>
  <c r="G211" i="4"/>
  <c r="F142" i="4"/>
  <c r="F127" i="4"/>
  <c r="G243" i="4"/>
  <c r="G233" i="4"/>
  <c r="G222" i="4"/>
  <c r="G197" i="4"/>
  <c r="F128" i="4"/>
  <c r="J62" i="86"/>
  <c r="N65" i="86"/>
  <c r="O65" i="86" s="1"/>
  <c r="J69" i="86"/>
  <c r="G241" i="4"/>
  <c r="G220" i="4"/>
  <c r="G176" i="4"/>
  <c r="J42" i="86"/>
  <c r="J96" i="86"/>
  <c r="J107" i="86"/>
  <c r="J109" i="86"/>
  <c r="N68" i="27"/>
  <c r="M68" i="27"/>
  <c r="G73" i="27"/>
  <c r="I73" i="27" s="1"/>
  <c r="K73" i="27" s="1"/>
  <c r="G75" i="27"/>
  <c r="I75" i="27" s="1"/>
  <c r="K75" i="27" s="1"/>
  <c r="N76" i="27"/>
  <c r="M76" i="27"/>
  <c r="G79" i="27"/>
  <c r="I79" i="27" s="1"/>
  <c r="K79" i="27" s="1"/>
  <c r="M82" i="27"/>
  <c r="G82" i="27"/>
  <c r="I82" i="27" s="1"/>
  <c r="K82" i="27" s="1"/>
  <c r="N86" i="27"/>
  <c r="M86" i="27"/>
  <c r="M94" i="27"/>
  <c r="M98" i="27"/>
  <c r="M100" i="27"/>
  <c r="D32" i="4"/>
  <c r="D20" i="4"/>
  <c r="D5" i="64"/>
  <c r="L23" i="64" s="1"/>
  <c r="G198" i="4"/>
  <c r="G178" i="4"/>
  <c r="J7" i="86"/>
  <c r="J11" i="86"/>
  <c r="J29" i="86"/>
  <c r="J33" i="86"/>
  <c r="J34" i="86"/>
  <c r="N41" i="86"/>
  <c r="O41" i="86" s="1"/>
  <c r="P41" i="86" s="1"/>
  <c r="R41" i="86" s="1"/>
  <c r="J50" i="86"/>
  <c r="J55" i="86"/>
  <c r="N70" i="86"/>
  <c r="O70" i="86" s="1"/>
  <c r="Q70" i="86" s="1"/>
  <c r="S70" i="86" s="1"/>
  <c r="J73" i="86"/>
  <c r="J80" i="86"/>
  <c r="J86" i="86"/>
  <c r="J113" i="86"/>
  <c r="N67" i="27"/>
  <c r="M69" i="27"/>
  <c r="N81" i="27"/>
  <c r="B92" i="4"/>
  <c r="F91" i="4" s="1"/>
  <c r="N14" i="86"/>
  <c r="O14" i="86" s="1"/>
  <c r="J23" i="86"/>
  <c r="J46" i="86"/>
  <c r="J47" i="86"/>
  <c r="N51" i="86"/>
  <c r="O51" i="86" s="1"/>
  <c r="P51" i="86" s="1"/>
  <c r="R51" i="86" s="1"/>
  <c r="N53" i="86"/>
  <c r="O53" i="86" s="1"/>
  <c r="N55" i="86"/>
  <c r="O55" i="86" s="1"/>
  <c r="Q55" i="86" s="1"/>
  <c r="S55" i="86" s="1"/>
  <c r="N56" i="86"/>
  <c r="O56" i="86" s="1"/>
  <c r="P56" i="86" s="1"/>
  <c r="R56" i="86" s="1"/>
  <c r="J58" i="86"/>
  <c r="J59" i="86"/>
  <c r="J64" i="86"/>
  <c r="N76" i="86"/>
  <c r="O76" i="86" s="1"/>
  <c r="P76" i="86" s="1"/>
  <c r="R76" i="86" s="1"/>
  <c r="N88" i="86"/>
  <c r="O88" i="86" s="1"/>
  <c r="P88" i="86" s="1"/>
  <c r="R88" i="86" s="1"/>
  <c r="N92" i="86"/>
  <c r="O92" i="86" s="1"/>
  <c r="J101" i="86"/>
  <c r="H22" i="27"/>
  <c r="J22" i="27" s="1"/>
  <c r="L22" i="27" s="1"/>
  <c r="G30" i="27"/>
  <c r="I30" i="27" s="1"/>
  <c r="K30" i="27" s="1"/>
  <c r="G59" i="27"/>
  <c r="I59" i="27" s="1"/>
  <c r="K59" i="27" s="1"/>
  <c r="M93" i="27"/>
  <c r="E56" i="54"/>
  <c r="F56" i="54" s="1"/>
  <c r="E60" i="54"/>
  <c r="F60" i="54" s="1"/>
  <c r="G60" i="54" s="1"/>
  <c r="H60" i="54" s="1"/>
  <c r="E62" i="54"/>
  <c r="I62" i="54" s="1"/>
  <c r="E64" i="54"/>
  <c r="P64" i="54" s="1"/>
  <c r="E67" i="54"/>
  <c r="P67" i="54" s="1"/>
  <c r="E70" i="54"/>
  <c r="P70" i="54" s="1"/>
  <c r="E71" i="54"/>
  <c r="P71" i="54" s="1"/>
  <c r="E73" i="54"/>
  <c r="E78" i="54"/>
  <c r="F78" i="54" s="1"/>
  <c r="G78" i="54" s="1"/>
  <c r="H78" i="54" s="1"/>
  <c r="E82" i="54"/>
  <c r="P82" i="54" s="1"/>
  <c r="E84" i="54"/>
  <c r="I84" i="54" s="1"/>
  <c r="E86" i="54"/>
  <c r="P86" i="54" s="1"/>
  <c r="E102" i="54"/>
  <c r="F102" i="54" s="1"/>
  <c r="G102" i="54" s="1"/>
  <c r="H102" i="54" s="1"/>
  <c r="E104" i="54"/>
  <c r="I104" i="54" s="1"/>
  <c r="E3" i="4"/>
  <c r="J22" i="26"/>
  <c r="O22" i="26" s="1"/>
  <c r="I22" i="26"/>
  <c r="G166" i="4"/>
  <c r="D97" i="12"/>
  <c r="E67" i="12"/>
  <c r="H67" i="12" s="1"/>
  <c r="O24" i="12"/>
  <c r="N24" i="12" s="1"/>
  <c r="C35" i="64"/>
  <c r="D35" i="64" s="1"/>
  <c r="O34" i="12"/>
  <c r="N34" i="12" s="1"/>
  <c r="I28" i="12"/>
  <c r="G78" i="12"/>
  <c r="B4" i="13"/>
  <c r="E4" i="13" s="1"/>
  <c r="O3" i="12"/>
  <c r="N3" i="12" s="1"/>
  <c r="B63" i="12"/>
  <c r="B68" i="12"/>
  <c r="E68" i="12" s="1"/>
  <c r="H68" i="12" s="1"/>
  <c r="H27" i="12"/>
  <c r="U27" i="12" s="1"/>
  <c r="V27" i="12" s="1"/>
  <c r="I29" i="12"/>
  <c r="H31" i="12"/>
  <c r="U31" i="12" s="1"/>
  <c r="V31" i="12" s="1"/>
  <c r="H35" i="12"/>
  <c r="U35" i="12" s="1"/>
  <c r="V35" i="12" s="1"/>
  <c r="E100" i="12"/>
  <c r="B101" i="12"/>
  <c r="D101" i="12" s="1"/>
  <c r="I51" i="12"/>
  <c r="E104" i="12" s="1"/>
  <c r="B108" i="12"/>
  <c r="D108" i="12" s="1"/>
  <c r="C36" i="64"/>
  <c r="D36" i="64" s="1"/>
  <c r="D100" i="12"/>
  <c r="E66" i="12"/>
  <c r="H66" i="12" s="1"/>
  <c r="E75" i="12"/>
  <c r="H75" i="12" s="1"/>
  <c r="C10" i="64"/>
  <c r="K26" i="64" s="1"/>
  <c r="E82" i="12"/>
  <c r="H82" i="12" s="1"/>
  <c r="D104" i="12"/>
  <c r="C72" i="64"/>
  <c r="D72" i="64" s="1"/>
  <c r="D63" i="64"/>
  <c r="O48" i="12"/>
  <c r="B64" i="4" s="1"/>
  <c r="B105" i="12"/>
  <c r="D105" i="12" s="1"/>
  <c r="B95" i="12"/>
  <c r="D95" i="12" s="1"/>
  <c r="B103" i="12"/>
  <c r="D103" i="12" s="1"/>
  <c r="O44" i="12"/>
  <c r="O50" i="12"/>
  <c r="B66" i="4" s="1"/>
  <c r="B79" i="12"/>
  <c r="B64" i="12"/>
  <c r="B71" i="12"/>
  <c r="O25" i="12"/>
  <c r="N25" i="12" s="1"/>
  <c r="C32" i="64"/>
  <c r="D32" i="64" s="1"/>
  <c r="B5" i="13"/>
  <c r="E5" i="13" s="1"/>
  <c r="C37" i="64"/>
  <c r="D37" i="64" s="1"/>
  <c r="O4" i="12"/>
  <c r="B20" i="4" s="1"/>
  <c r="G223" i="4"/>
  <c r="D16" i="64"/>
  <c r="M15" i="64" s="1"/>
  <c r="D34" i="4"/>
  <c r="D62" i="4"/>
  <c r="D25" i="4"/>
  <c r="D9" i="64"/>
  <c r="L41" i="64" s="1"/>
  <c r="G163" i="4"/>
  <c r="F122" i="4"/>
  <c r="G207" i="4"/>
  <c r="L20" i="86"/>
  <c r="M20" i="86" s="1"/>
  <c r="N20" i="86" s="1"/>
  <c r="O20" i="86" s="1"/>
  <c r="J20" i="86"/>
  <c r="J52" i="86"/>
  <c r="N95" i="86"/>
  <c r="O95" i="86" s="1"/>
  <c r="Q95" i="86" s="1"/>
  <c r="S95" i="86" s="1"/>
  <c r="S14" i="4"/>
  <c r="T14" i="4" s="1"/>
  <c r="V14" i="4" s="1"/>
  <c r="J32" i="86"/>
  <c r="F134" i="4"/>
  <c r="F131" i="4"/>
  <c r="G210" i="4"/>
  <c r="G205" i="4"/>
  <c r="L10" i="86"/>
  <c r="M10" i="86" s="1"/>
  <c r="N10" i="86" s="1"/>
  <c r="O10" i="86" s="1"/>
  <c r="J10" i="86"/>
  <c r="L28" i="86"/>
  <c r="M28" i="86" s="1"/>
  <c r="N28" i="86" s="1"/>
  <c r="O28" i="86" s="1"/>
  <c r="P28" i="86" s="1"/>
  <c r="R28" i="86" s="1"/>
  <c r="J28" i="86"/>
  <c r="L104" i="86"/>
  <c r="M104" i="86" s="1"/>
  <c r="N104" i="86" s="1"/>
  <c r="O104" i="86" s="1"/>
  <c r="J104" i="86"/>
  <c r="G93" i="27"/>
  <c r="I93" i="27" s="1"/>
  <c r="K93" i="27" s="1"/>
  <c r="H93" i="27"/>
  <c r="J93" i="27" s="1"/>
  <c r="L93" i="27" s="1"/>
  <c r="G97" i="27"/>
  <c r="I97" i="27" s="1"/>
  <c r="K97" i="27" s="1"/>
  <c r="H97" i="27"/>
  <c r="J97" i="27" s="1"/>
  <c r="L97" i="27" s="1"/>
  <c r="F147" i="4"/>
  <c r="F118" i="4"/>
  <c r="F139" i="4"/>
  <c r="F119" i="4"/>
  <c r="G164" i="4"/>
  <c r="G199" i="4"/>
  <c r="G165" i="4"/>
  <c r="G218" i="4"/>
  <c r="G159" i="4"/>
  <c r="G196" i="4"/>
  <c r="G192" i="4"/>
  <c r="G162" i="4"/>
  <c r="J9" i="86"/>
  <c r="J16" i="86"/>
  <c r="L30" i="86"/>
  <c r="M30" i="86" s="1"/>
  <c r="N30" i="86" s="1"/>
  <c r="O30" i="86" s="1"/>
  <c r="P30" i="86" s="1"/>
  <c r="R30" i="86" s="1"/>
  <c r="J48" i="86"/>
  <c r="F123" i="4"/>
  <c r="F135" i="4"/>
  <c r="G209" i="4"/>
  <c r="F124" i="4"/>
  <c r="G179" i="4"/>
  <c r="N87" i="86"/>
  <c r="O87" i="86" s="1"/>
  <c r="P87" i="86" s="1"/>
  <c r="R87" i="86" s="1"/>
  <c r="M63" i="27"/>
  <c r="N63" i="27"/>
  <c r="J25" i="86"/>
  <c r="J38" i="86"/>
  <c r="J45" i="86"/>
  <c r="N46" i="86"/>
  <c r="O46" i="86" s="1"/>
  <c r="P46" i="86" s="1"/>
  <c r="R46" i="86" s="1"/>
  <c r="J76" i="86"/>
  <c r="N83" i="86"/>
  <c r="O83" i="86" s="1"/>
  <c r="P83" i="86" s="1"/>
  <c r="R83" i="86" s="1"/>
  <c r="N97" i="86"/>
  <c r="O97" i="86" s="1"/>
  <c r="J112" i="86"/>
  <c r="M65" i="27"/>
  <c r="G85" i="27"/>
  <c r="I85" i="27" s="1"/>
  <c r="K85" i="27" s="1"/>
  <c r="H87" i="27"/>
  <c r="J87" i="27" s="1"/>
  <c r="L87" i="27" s="1"/>
  <c r="G91" i="27"/>
  <c r="I91" i="27" s="1"/>
  <c r="K91" i="27" s="1"/>
  <c r="P22" i="1"/>
  <c r="H10" i="115" s="1"/>
  <c r="J10" i="115" s="1"/>
  <c r="D5" i="4"/>
  <c r="C219" i="4"/>
  <c r="C173" i="4"/>
  <c r="D24" i="4"/>
  <c r="J21" i="86"/>
  <c r="N29" i="86"/>
  <c r="O29" i="86" s="1"/>
  <c r="P29" i="86" s="1"/>
  <c r="R29" i="86" s="1"/>
  <c r="N33" i="86"/>
  <c r="O33" i="86" s="1"/>
  <c r="Q33" i="86" s="1"/>
  <c r="S33" i="86" s="1"/>
  <c r="N34" i="86"/>
  <c r="O34" i="86" s="1"/>
  <c r="Q34" i="86" s="1"/>
  <c r="S34" i="86" s="1"/>
  <c r="N45" i="86"/>
  <c r="O45" i="86" s="1"/>
  <c r="Q45" i="86" s="1"/>
  <c r="S45" i="86" s="1"/>
  <c r="N50" i="86"/>
  <c r="O50" i="86" s="1"/>
  <c r="Q50" i="86" s="1"/>
  <c r="S50" i="86" s="1"/>
  <c r="N57" i="86"/>
  <c r="O57" i="86" s="1"/>
  <c r="P57" i="86" s="1"/>
  <c r="R57" i="86" s="1"/>
  <c r="N80" i="86"/>
  <c r="O80" i="86" s="1"/>
  <c r="Q80" i="86" s="1"/>
  <c r="S80" i="86" s="1"/>
  <c r="M29" i="27"/>
  <c r="N52" i="27"/>
  <c r="N70" i="27"/>
  <c r="N78" i="27"/>
  <c r="E10" i="54"/>
  <c r="P10" i="54" s="1"/>
  <c r="E20" i="54"/>
  <c r="E21" i="54"/>
  <c r="E22" i="54"/>
  <c r="J57" i="86"/>
  <c r="N58" i="86"/>
  <c r="O58" i="86" s="1"/>
  <c r="J61" i="86"/>
  <c r="N91" i="86"/>
  <c r="O91" i="86" s="1"/>
  <c r="J92" i="86"/>
  <c r="J98" i="86"/>
  <c r="N106" i="86"/>
  <c r="O106" i="86" s="1"/>
  <c r="N110" i="86"/>
  <c r="O110" i="86" s="1"/>
  <c r="N111" i="86"/>
  <c r="O111" i="86" s="1"/>
  <c r="J115" i="86"/>
  <c r="N26" i="27"/>
  <c r="G41" i="27"/>
  <c r="I41" i="27" s="1"/>
  <c r="K41" i="27" s="1"/>
  <c r="G46" i="27"/>
  <c r="I46" i="27" s="1"/>
  <c r="K46" i="27" s="1"/>
  <c r="G48" i="27"/>
  <c r="I48" i="27" s="1"/>
  <c r="K48" i="27" s="1"/>
  <c r="G52" i="27"/>
  <c r="I52" i="27" s="1"/>
  <c r="K52" i="27" s="1"/>
  <c r="G62" i="27"/>
  <c r="I62" i="27" s="1"/>
  <c r="K62" i="27" s="1"/>
  <c r="G94" i="27"/>
  <c r="I94" i="27" s="1"/>
  <c r="K94" i="27" s="1"/>
  <c r="G96" i="27"/>
  <c r="I96" i="27" s="1"/>
  <c r="K96" i="27" s="1"/>
  <c r="G98" i="27"/>
  <c r="I98" i="27" s="1"/>
  <c r="K98" i="27" s="1"/>
  <c r="E32" i="54"/>
  <c r="E36" i="54"/>
  <c r="F36" i="54" s="1"/>
  <c r="L36" i="54" s="1"/>
  <c r="E57" i="54"/>
  <c r="P57" i="54" s="1"/>
  <c r="E65" i="54"/>
  <c r="E66" i="54"/>
  <c r="E68" i="54"/>
  <c r="F68" i="54" s="1"/>
  <c r="G68" i="54" s="1"/>
  <c r="E69" i="54"/>
  <c r="F69" i="54" s="1"/>
  <c r="G69" i="54" s="1"/>
  <c r="H69" i="54" s="1"/>
  <c r="E76" i="54"/>
  <c r="E77" i="54"/>
  <c r="I77" i="54" s="1"/>
  <c r="E79" i="54"/>
  <c r="F79" i="54" s="1"/>
  <c r="G79" i="54" s="1"/>
  <c r="H79" i="54" s="1"/>
  <c r="E80" i="54"/>
  <c r="I80" i="54" s="1"/>
  <c r="E81" i="54"/>
  <c r="E83" i="54"/>
  <c r="E85" i="54"/>
  <c r="F85" i="54" s="1"/>
  <c r="G85" i="54" s="1"/>
  <c r="H85" i="54" s="1"/>
  <c r="E95" i="54"/>
  <c r="I95" i="54" s="1"/>
  <c r="E100" i="54"/>
  <c r="E105" i="54"/>
  <c r="J84" i="86"/>
  <c r="N77" i="27"/>
  <c r="G84" i="27"/>
  <c r="I84" i="27" s="1"/>
  <c r="K84" i="27" s="1"/>
  <c r="N97" i="27"/>
  <c r="B16" i="4"/>
  <c r="G72" i="27"/>
  <c r="I72" i="27" s="1"/>
  <c r="K72" i="27" s="1"/>
  <c r="H72" i="27"/>
  <c r="J72" i="27" s="1"/>
  <c r="L72" i="27" s="1"/>
  <c r="C84" i="4"/>
  <c r="B104" i="4"/>
  <c r="G31" i="27"/>
  <c r="I31" i="27" s="1"/>
  <c r="K31" i="27" s="1"/>
  <c r="N11" i="86"/>
  <c r="O11" i="86" s="1"/>
  <c r="N42" i="86"/>
  <c r="O42" i="86" s="1"/>
  <c r="P42" i="86" s="1"/>
  <c r="R42" i="86" s="1"/>
  <c r="N66" i="86"/>
  <c r="O66" i="86" s="1"/>
  <c r="N67" i="86"/>
  <c r="O67" i="86" s="1"/>
  <c r="N73" i="86"/>
  <c r="O73" i="86" s="1"/>
  <c r="G58" i="27"/>
  <c r="I58" i="27" s="1"/>
  <c r="K58" i="27" s="1"/>
  <c r="F121" i="4"/>
  <c r="N24" i="86"/>
  <c r="O24" i="86" s="1"/>
  <c r="P24" i="86" s="1"/>
  <c r="R24" i="86" s="1"/>
  <c r="N25" i="86"/>
  <c r="O25" i="86" s="1"/>
  <c r="P25" i="86" s="1"/>
  <c r="R25" i="86" s="1"/>
  <c r="N37" i="86"/>
  <c r="O37" i="86" s="1"/>
  <c r="N61" i="86"/>
  <c r="O61" i="86" s="1"/>
  <c r="P61" i="86" s="1"/>
  <c r="R61" i="86" s="1"/>
  <c r="N79" i="86"/>
  <c r="O79" i="86" s="1"/>
  <c r="Q79" i="86" s="1"/>
  <c r="S79" i="86" s="1"/>
  <c r="N82" i="86"/>
  <c r="O82" i="86" s="1"/>
  <c r="Q82" i="86" s="1"/>
  <c r="S82" i="86" s="1"/>
  <c r="N86" i="86"/>
  <c r="O86" i="86" s="1"/>
  <c r="P86" i="86" s="1"/>
  <c r="R86" i="86" s="1"/>
  <c r="N94" i="86"/>
  <c r="O94" i="86" s="1"/>
  <c r="Q94" i="86" s="1"/>
  <c r="S94" i="86" s="1"/>
  <c r="N115" i="86"/>
  <c r="O115" i="86" s="1"/>
  <c r="P115" i="86" s="1"/>
  <c r="R115" i="86" s="1"/>
  <c r="L60" i="86"/>
  <c r="M60" i="86" s="1"/>
  <c r="N60" i="86" s="1"/>
  <c r="O60" i="86" s="1"/>
  <c r="J60" i="86"/>
  <c r="F16" i="4"/>
  <c r="G15" i="4"/>
  <c r="E20" i="114" s="1"/>
  <c r="G48" i="4"/>
  <c r="E26" i="114" s="1"/>
  <c r="G240" i="4"/>
  <c r="F146" i="4"/>
  <c r="N6" i="86"/>
  <c r="O6" i="86" s="1"/>
  <c r="L13" i="86"/>
  <c r="M13" i="86" s="1"/>
  <c r="N13" i="86" s="1"/>
  <c r="O13" i="86" s="1"/>
  <c r="J13" i="86"/>
  <c r="L19" i="86"/>
  <c r="M19" i="86" s="1"/>
  <c r="N19" i="86" s="1"/>
  <c r="O19" i="86" s="1"/>
  <c r="J19" i="86"/>
  <c r="N44" i="86"/>
  <c r="O44" i="86" s="1"/>
  <c r="L54" i="86"/>
  <c r="M54" i="86" s="1"/>
  <c r="N54" i="86" s="1"/>
  <c r="O54" i="86" s="1"/>
  <c r="J54" i="86"/>
  <c r="G229" i="4"/>
  <c r="N23" i="86"/>
  <c r="O23" i="86" s="1"/>
  <c r="E24" i="54"/>
  <c r="F24" i="54" s="1"/>
  <c r="E98" i="54"/>
  <c r="J82" i="86"/>
  <c r="J100" i="86"/>
  <c r="N43" i="27"/>
  <c r="D28" i="4"/>
  <c r="G43" i="27"/>
  <c r="I43" i="27" s="1"/>
  <c r="K43" i="27" s="1"/>
  <c r="E11" i="54"/>
  <c r="P11" i="54" s="1"/>
  <c r="E18" i="54"/>
  <c r="V46" i="54"/>
  <c r="E61" i="54"/>
  <c r="I61" i="54" s="1"/>
  <c r="D27" i="4"/>
  <c r="M47" i="27"/>
  <c r="N47" i="27"/>
  <c r="N82" i="27"/>
  <c r="D6" i="64"/>
  <c r="E16" i="54"/>
  <c r="F16" i="54" s="1"/>
  <c r="E107" i="54"/>
  <c r="D33" i="4"/>
  <c r="D15" i="64"/>
  <c r="L47" i="64" s="1"/>
  <c r="E101" i="54"/>
  <c r="I101" i="54" s="1"/>
  <c r="E108" i="54"/>
  <c r="I108" i="54" s="1"/>
  <c r="D21" i="4"/>
  <c r="V50" i="54"/>
  <c r="D26" i="4"/>
  <c r="Y51" i="1"/>
  <c r="D230" i="4"/>
  <c r="G230" i="4" s="1"/>
  <c r="J43" i="64"/>
  <c r="H14" i="64"/>
  <c r="D215" i="4"/>
  <c r="G215" i="4" s="1"/>
  <c r="Y22" i="1"/>
  <c r="D242" i="4"/>
  <c r="G242" i="4" s="1"/>
  <c r="V96" i="1" l="1"/>
  <c r="V89" i="1"/>
  <c r="U36" i="12"/>
  <c r="V36" i="12" s="1"/>
  <c r="U33" i="12"/>
  <c r="V33" i="12" s="1"/>
  <c r="U17" i="12"/>
  <c r="V17" i="12" s="1"/>
  <c r="B42" i="13"/>
  <c r="E42" i="13" s="1"/>
  <c r="W84" i="29"/>
  <c r="X84" i="29" s="1"/>
  <c r="V66" i="29"/>
  <c r="V67" i="29"/>
  <c r="U66" i="29"/>
  <c r="U67" i="29"/>
  <c r="V28" i="1"/>
  <c r="V30" i="1" s="1"/>
  <c r="V74" i="29"/>
  <c r="V75" i="29"/>
  <c r="U74" i="29"/>
  <c r="U75" i="29"/>
  <c r="V49" i="29"/>
  <c r="V50" i="29"/>
  <c r="U49" i="29"/>
  <c r="U50" i="29"/>
  <c r="V84" i="29"/>
  <c r="V82" i="29"/>
  <c r="V83" i="29"/>
  <c r="U82" i="29"/>
  <c r="U83" i="29"/>
  <c r="Y84" i="29"/>
  <c r="Z84" i="29" s="1"/>
  <c r="U84" i="29"/>
  <c r="V41" i="29"/>
  <c r="V42" i="29"/>
  <c r="U41" i="29"/>
  <c r="U42" i="29"/>
  <c r="V47" i="1"/>
  <c r="V52" i="1" s="1"/>
  <c r="V17" i="1"/>
  <c r="V20" i="1" s="1"/>
  <c r="V72" i="1"/>
  <c r="V32" i="1"/>
  <c r="D10" i="114"/>
  <c r="P25" i="1"/>
  <c r="V92" i="1"/>
  <c r="V85" i="1"/>
  <c r="V87" i="1" s="1"/>
  <c r="V39" i="1"/>
  <c r="Y80" i="1"/>
  <c r="V80" i="1"/>
  <c r="V83" i="1" s="1"/>
  <c r="V9" i="1"/>
  <c r="V64" i="1"/>
  <c r="V121" i="29"/>
  <c r="B144" i="29"/>
  <c r="P54" i="54"/>
  <c r="N20" i="12"/>
  <c r="B25" i="4"/>
  <c r="L11" i="27"/>
  <c r="F52" i="54"/>
  <c r="L52" i="54" s="1"/>
  <c r="M52" i="54" s="1"/>
  <c r="L9" i="27"/>
  <c r="K11" i="27"/>
  <c r="K9" i="27"/>
  <c r="D163" i="103"/>
  <c r="D167" i="103"/>
  <c r="D168" i="103"/>
  <c r="D157" i="103"/>
  <c r="D160" i="103"/>
  <c r="D165" i="103"/>
  <c r="D161" i="103"/>
  <c r="D158" i="103"/>
  <c r="D162" i="103"/>
  <c r="D166" i="103"/>
  <c r="D156" i="103"/>
  <c r="B24" i="4"/>
  <c r="C24" i="4" s="1"/>
  <c r="D159" i="103"/>
  <c r="D164" i="103"/>
  <c r="Z22" i="1"/>
  <c r="X22" i="1"/>
  <c r="F29" i="4"/>
  <c r="G29" i="4" s="1"/>
  <c r="Z64" i="1"/>
  <c r="C21" i="4"/>
  <c r="C22" i="4"/>
  <c r="G16" i="4"/>
  <c r="F55" i="54"/>
  <c r="L55" i="54" s="1"/>
  <c r="M55" i="54" s="1"/>
  <c r="I55" i="54"/>
  <c r="B79" i="13"/>
  <c r="E79" i="13" s="1"/>
  <c r="B63" i="13"/>
  <c r="E63" i="13" s="1"/>
  <c r="F67" i="86"/>
  <c r="Y65" i="1"/>
  <c r="Y64" i="1"/>
  <c r="Y72" i="1"/>
  <c r="Y28" i="1"/>
  <c r="Y43" i="1"/>
  <c r="Y36" i="1"/>
  <c r="Y47" i="1"/>
  <c r="I54" i="54"/>
  <c r="G54" i="54"/>
  <c r="H54" i="54" s="1"/>
  <c r="N54" i="54" s="1"/>
  <c r="O54" i="54" s="1"/>
  <c r="P52" i="54"/>
  <c r="K23" i="96"/>
  <c r="L23" i="96" s="1"/>
  <c r="K18" i="92"/>
  <c r="L18" i="92" s="1"/>
  <c r="AA64" i="1"/>
  <c r="AA22" i="1"/>
  <c r="K20" i="96"/>
  <c r="L20" i="96" s="1"/>
  <c r="K20" i="92"/>
  <c r="L20" i="92" s="1"/>
  <c r="K21" i="96"/>
  <c r="L21" i="96" s="1"/>
  <c r="V55" i="29"/>
  <c r="V89" i="29"/>
  <c r="E17" i="32"/>
  <c r="E15" i="32"/>
  <c r="E36" i="32"/>
  <c r="E3" i="32"/>
  <c r="E9" i="32"/>
  <c r="N27" i="26"/>
  <c r="E30" i="32"/>
  <c r="E34" i="32"/>
  <c r="E29" i="32"/>
  <c r="E19" i="32"/>
  <c r="E7" i="32"/>
  <c r="E27" i="32"/>
  <c r="W112" i="29"/>
  <c r="X112" i="29" s="1"/>
  <c r="K22" i="95"/>
  <c r="L22" i="95" s="1"/>
  <c r="J23" i="95"/>
  <c r="K23" i="95" s="1"/>
  <c r="L23" i="95" s="1"/>
  <c r="J21" i="95"/>
  <c r="K21" i="95" s="1"/>
  <c r="L21" i="95" s="1"/>
  <c r="N45" i="12"/>
  <c r="F61" i="4"/>
  <c r="W102" i="29"/>
  <c r="X102" i="29" s="1"/>
  <c r="W119" i="29"/>
  <c r="X119" i="29" s="1"/>
  <c r="W26" i="29"/>
  <c r="X26" i="29" s="1"/>
  <c r="W19" i="29"/>
  <c r="X19" i="29" s="1"/>
  <c r="W114" i="29"/>
  <c r="X114" i="29" s="1"/>
  <c r="W34" i="29"/>
  <c r="X34" i="29" s="1"/>
  <c r="K20" i="95"/>
  <c r="L20" i="95" s="1"/>
  <c r="U105" i="29"/>
  <c r="V20" i="29"/>
  <c r="W65" i="29"/>
  <c r="W52" i="29"/>
  <c r="X52" i="29" s="1"/>
  <c r="V11" i="29"/>
  <c r="V110" i="29"/>
  <c r="V14" i="29"/>
  <c r="W64" i="29"/>
  <c r="K19" i="95"/>
  <c r="L19" i="95" s="1"/>
  <c r="E36" i="26"/>
  <c r="D45" i="26" s="1"/>
  <c r="N33" i="26"/>
  <c r="W37" i="29"/>
  <c r="X37" i="29" s="1"/>
  <c r="W98" i="29"/>
  <c r="X98" i="29" s="1"/>
  <c r="W111" i="29"/>
  <c r="X111" i="29" s="1"/>
  <c r="W62" i="29"/>
  <c r="W27" i="29"/>
  <c r="X27" i="29" s="1"/>
  <c r="W113" i="29"/>
  <c r="X113" i="29" s="1"/>
  <c r="W18" i="29"/>
  <c r="X18" i="29" s="1"/>
  <c r="W108" i="29"/>
  <c r="X108" i="29" s="1"/>
  <c r="W89" i="29"/>
  <c r="X89" i="29" s="1"/>
  <c r="W109" i="29"/>
  <c r="X109" i="29" s="1"/>
  <c r="W57" i="29"/>
  <c r="X57" i="29" s="1"/>
  <c r="W47" i="29"/>
  <c r="X47" i="29" s="1"/>
  <c r="W105" i="29"/>
  <c r="X105" i="29" s="1"/>
  <c r="W63" i="29"/>
  <c r="W79" i="29"/>
  <c r="X79" i="29" s="1"/>
  <c r="W29" i="29"/>
  <c r="X29" i="29" s="1"/>
  <c r="W61" i="29"/>
  <c r="W87" i="29"/>
  <c r="X87" i="29" s="1"/>
  <c r="W24" i="29"/>
  <c r="X24" i="29" s="1"/>
  <c r="W53" i="29"/>
  <c r="X53" i="29" s="1"/>
  <c r="W60" i="29"/>
  <c r="W85" i="29"/>
  <c r="X85" i="29" s="1"/>
  <c r="W110" i="29"/>
  <c r="X110" i="29" s="1"/>
  <c r="W45" i="29"/>
  <c r="X45" i="29" s="1"/>
  <c r="W68" i="29"/>
  <c r="X68" i="29" s="1"/>
  <c r="W95" i="29"/>
  <c r="X95" i="29" s="1"/>
  <c r="W59" i="29"/>
  <c r="X59" i="29" s="1"/>
  <c r="B115" i="26"/>
  <c r="O25" i="26"/>
  <c r="D115" i="26" s="1"/>
  <c r="B114" i="26"/>
  <c r="P68" i="26"/>
  <c r="O26" i="26"/>
  <c r="O24" i="26"/>
  <c r="E4" i="32"/>
  <c r="O71" i="26"/>
  <c r="O34" i="26"/>
  <c r="O76" i="26"/>
  <c r="O40" i="26"/>
  <c r="O35" i="26"/>
  <c r="O73" i="26"/>
  <c r="O78" i="26"/>
  <c r="E47" i="32"/>
  <c r="D73" i="32" s="1"/>
  <c r="E52" i="32"/>
  <c r="E60" i="32"/>
  <c r="E59" i="32"/>
  <c r="O72" i="26"/>
  <c r="O69" i="26"/>
  <c r="E67" i="32"/>
  <c r="O70" i="26"/>
  <c r="E69" i="32"/>
  <c r="P80" i="26"/>
  <c r="D87" i="26"/>
  <c r="O23" i="26"/>
  <c r="I36" i="26"/>
  <c r="G45" i="26" s="1"/>
  <c r="E70" i="32"/>
  <c r="E51" i="32"/>
  <c r="P70" i="26"/>
  <c r="E61" i="32"/>
  <c r="P76" i="26"/>
  <c r="E65" i="32"/>
  <c r="P78" i="26"/>
  <c r="E57" i="32"/>
  <c r="P73" i="26"/>
  <c r="O28" i="26"/>
  <c r="E62" i="32"/>
  <c r="E58" i="32"/>
  <c r="E53" i="32"/>
  <c r="P71" i="26"/>
  <c r="E55" i="32"/>
  <c r="P72" i="26"/>
  <c r="E49" i="32"/>
  <c r="P69" i="26"/>
  <c r="O80" i="26"/>
  <c r="W55" i="29"/>
  <c r="X55" i="29" s="1"/>
  <c r="W22" i="29"/>
  <c r="X22" i="29" s="1"/>
  <c r="W58" i="29"/>
  <c r="X58" i="29" s="1"/>
  <c r="W90" i="29"/>
  <c r="X90" i="29" s="1"/>
  <c r="C44" i="32"/>
  <c r="B44" i="32"/>
  <c r="F68" i="4"/>
  <c r="V46" i="29"/>
  <c r="V101" i="29"/>
  <c r="L144" i="29"/>
  <c r="L145" i="29" s="1"/>
  <c r="V79" i="29"/>
  <c r="V25" i="29"/>
  <c r="V26" i="29"/>
  <c r="V87" i="29"/>
  <c r="W13" i="29"/>
  <c r="X13" i="29" s="1"/>
  <c r="W17" i="29"/>
  <c r="X17" i="29" s="1"/>
  <c r="W44" i="29"/>
  <c r="X44" i="29" s="1"/>
  <c r="W15" i="29"/>
  <c r="X15" i="29" s="1"/>
  <c r="W20" i="29"/>
  <c r="X20" i="29" s="1"/>
  <c r="W73" i="29"/>
  <c r="X73" i="29" s="1"/>
  <c r="W72" i="29"/>
  <c r="X72" i="29" s="1"/>
  <c r="W120" i="29"/>
  <c r="X120" i="29" s="1"/>
  <c r="W122" i="29"/>
  <c r="X122" i="29" s="1"/>
  <c r="W54" i="29"/>
  <c r="X54" i="29" s="1"/>
  <c r="V68" i="29"/>
  <c r="V18" i="29"/>
  <c r="V76" i="29"/>
  <c r="V104" i="29"/>
  <c r="V56" i="29"/>
  <c r="V52" i="29"/>
  <c r="W69" i="29"/>
  <c r="X69" i="29" s="1"/>
  <c r="W121" i="29"/>
  <c r="X121" i="29" s="1"/>
  <c r="W71" i="29"/>
  <c r="X71" i="29" s="1"/>
  <c r="W104" i="29"/>
  <c r="X104" i="29" s="1"/>
  <c r="W56" i="29"/>
  <c r="X56" i="29" s="1"/>
  <c r="W35" i="29"/>
  <c r="X35" i="29" s="1"/>
  <c r="V97" i="29"/>
  <c r="V78" i="29"/>
  <c r="V119" i="29"/>
  <c r="V30" i="29"/>
  <c r="V23" i="29"/>
  <c r="W43" i="29"/>
  <c r="X43" i="29" s="1"/>
  <c r="W16" i="29"/>
  <c r="X16" i="29" s="1"/>
  <c r="W14" i="29"/>
  <c r="X14" i="29" s="1"/>
  <c r="W103" i="29"/>
  <c r="X103" i="29" s="1"/>
  <c r="W70" i="29"/>
  <c r="X70" i="29" s="1"/>
  <c r="W28" i="29"/>
  <c r="X28" i="29" s="1"/>
  <c r="W10" i="29"/>
  <c r="X10" i="29" s="1"/>
  <c r="W46" i="29"/>
  <c r="X46" i="29" s="1"/>
  <c r="W11" i="29"/>
  <c r="X11" i="29" s="1"/>
  <c r="W76" i="29"/>
  <c r="X76" i="29" s="1"/>
  <c r="W25" i="29"/>
  <c r="X25" i="29" s="1"/>
  <c r="W23" i="29"/>
  <c r="X23" i="29" s="1"/>
  <c r="W81" i="29"/>
  <c r="X81" i="29" s="1"/>
  <c r="W78" i="29"/>
  <c r="X78" i="29" s="1"/>
  <c r="W106" i="29"/>
  <c r="X106" i="29" s="1"/>
  <c r="W97" i="29"/>
  <c r="X97" i="29" s="1"/>
  <c r="W115" i="29"/>
  <c r="X115" i="29" s="1"/>
  <c r="W36" i="29"/>
  <c r="X36" i="29" s="1"/>
  <c r="W38" i="29"/>
  <c r="X38" i="29" s="1"/>
  <c r="W86" i="29"/>
  <c r="X86" i="29" s="1"/>
  <c r="W88" i="29"/>
  <c r="X88" i="29" s="1"/>
  <c r="W99" i="29"/>
  <c r="X99" i="29" s="1"/>
  <c r="W91" i="29"/>
  <c r="X91" i="29" s="1"/>
  <c r="W100" i="29"/>
  <c r="X100" i="29" s="1"/>
  <c r="W92" i="29"/>
  <c r="X92" i="29" s="1"/>
  <c r="W8" i="29"/>
  <c r="X8" i="29" s="1"/>
  <c r="W107" i="29"/>
  <c r="X107" i="29" s="1"/>
  <c r="W30" i="29"/>
  <c r="X30" i="29" s="1"/>
  <c r="W31" i="29"/>
  <c r="X31" i="29" s="1"/>
  <c r="W116" i="29"/>
  <c r="X116" i="29" s="1"/>
  <c r="W40" i="29"/>
  <c r="X40" i="29" s="1"/>
  <c r="W93" i="29"/>
  <c r="X93" i="29" s="1"/>
  <c r="W101" i="29"/>
  <c r="X101" i="29" s="1"/>
  <c r="W80" i="29"/>
  <c r="X80" i="29" s="1"/>
  <c r="W94" i="29"/>
  <c r="X94" i="29" s="1"/>
  <c r="W51" i="29"/>
  <c r="X51" i="29" s="1"/>
  <c r="W48" i="29"/>
  <c r="X48" i="29" s="1"/>
  <c r="W96" i="29"/>
  <c r="X96" i="29" s="1"/>
  <c r="W32" i="29"/>
  <c r="X32" i="29" s="1"/>
  <c r="W39" i="29"/>
  <c r="X39" i="29" s="1"/>
  <c r="W77" i="29"/>
  <c r="X77" i="29" s="1"/>
  <c r="W12" i="29"/>
  <c r="X12" i="29" s="1"/>
  <c r="W33" i="29"/>
  <c r="X33" i="29" s="1"/>
  <c r="W118" i="29"/>
  <c r="X118" i="29" s="1"/>
  <c r="W21" i="29"/>
  <c r="X21" i="29" s="1"/>
  <c r="W9" i="29"/>
  <c r="X9" i="29" s="1"/>
  <c r="W117" i="29"/>
  <c r="X117" i="29" s="1"/>
  <c r="K20" i="97"/>
  <c r="L20" i="97" s="1"/>
  <c r="M20" i="97" s="1"/>
  <c r="K24" i="97"/>
  <c r="K23" i="97"/>
  <c r="L23" i="97" s="1"/>
  <c r="M23" i="97" s="1"/>
  <c r="K21" i="97"/>
  <c r="L21" i="97" s="1"/>
  <c r="M21" i="97" s="1"/>
  <c r="K26" i="97"/>
  <c r="K25" i="97"/>
  <c r="L25" i="97" s="1"/>
  <c r="M25" i="97" s="1"/>
  <c r="K22" i="97"/>
  <c r="L22" i="97" s="1"/>
  <c r="M22" i="97" s="1"/>
  <c r="E32" i="32"/>
  <c r="O39" i="26"/>
  <c r="L24" i="97"/>
  <c r="M24" i="97" s="1"/>
  <c r="C67" i="4"/>
  <c r="N51" i="12"/>
  <c r="C65" i="4"/>
  <c r="N49" i="12"/>
  <c r="C64" i="4"/>
  <c r="F64" i="4" s="1"/>
  <c r="N48" i="12"/>
  <c r="C28" i="4"/>
  <c r="N10" i="12"/>
  <c r="C63" i="4"/>
  <c r="F63" i="4" s="1"/>
  <c r="N47" i="12"/>
  <c r="C33" i="4"/>
  <c r="N36" i="12"/>
  <c r="J36" i="26"/>
  <c r="L26" i="97"/>
  <c r="M26" i="97" s="1"/>
  <c r="C62" i="4"/>
  <c r="F62" i="4" s="1"/>
  <c r="N46" i="12"/>
  <c r="C66" i="4"/>
  <c r="F66" i="4" s="1"/>
  <c r="N50" i="12"/>
  <c r="B60" i="4"/>
  <c r="C60" i="4" s="1"/>
  <c r="N44" i="12"/>
  <c r="C35" i="4"/>
  <c r="N40" i="12"/>
  <c r="K100" i="26"/>
  <c r="K19" i="92"/>
  <c r="L19" i="92" s="1"/>
  <c r="B42" i="32"/>
  <c r="K27" i="97"/>
  <c r="L27" i="97" s="1"/>
  <c r="M27" i="97" s="1"/>
  <c r="K18" i="95"/>
  <c r="L18" i="95" s="1"/>
  <c r="O38" i="26"/>
  <c r="C20" i="4"/>
  <c r="N4" i="12"/>
  <c r="V113" i="29"/>
  <c r="V61" i="29"/>
  <c r="V10" i="29"/>
  <c r="V19" i="29"/>
  <c r="V85" i="29"/>
  <c r="V22" i="29"/>
  <c r="V103" i="29"/>
  <c r="H144" i="29"/>
  <c r="H145" i="29" s="1"/>
  <c r="V24" i="29"/>
  <c r="V69" i="29"/>
  <c r="V107" i="29"/>
  <c r="V90" i="29"/>
  <c r="V8" i="29"/>
  <c r="V60" i="29"/>
  <c r="V40" i="29"/>
  <c r="V44" i="29"/>
  <c r="V53" i="29"/>
  <c r="V15" i="29"/>
  <c r="V70" i="29"/>
  <c r="V36" i="29"/>
  <c r="V96" i="29"/>
  <c r="V99" i="29"/>
  <c r="V71" i="29"/>
  <c r="V117" i="29"/>
  <c r="V58" i="29"/>
  <c r="V12" i="29"/>
  <c r="V51" i="29"/>
  <c r="V29" i="29"/>
  <c r="V109" i="29"/>
  <c r="V45" i="29"/>
  <c r="V116" i="29"/>
  <c r="V16" i="29"/>
  <c r="V21" i="29"/>
  <c r="V102" i="29"/>
  <c r="V28" i="29"/>
  <c r="V105" i="29"/>
  <c r="V32" i="29"/>
  <c r="V88" i="29"/>
  <c r="V57" i="29"/>
  <c r="V91" i="29"/>
  <c r="V77" i="29"/>
  <c r="V39" i="29"/>
  <c r="V100" i="29"/>
  <c r="V48" i="29"/>
  <c r="V120" i="29"/>
  <c r="V86" i="29"/>
  <c r="V122" i="29"/>
  <c r="V62" i="29"/>
  <c r="J144" i="29"/>
  <c r="J145" i="29" s="1"/>
  <c r="V17" i="29"/>
  <c r="V64" i="29"/>
  <c r="V72" i="29"/>
  <c r="V65" i="29"/>
  <c r="V118" i="29"/>
  <c r="F144" i="29"/>
  <c r="F145" i="29" s="1"/>
  <c r="V37" i="29"/>
  <c r="V112" i="29"/>
  <c r="V47" i="29"/>
  <c r="V13" i="29"/>
  <c r="V111" i="29"/>
  <c r="V80" i="29"/>
  <c r="V108" i="29"/>
  <c r="V93" i="29"/>
  <c r="V9" i="29"/>
  <c r="V35" i="29"/>
  <c r="V115" i="29"/>
  <c r="V59" i="29"/>
  <c r="V54" i="29"/>
  <c r="V38" i="29"/>
  <c r="V94" i="29"/>
  <c r="U68" i="29"/>
  <c r="U78" i="29"/>
  <c r="U107" i="29"/>
  <c r="V98" i="29"/>
  <c r="V31" i="29"/>
  <c r="V95" i="29"/>
  <c r="V92" i="29"/>
  <c r="N144" i="29"/>
  <c r="N145" i="29" s="1"/>
  <c r="V114" i="29"/>
  <c r="V106" i="29"/>
  <c r="V34" i="29"/>
  <c r="P144" i="29"/>
  <c r="P145" i="29" s="1"/>
  <c r="V81" i="29"/>
  <c r="V63" i="29"/>
  <c r="V33" i="29"/>
  <c r="V43" i="29"/>
  <c r="V27" i="29"/>
  <c r="U21" i="29"/>
  <c r="U47" i="29"/>
  <c r="Y31" i="29"/>
  <c r="Z31" i="29" s="1"/>
  <c r="U31" i="29"/>
  <c r="U101" i="29"/>
  <c r="B31" i="4"/>
  <c r="B75" i="32"/>
  <c r="C42" i="32"/>
  <c r="U8" i="29"/>
  <c r="U24" i="29"/>
  <c r="U93" i="29"/>
  <c r="U114" i="29"/>
  <c r="U19" i="29"/>
  <c r="U35" i="29"/>
  <c r="E73" i="12"/>
  <c r="H73" i="12" s="1"/>
  <c r="G77" i="12"/>
  <c r="E80" i="12"/>
  <c r="H80" i="12" s="1"/>
  <c r="G79" i="12"/>
  <c r="E90" i="12" s="1"/>
  <c r="C88" i="12"/>
  <c r="N26" i="26"/>
  <c r="E78" i="12"/>
  <c r="H78" i="12" s="1"/>
  <c r="B84" i="4"/>
  <c r="N25" i="26"/>
  <c r="C87" i="12"/>
  <c r="E63" i="12"/>
  <c r="H63" i="12" s="1"/>
  <c r="E70" i="12"/>
  <c r="H70" i="12" s="1"/>
  <c r="E21" i="4"/>
  <c r="I111" i="54"/>
  <c r="J111" i="54" s="1"/>
  <c r="K111" i="54" s="1"/>
  <c r="C90" i="12"/>
  <c r="Q4" i="86"/>
  <c r="S4" i="86" s="1"/>
  <c r="P33" i="86"/>
  <c r="R33" i="86" s="1"/>
  <c r="E79" i="12"/>
  <c r="S123" i="29"/>
  <c r="P38" i="86"/>
  <c r="R38" i="86" s="1"/>
  <c r="E88" i="12"/>
  <c r="E87" i="12"/>
  <c r="F28" i="54"/>
  <c r="G28" i="54" s="1"/>
  <c r="H28" i="54" s="1"/>
  <c r="N2" i="54"/>
  <c r="O2" i="54" s="1"/>
  <c r="I26" i="54"/>
  <c r="H117" i="54"/>
  <c r="P27" i="86"/>
  <c r="R27" i="86" s="1"/>
  <c r="P56" i="54"/>
  <c r="J2" i="54"/>
  <c r="K2" i="54" s="1"/>
  <c r="B245" i="4"/>
  <c r="E50" i="32"/>
  <c r="D75" i="32" s="1"/>
  <c r="G87" i="26"/>
  <c r="Y114" i="29"/>
  <c r="Z114" i="29" s="1"/>
  <c r="Y121" i="29"/>
  <c r="Z121" i="29" s="1"/>
  <c r="Y115" i="29"/>
  <c r="Z115" i="29" s="1"/>
  <c r="Y88" i="29"/>
  <c r="Z88" i="29" s="1"/>
  <c r="Y70" i="29"/>
  <c r="Z70" i="29" s="1"/>
  <c r="Y61" i="29"/>
  <c r="Y51" i="29"/>
  <c r="Z51" i="29" s="1"/>
  <c r="Y20" i="29"/>
  <c r="Z20" i="29" s="1"/>
  <c r="Y105" i="29"/>
  <c r="Z105" i="29" s="1"/>
  <c r="Y98" i="29"/>
  <c r="Z98" i="29" s="1"/>
  <c r="Y93" i="29"/>
  <c r="Z93" i="29" s="1"/>
  <c r="Y81" i="29"/>
  <c r="Y65" i="29"/>
  <c r="Y53" i="29"/>
  <c r="Z53" i="29" s="1"/>
  <c r="Y47" i="29"/>
  <c r="Y43" i="29"/>
  <c r="Y113" i="29"/>
  <c r="Z113" i="29" s="1"/>
  <c r="Y99" i="29"/>
  <c r="Z99" i="29" s="1"/>
  <c r="Y95" i="29"/>
  <c r="Z95" i="29" s="1"/>
  <c r="Y87" i="29"/>
  <c r="Z87" i="29" s="1"/>
  <c r="Y72" i="29"/>
  <c r="Z72" i="29" s="1"/>
  <c r="Y18" i="29"/>
  <c r="Z18" i="29" s="1"/>
  <c r="Y106" i="29"/>
  <c r="Z106" i="29" s="1"/>
  <c r="Y102" i="29"/>
  <c r="Z102" i="29" s="1"/>
  <c r="Y85" i="29"/>
  <c r="Z85" i="29" s="1"/>
  <c r="Y80" i="29"/>
  <c r="Y69" i="29"/>
  <c r="Z69" i="29" s="1"/>
  <c r="Y63" i="29"/>
  <c r="Y37" i="29"/>
  <c r="Z37" i="29" s="1"/>
  <c r="Y29" i="29"/>
  <c r="Z29" i="29" s="1"/>
  <c r="Y17" i="29"/>
  <c r="Z17" i="29" s="1"/>
  <c r="Y38" i="29"/>
  <c r="Z38" i="29" s="1"/>
  <c r="Y19" i="29"/>
  <c r="Z19" i="29" s="1"/>
  <c r="Y13" i="29"/>
  <c r="Z13" i="29" s="1"/>
  <c r="Y120" i="29"/>
  <c r="Z120" i="29" s="1"/>
  <c r="Y112" i="29"/>
  <c r="Z112" i="29" s="1"/>
  <c r="Y109" i="29"/>
  <c r="Z109" i="29" s="1"/>
  <c r="Y101" i="29"/>
  <c r="Z101" i="29" s="1"/>
  <c r="Y78" i="29"/>
  <c r="Y64" i="29"/>
  <c r="Y60" i="29"/>
  <c r="Y111" i="29"/>
  <c r="Z111" i="29" s="1"/>
  <c r="Y103" i="29"/>
  <c r="Z103" i="29" s="1"/>
  <c r="Y94" i="29"/>
  <c r="Z94" i="29" s="1"/>
  <c r="Y86" i="29"/>
  <c r="Z86" i="29" s="1"/>
  <c r="Y71" i="29"/>
  <c r="Z71" i="29" s="1"/>
  <c r="Y52" i="29"/>
  <c r="Z52" i="29" s="1"/>
  <c r="Y45" i="29"/>
  <c r="Y110" i="29"/>
  <c r="Z110" i="29" s="1"/>
  <c r="Y97" i="29"/>
  <c r="Z97" i="29" s="1"/>
  <c r="Y79" i="29"/>
  <c r="Y62" i="29"/>
  <c r="Y44" i="29"/>
  <c r="Y16" i="29"/>
  <c r="Z16" i="29" s="1"/>
  <c r="Y104" i="29"/>
  <c r="Z104" i="29" s="1"/>
  <c r="Y96" i="29"/>
  <c r="Z96" i="29" s="1"/>
  <c r="Y73" i="29"/>
  <c r="Z73" i="29" s="1"/>
  <c r="Y68" i="29"/>
  <c r="Z68" i="29" s="1"/>
  <c r="Y48" i="29"/>
  <c r="Y40" i="29"/>
  <c r="Z40" i="29" s="1"/>
  <c r="Y36" i="29"/>
  <c r="Z36" i="29" s="1"/>
  <c r="Y27" i="29"/>
  <c r="Z27" i="29" s="1"/>
  <c r="Y14" i="29"/>
  <c r="Z14" i="29" s="1"/>
  <c r="Y15" i="29"/>
  <c r="Z15" i="29" s="1"/>
  <c r="U121" i="29"/>
  <c r="U100" i="29"/>
  <c r="U64" i="29"/>
  <c r="U51" i="29"/>
  <c r="U103" i="29"/>
  <c r="U89" i="29"/>
  <c r="U71" i="29"/>
  <c r="U45" i="29"/>
  <c r="U97" i="29"/>
  <c r="U72" i="29"/>
  <c r="U33" i="29"/>
  <c r="U16" i="29"/>
  <c r="U106" i="29"/>
  <c r="U80" i="29"/>
  <c r="U59" i="29"/>
  <c r="U46" i="29"/>
  <c r="U17" i="29"/>
  <c r="U22" i="29"/>
  <c r="U14" i="29"/>
  <c r="U15" i="29"/>
  <c r="U117" i="29"/>
  <c r="U120" i="29"/>
  <c r="U111" i="29"/>
  <c r="U92" i="29"/>
  <c r="U61" i="29"/>
  <c r="U20" i="29"/>
  <c r="U98" i="29"/>
  <c r="U86" i="29"/>
  <c r="U58" i="29"/>
  <c r="U118" i="29"/>
  <c r="U95" i="29"/>
  <c r="U54" i="29"/>
  <c r="U32" i="29"/>
  <c r="U119" i="29"/>
  <c r="U102" i="29"/>
  <c r="U73" i="29"/>
  <c r="U57" i="29"/>
  <c r="U37" i="29"/>
  <c r="U12" i="29"/>
  <c r="U10" i="29"/>
  <c r="U38" i="29"/>
  <c r="U11" i="29"/>
  <c r="U116" i="29"/>
  <c r="U112" i="29"/>
  <c r="U88" i="29"/>
  <c r="U56" i="29"/>
  <c r="U110" i="29"/>
  <c r="U94" i="29"/>
  <c r="U77" i="29"/>
  <c r="U53" i="29"/>
  <c r="U108" i="29"/>
  <c r="U87" i="29"/>
  <c r="U44" i="29"/>
  <c r="U26" i="29"/>
  <c r="U109" i="29"/>
  <c r="U96" i="29"/>
  <c r="U69" i="29"/>
  <c r="U36" i="29"/>
  <c r="U9" i="29"/>
  <c r="U29" i="29"/>
  <c r="U30" i="29"/>
  <c r="U70" i="29"/>
  <c r="U76" i="29"/>
  <c r="U39" i="29"/>
  <c r="U63" i="29"/>
  <c r="U23" i="29"/>
  <c r="U52" i="29"/>
  <c r="U18" i="29"/>
  <c r="U48" i="29"/>
  <c r="U25" i="29"/>
  <c r="U122" i="29"/>
  <c r="U99" i="29"/>
  <c r="U27" i="29"/>
  <c r="U79" i="29"/>
  <c r="U85" i="29"/>
  <c r="U28" i="29"/>
  <c r="U90" i="29"/>
  <c r="K21" i="92"/>
  <c r="L21" i="92" s="1"/>
  <c r="Y117" i="29"/>
  <c r="Z117" i="29" s="1"/>
  <c r="Y122" i="29"/>
  <c r="Z122" i="29" s="1"/>
  <c r="Y100" i="29"/>
  <c r="Z100" i="29" s="1"/>
  <c r="Y56" i="29"/>
  <c r="Z56" i="29" s="1"/>
  <c r="Y89" i="29"/>
  <c r="Z89" i="29" s="1"/>
  <c r="Y76" i="29"/>
  <c r="Y108" i="29"/>
  <c r="Z108" i="29" s="1"/>
  <c r="Y54" i="29"/>
  <c r="Z54" i="29" s="1"/>
  <c r="Y39" i="29"/>
  <c r="Z39" i="29" s="1"/>
  <c r="Y33" i="29"/>
  <c r="Z33" i="29" s="1"/>
  <c r="Y26" i="29"/>
  <c r="Z26" i="29" s="1"/>
  <c r="Y57" i="29"/>
  <c r="Z57" i="29" s="1"/>
  <c r="Y46" i="29"/>
  <c r="Y12" i="29"/>
  <c r="Z12" i="29" s="1"/>
  <c r="Y8" i="29"/>
  <c r="Z8" i="29" s="1"/>
  <c r="Y25" i="29"/>
  <c r="Z25" i="29" s="1"/>
  <c r="Y22" i="29"/>
  <c r="Z22" i="29" s="1"/>
  <c r="Y11" i="29"/>
  <c r="Z11" i="29" s="1"/>
  <c r="Y116" i="29"/>
  <c r="Z116" i="29" s="1"/>
  <c r="Y92" i="29"/>
  <c r="Z92" i="29" s="1"/>
  <c r="Y34" i="29"/>
  <c r="Z34" i="29" s="1"/>
  <c r="Y118" i="29"/>
  <c r="Z118" i="29" s="1"/>
  <c r="Y90" i="29"/>
  <c r="Z90" i="29" s="1"/>
  <c r="Y77" i="29"/>
  <c r="Y58" i="29"/>
  <c r="Z58" i="29" s="1"/>
  <c r="Y119" i="29"/>
  <c r="Z119" i="29" s="1"/>
  <c r="Y107" i="29"/>
  <c r="Z107" i="29" s="1"/>
  <c r="Y91" i="29"/>
  <c r="Z91" i="29" s="1"/>
  <c r="Y35" i="29"/>
  <c r="Z35" i="29" s="1"/>
  <c r="Y32" i="29"/>
  <c r="Z32" i="29" s="1"/>
  <c r="Y24" i="29"/>
  <c r="Z24" i="29" s="1"/>
  <c r="Y59" i="29"/>
  <c r="Z59" i="29" s="1"/>
  <c r="Y55" i="29"/>
  <c r="Z55" i="29" s="1"/>
  <c r="Y23" i="29"/>
  <c r="Z23" i="29" s="1"/>
  <c r="Y9" i="29"/>
  <c r="Z9" i="29" s="1"/>
  <c r="Y30" i="29"/>
  <c r="Z30" i="29" s="1"/>
  <c r="Y21" i="29"/>
  <c r="Z21" i="29" s="1"/>
  <c r="Y10" i="29"/>
  <c r="Z10" i="29" s="1"/>
  <c r="Y28" i="29"/>
  <c r="Z28" i="29" s="1"/>
  <c r="F57" i="54"/>
  <c r="G57" i="54" s="1"/>
  <c r="H57" i="54" s="1"/>
  <c r="Q57" i="54" s="1"/>
  <c r="R57" i="54" s="1"/>
  <c r="E63" i="32"/>
  <c r="D85" i="26"/>
  <c r="U13" i="29"/>
  <c r="U40" i="29"/>
  <c r="U104" i="29"/>
  <c r="U62" i="29"/>
  <c r="U65" i="29"/>
  <c r="U34" i="29"/>
  <c r="U113" i="29"/>
  <c r="K23" i="92"/>
  <c r="L23" i="92" s="1"/>
  <c r="E6" i="32"/>
  <c r="F34" i="54"/>
  <c r="G34" i="54" s="1"/>
  <c r="H34" i="54" s="1"/>
  <c r="F74" i="54"/>
  <c r="G74" i="54" s="1"/>
  <c r="H74" i="54" s="1"/>
  <c r="Q74" i="54" s="1"/>
  <c r="R74" i="54" s="1"/>
  <c r="F9" i="54"/>
  <c r="L9" i="54" s="1"/>
  <c r="M9" i="54" s="1"/>
  <c r="F103" i="54"/>
  <c r="G103" i="54" s="1"/>
  <c r="H103" i="54" s="1"/>
  <c r="J103" i="54" s="1"/>
  <c r="K103" i="54" s="1"/>
  <c r="K99" i="26"/>
  <c r="U43" i="29"/>
  <c r="U55" i="29"/>
  <c r="U91" i="29"/>
  <c r="U81" i="29"/>
  <c r="U60" i="29"/>
  <c r="U115" i="29"/>
  <c r="N24" i="26"/>
  <c r="K22" i="92"/>
  <c r="L22" i="92" s="1"/>
  <c r="E71" i="12"/>
  <c r="B27" i="4"/>
  <c r="E76" i="12"/>
  <c r="E64" i="12"/>
  <c r="B248" i="4"/>
  <c r="B247" i="4"/>
  <c r="C39" i="64"/>
  <c r="D39" i="64" s="1"/>
  <c r="P77" i="86"/>
  <c r="R77" i="86" s="1"/>
  <c r="I29" i="54"/>
  <c r="I41" i="54"/>
  <c r="F6" i="54"/>
  <c r="G6" i="54" s="1"/>
  <c r="H6" i="54" s="1"/>
  <c r="P38" i="54"/>
  <c r="Q38" i="54" s="1"/>
  <c r="R38" i="54" s="1"/>
  <c r="Q18" i="86"/>
  <c r="S18" i="86" s="1"/>
  <c r="I115" i="54"/>
  <c r="J115" i="54" s="1"/>
  <c r="K115" i="54" s="1"/>
  <c r="Q113" i="86"/>
  <c r="S113" i="86" s="1"/>
  <c r="L7" i="27"/>
  <c r="I19" i="54"/>
  <c r="P9" i="54"/>
  <c r="Q78" i="86"/>
  <c r="S78" i="86" s="1"/>
  <c r="I118" i="54"/>
  <c r="J118" i="54" s="1"/>
  <c r="K118" i="54" s="1"/>
  <c r="Q2" i="54"/>
  <c r="R2" i="54" s="1"/>
  <c r="F72" i="54"/>
  <c r="G72" i="54" s="1"/>
  <c r="H72" i="54" s="1"/>
  <c r="I47" i="54"/>
  <c r="P47" i="54"/>
  <c r="G8" i="54"/>
  <c r="H8" i="54" s="1"/>
  <c r="N8" i="54" s="1"/>
  <c r="O8" i="54" s="1"/>
  <c r="P39" i="54"/>
  <c r="Q81" i="86"/>
  <c r="S81" i="86" s="1"/>
  <c r="P114" i="86"/>
  <c r="R114" i="86" s="1"/>
  <c r="F43" i="54"/>
  <c r="G43" i="54" s="1"/>
  <c r="H43" i="54" s="1"/>
  <c r="J43" i="54" s="1"/>
  <c r="K43" i="54" s="1"/>
  <c r="F33" i="54"/>
  <c r="L33" i="54" s="1"/>
  <c r="M33" i="54" s="1"/>
  <c r="I72" i="54"/>
  <c r="P98" i="86"/>
  <c r="R98" i="86" s="1"/>
  <c r="F120" i="54"/>
  <c r="G120" i="54" s="1"/>
  <c r="H120" i="54" s="1"/>
  <c r="J120" i="54" s="1"/>
  <c r="K120" i="54" s="1"/>
  <c r="F69" i="4"/>
  <c r="I42" i="54"/>
  <c r="F39" i="54"/>
  <c r="L39" i="54" s="1"/>
  <c r="M39" i="54" s="1"/>
  <c r="P35" i="54"/>
  <c r="F116" i="54"/>
  <c r="G116" i="54" s="1"/>
  <c r="H116" i="54" s="1"/>
  <c r="J116" i="54" s="1"/>
  <c r="K116" i="54" s="1"/>
  <c r="F35" i="54"/>
  <c r="G35" i="54" s="1"/>
  <c r="H35" i="54" s="1"/>
  <c r="I33" i="54"/>
  <c r="Q75" i="86"/>
  <c r="S75" i="86" s="1"/>
  <c r="Q52" i="86"/>
  <c r="S52" i="86" s="1"/>
  <c r="F29" i="54"/>
  <c r="G29" i="54" s="1"/>
  <c r="H29" i="54" s="1"/>
  <c r="P25" i="54"/>
  <c r="I25" i="54"/>
  <c r="F13" i="54"/>
  <c r="G13" i="54" s="1"/>
  <c r="H13" i="54" s="1"/>
  <c r="P17" i="54"/>
  <c r="P46" i="54"/>
  <c r="P12" i="86"/>
  <c r="R12" i="86" s="1"/>
  <c r="P31" i="86"/>
  <c r="R31" i="86" s="1"/>
  <c r="B250" i="4"/>
  <c r="B246" i="4"/>
  <c r="F37" i="54"/>
  <c r="G37" i="54" s="1"/>
  <c r="H37" i="54" s="1"/>
  <c r="F19" i="54"/>
  <c r="G19" i="54" s="1"/>
  <c r="H19" i="54" s="1"/>
  <c r="P100" i="86"/>
  <c r="R100" i="86" s="1"/>
  <c r="L51" i="54"/>
  <c r="M51" i="54" s="1"/>
  <c r="I34" i="54"/>
  <c r="P108" i="86"/>
  <c r="R108" i="86" s="1"/>
  <c r="I59" i="54"/>
  <c r="J59" i="54" s="1"/>
  <c r="K59" i="54" s="1"/>
  <c r="P43" i="86"/>
  <c r="R43" i="86" s="1"/>
  <c r="P59" i="86"/>
  <c r="R59" i="86" s="1"/>
  <c r="P13" i="54"/>
  <c r="P8" i="54"/>
  <c r="I51" i="54"/>
  <c r="P49" i="54"/>
  <c r="I106" i="54"/>
  <c r="J106" i="54" s="1"/>
  <c r="K106" i="54" s="1"/>
  <c r="P21" i="86"/>
  <c r="R21" i="86" s="1"/>
  <c r="F112" i="54"/>
  <c r="G112" i="54" s="1"/>
  <c r="H112" i="54" s="1"/>
  <c r="J112" i="54" s="1"/>
  <c r="K112" i="54" s="1"/>
  <c r="P101" i="86"/>
  <c r="R101" i="86" s="1"/>
  <c r="H51" i="54"/>
  <c r="P26" i="54"/>
  <c r="Q61" i="86"/>
  <c r="S61" i="86" s="1"/>
  <c r="F110" i="54"/>
  <c r="G110" i="54" s="1"/>
  <c r="H110" i="54" s="1"/>
  <c r="J110" i="54" s="1"/>
  <c r="K110" i="54" s="1"/>
  <c r="I75" i="54"/>
  <c r="J75" i="54" s="1"/>
  <c r="K75" i="54" s="1"/>
  <c r="I8" i="54"/>
  <c r="P43" i="54"/>
  <c r="P51" i="54"/>
  <c r="P41" i="54"/>
  <c r="P75" i="54"/>
  <c r="Q75" i="54" s="1"/>
  <c r="R75" i="54" s="1"/>
  <c r="P28" i="54"/>
  <c r="Q51" i="86"/>
  <c r="S51" i="86" s="1"/>
  <c r="P85" i="86"/>
  <c r="R85" i="86" s="1"/>
  <c r="P32" i="86"/>
  <c r="R32" i="86" s="1"/>
  <c r="L5" i="27"/>
  <c r="H44" i="54"/>
  <c r="I12" i="54"/>
  <c r="I117" i="54"/>
  <c r="Q5" i="86"/>
  <c r="S5" i="86" s="1"/>
  <c r="D175" i="4"/>
  <c r="G175" i="4" s="1"/>
  <c r="F97" i="54"/>
  <c r="G97" i="54" s="1"/>
  <c r="H97" i="54" s="1"/>
  <c r="J97" i="54" s="1"/>
  <c r="K97" i="54" s="1"/>
  <c r="P58" i="54"/>
  <c r="P26" i="86"/>
  <c r="R26" i="86" s="1"/>
  <c r="I113" i="54"/>
  <c r="J113" i="54" s="1"/>
  <c r="K113" i="54" s="1"/>
  <c r="G14" i="54"/>
  <c r="H14" i="54" s="1"/>
  <c r="L14" i="54"/>
  <c r="M14" i="54" s="1"/>
  <c r="G46" i="54"/>
  <c r="H46" i="54" s="1"/>
  <c r="L46" i="54"/>
  <c r="M46" i="54" s="1"/>
  <c r="L42" i="54"/>
  <c r="M42" i="54" s="1"/>
  <c r="G42" i="54"/>
  <c r="H42" i="54" s="1"/>
  <c r="P55" i="86"/>
  <c r="R55" i="86" s="1"/>
  <c r="F119" i="54"/>
  <c r="G119" i="54" s="1"/>
  <c r="H119" i="54" s="1"/>
  <c r="J119" i="54" s="1"/>
  <c r="K119" i="54" s="1"/>
  <c r="P39" i="86"/>
  <c r="R39" i="86" s="1"/>
  <c r="Q35" i="86"/>
  <c r="S35" i="86" s="1"/>
  <c r="I38" i="54"/>
  <c r="J38" i="54" s="1"/>
  <c r="K38" i="54" s="1"/>
  <c r="I50" i="54"/>
  <c r="Q68" i="86"/>
  <c r="S68" i="86" s="1"/>
  <c r="I46" i="54"/>
  <c r="Q89" i="86"/>
  <c r="S89" i="86" s="1"/>
  <c r="P102" i="86"/>
  <c r="R102" i="86" s="1"/>
  <c r="P6" i="54"/>
  <c r="I60" i="54"/>
  <c r="J60" i="54" s="1"/>
  <c r="K60" i="54" s="1"/>
  <c r="Q64" i="86"/>
  <c r="S64" i="86" s="1"/>
  <c r="L38" i="54"/>
  <c r="M38" i="54" s="1"/>
  <c r="N38" i="54" s="1"/>
  <c r="O38" i="54" s="1"/>
  <c r="Q57" i="86"/>
  <c r="S57" i="86" s="1"/>
  <c r="P59" i="54"/>
  <c r="Q59" i="54" s="1"/>
  <c r="R59" i="54" s="1"/>
  <c r="F70" i="54"/>
  <c r="G70" i="54" s="1"/>
  <c r="H70" i="54" s="1"/>
  <c r="F50" i="54"/>
  <c r="G50" i="54" s="1"/>
  <c r="H50" i="54" s="1"/>
  <c r="F114" i="54"/>
  <c r="G114" i="54" s="1"/>
  <c r="H114" i="54" s="1"/>
  <c r="J114" i="54" s="1"/>
  <c r="K114" i="54" s="1"/>
  <c r="K8" i="27"/>
  <c r="P42" i="54"/>
  <c r="P107" i="86"/>
  <c r="R107" i="86" s="1"/>
  <c r="P78" i="54"/>
  <c r="Q78" i="54" s="1"/>
  <c r="R78" i="54" s="1"/>
  <c r="F96" i="54"/>
  <c r="G96" i="54" s="1"/>
  <c r="H96" i="54" s="1"/>
  <c r="J96" i="54" s="1"/>
  <c r="K96" i="54" s="1"/>
  <c r="F63" i="54"/>
  <c r="G63" i="54" s="1"/>
  <c r="H63" i="54" s="1"/>
  <c r="Q63" i="54" s="1"/>
  <c r="R63" i="54" s="1"/>
  <c r="K5" i="27"/>
  <c r="P37" i="54"/>
  <c r="I70" i="54"/>
  <c r="I63" i="54"/>
  <c r="F45" i="54"/>
  <c r="L45" i="54" s="1"/>
  <c r="M45" i="54" s="1"/>
  <c r="F49" i="54"/>
  <c r="P45" i="54"/>
  <c r="F17" i="54"/>
  <c r="I74" i="54"/>
  <c r="F58" i="54"/>
  <c r="G58" i="54" s="1"/>
  <c r="H58" i="54" s="1"/>
  <c r="J58" i="54" s="1"/>
  <c r="K58" i="54" s="1"/>
  <c r="I40" i="54"/>
  <c r="D172" i="4"/>
  <c r="G172" i="4" s="1"/>
  <c r="F12" i="54"/>
  <c r="G12" i="54" s="1"/>
  <c r="H12" i="54" s="1"/>
  <c r="L44" i="54"/>
  <c r="M44" i="54" s="1"/>
  <c r="Q9" i="86"/>
  <c r="S9" i="86" s="1"/>
  <c r="Q99" i="86"/>
  <c r="S99" i="86" s="1"/>
  <c r="F109" i="54"/>
  <c r="G109" i="54" s="1"/>
  <c r="H109" i="54" s="1"/>
  <c r="J109" i="54" s="1"/>
  <c r="K109" i="54" s="1"/>
  <c r="P105" i="86"/>
  <c r="R105" i="86" s="1"/>
  <c r="I44" i="54"/>
  <c r="I48" i="54"/>
  <c r="F40" i="54"/>
  <c r="I23" i="54"/>
  <c r="F48" i="54"/>
  <c r="L48" i="54" s="1"/>
  <c r="M48" i="54" s="1"/>
  <c r="P62" i="86"/>
  <c r="R62" i="86" s="1"/>
  <c r="L16" i="27"/>
  <c r="P44" i="54"/>
  <c r="F23" i="54"/>
  <c r="L23" i="54" s="1"/>
  <c r="M23" i="54" s="1"/>
  <c r="Q40" i="86"/>
  <c r="S40" i="86" s="1"/>
  <c r="I14" i="54"/>
  <c r="P14" i="54"/>
  <c r="Q30" i="86"/>
  <c r="S30" i="86" s="1"/>
  <c r="P48" i="86"/>
  <c r="R48" i="86" s="1"/>
  <c r="F77" i="54"/>
  <c r="G77" i="54" s="1"/>
  <c r="H77" i="54" s="1"/>
  <c r="J77" i="54" s="1"/>
  <c r="K77" i="54" s="1"/>
  <c r="P72" i="86"/>
  <c r="R72" i="86" s="1"/>
  <c r="I78" i="54"/>
  <c r="J78" i="54" s="1"/>
  <c r="K78" i="54" s="1"/>
  <c r="Q109" i="86"/>
  <c r="S109" i="86" s="1"/>
  <c r="Q16" i="86"/>
  <c r="S16" i="86" s="1"/>
  <c r="Q17" i="86"/>
  <c r="S17" i="86" s="1"/>
  <c r="Q41" i="86"/>
  <c r="S41" i="86" s="1"/>
  <c r="E6" i="4"/>
  <c r="P93" i="86"/>
  <c r="R93" i="86" s="1"/>
  <c r="Q90" i="86"/>
  <c r="S90" i="86" s="1"/>
  <c r="I99" i="54"/>
  <c r="F99" i="54"/>
  <c r="G99" i="54" s="1"/>
  <c r="H99" i="54" s="1"/>
  <c r="P8" i="86"/>
  <c r="R8" i="86" s="1"/>
  <c r="P95" i="86"/>
  <c r="R95" i="86" s="1"/>
  <c r="P5" i="54"/>
  <c r="Q88" i="86"/>
  <c r="S88" i="86" s="1"/>
  <c r="F64" i="54"/>
  <c r="G64" i="54" s="1"/>
  <c r="H64" i="54" s="1"/>
  <c r="Q64" i="54" s="1"/>
  <c r="R64" i="54" s="1"/>
  <c r="K12" i="27"/>
  <c r="P112" i="86"/>
  <c r="R112" i="86" s="1"/>
  <c r="P15" i="54"/>
  <c r="F15" i="54"/>
  <c r="I15" i="54"/>
  <c r="P27" i="54"/>
  <c r="I27" i="54"/>
  <c r="F27" i="54"/>
  <c r="Q25" i="86"/>
  <c r="S25" i="86" s="1"/>
  <c r="I56" i="54"/>
  <c r="P50" i="86"/>
  <c r="R50" i="86" s="1"/>
  <c r="G36" i="54"/>
  <c r="G41" i="54"/>
  <c r="H41" i="54" s="1"/>
  <c r="Q46" i="86"/>
  <c r="S46" i="86" s="1"/>
  <c r="F84" i="54"/>
  <c r="G84" i="54" s="1"/>
  <c r="H84" i="54" s="1"/>
  <c r="J84" i="54" s="1"/>
  <c r="K84" i="54" s="1"/>
  <c r="Q49" i="86"/>
  <c r="S49" i="86" s="1"/>
  <c r="F5" i="54"/>
  <c r="L5" i="54" s="1"/>
  <c r="M5" i="54" s="1"/>
  <c r="Q74" i="86"/>
  <c r="S74" i="86" s="1"/>
  <c r="S3" i="4"/>
  <c r="T3" i="4" s="1"/>
  <c r="V3" i="4" s="1"/>
  <c r="Q71" i="86"/>
  <c r="S71" i="86" s="1"/>
  <c r="P31" i="54"/>
  <c r="F31" i="54"/>
  <c r="I31" i="54"/>
  <c r="P70" i="86"/>
  <c r="R70" i="86" s="1"/>
  <c r="P84" i="54"/>
  <c r="K13" i="27"/>
  <c r="L15" i="27"/>
  <c r="F30" i="54"/>
  <c r="I30" i="54"/>
  <c r="P30" i="54"/>
  <c r="B249" i="4"/>
  <c r="B26" i="4"/>
  <c r="C18" i="64"/>
  <c r="P22" i="86"/>
  <c r="R22" i="86" s="1"/>
  <c r="Q22" i="86"/>
  <c r="S22" i="86" s="1"/>
  <c r="F10" i="54"/>
  <c r="G10" i="54" s="1"/>
  <c r="H10" i="54" s="1"/>
  <c r="P60" i="54"/>
  <c r="Q60" i="54" s="1"/>
  <c r="R60" i="54" s="1"/>
  <c r="P34" i="86"/>
  <c r="R34" i="86" s="1"/>
  <c r="I102" i="54"/>
  <c r="J102" i="54" s="1"/>
  <c r="K102" i="54" s="1"/>
  <c r="K16" i="27"/>
  <c r="L4" i="27"/>
  <c r="F7" i="54"/>
  <c r="I7" i="54"/>
  <c r="P7" i="54"/>
  <c r="D170" i="4"/>
  <c r="G170" i="4" s="1"/>
  <c r="K7" i="27"/>
  <c r="Q96" i="86"/>
  <c r="S96" i="86" s="1"/>
  <c r="Q15" i="86"/>
  <c r="S15" i="86" s="1"/>
  <c r="I67" i="54"/>
  <c r="P80" i="86"/>
  <c r="R80" i="86" s="1"/>
  <c r="Q29" i="86"/>
  <c r="S29" i="86" s="1"/>
  <c r="L3" i="27"/>
  <c r="K4" i="27"/>
  <c r="K6" i="27"/>
  <c r="G4" i="54"/>
  <c r="H4" i="54" s="1"/>
  <c r="D174" i="4"/>
  <c r="G174" i="4" s="1"/>
  <c r="D171" i="4"/>
  <c r="G171" i="4" s="1"/>
  <c r="S6" i="4"/>
  <c r="T6" i="4" s="1"/>
  <c r="V6" i="4" s="1"/>
  <c r="E8" i="64"/>
  <c r="N9" i="64" s="1"/>
  <c r="P45" i="86"/>
  <c r="R45" i="86" s="1"/>
  <c r="F53" i="54"/>
  <c r="I53" i="54"/>
  <c r="P53" i="54"/>
  <c r="P36" i="86"/>
  <c r="R36" i="86" s="1"/>
  <c r="Q36" i="86"/>
  <c r="S36" i="86" s="1"/>
  <c r="Q84" i="86"/>
  <c r="S84" i="86" s="1"/>
  <c r="Q76" i="86"/>
  <c r="S76" i="86" s="1"/>
  <c r="Q56" i="86"/>
  <c r="S56" i="86" s="1"/>
  <c r="P94" i="86"/>
  <c r="R94" i="86" s="1"/>
  <c r="I64" i="54"/>
  <c r="F3" i="54"/>
  <c r="P3" i="54"/>
  <c r="I3" i="54"/>
  <c r="Q69" i="86"/>
  <c r="S69" i="86" s="1"/>
  <c r="P69" i="86"/>
  <c r="R69" i="86" s="1"/>
  <c r="Q87" i="86"/>
  <c r="S87" i="86" s="1"/>
  <c r="I82" i="54"/>
  <c r="P63" i="86"/>
  <c r="R63" i="86" s="1"/>
  <c r="Q63" i="86"/>
  <c r="S63" i="86" s="1"/>
  <c r="Q7" i="86"/>
  <c r="S7" i="86" s="1"/>
  <c r="P7" i="86"/>
  <c r="R7" i="86" s="1"/>
  <c r="C40" i="64"/>
  <c r="B91" i="4"/>
  <c r="D91" i="4" s="1"/>
  <c r="C75" i="64"/>
  <c r="Q86" i="86"/>
  <c r="S86" i="86" s="1"/>
  <c r="Q83" i="86"/>
  <c r="S83" i="86" s="1"/>
  <c r="Q14" i="86"/>
  <c r="S14" i="86" s="1"/>
  <c r="P14" i="86"/>
  <c r="R14" i="86" s="1"/>
  <c r="E30" i="4"/>
  <c r="L6" i="27"/>
  <c r="Q42" i="86"/>
  <c r="S42" i="86" s="1"/>
  <c r="F67" i="54"/>
  <c r="G67" i="54" s="1"/>
  <c r="H67" i="54" s="1"/>
  <c r="Q67" i="54" s="1"/>
  <c r="R67" i="54" s="1"/>
  <c r="F95" i="54"/>
  <c r="G95" i="54" s="1"/>
  <c r="H95" i="54" s="1"/>
  <c r="J95" i="54" s="1"/>
  <c r="K95" i="54" s="1"/>
  <c r="F86" i="54"/>
  <c r="G86" i="54" s="1"/>
  <c r="H86" i="54" s="1"/>
  <c r="Q86" i="54" s="1"/>
  <c r="R86" i="54" s="1"/>
  <c r="F82" i="54"/>
  <c r="G82" i="54" s="1"/>
  <c r="H82" i="54" s="1"/>
  <c r="Q82" i="54" s="1"/>
  <c r="R82" i="54" s="1"/>
  <c r="L8" i="27"/>
  <c r="L10" i="27"/>
  <c r="I86" i="54"/>
  <c r="F70" i="4"/>
  <c r="P62" i="54"/>
  <c r="F62" i="54"/>
  <c r="G62" i="54" s="1"/>
  <c r="H62" i="54" s="1"/>
  <c r="J62" i="54" s="1"/>
  <c r="K62" i="54" s="1"/>
  <c r="K15" i="27"/>
  <c r="P47" i="86"/>
  <c r="R47" i="86" s="1"/>
  <c r="Q47" i="86"/>
  <c r="S47" i="86" s="1"/>
  <c r="K14" i="27"/>
  <c r="P92" i="86"/>
  <c r="R92" i="86" s="1"/>
  <c r="Q92" i="86"/>
  <c r="S92" i="86" s="1"/>
  <c r="P53" i="86"/>
  <c r="R53" i="86" s="1"/>
  <c r="Q53" i="86"/>
  <c r="S53" i="86" s="1"/>
  <c r="Q65" i="86"/>
  <c r="S65" i="86" s="1"/>
  <c r="P65" i="86"/>
  <c r="R65" i="86" s="1"/>
  <c r="K3" i="27"/>
  <c r="E31" i="4"/>
  <c r="L13" i="27"/>
  <c r="I71" i="54"/>
  <c r="P79" i="86"/>
  <c r="R79" i="86" s="1"/>
  <c r="Q115" i="86"/>
  <c r="S115" i="86" s="1"/>
  <c r="F104" i="54"/>
  <c r="G104" i="54" s="1"/>
  <c r="H104" i="54" s="1"/>
  <c r="J104" i="54" s="1"/>
  <c r="K104" i="54" s="1"/>
  <c r="F71" i="54"/>
  <c r="G71" i="54" s="1"/>
  <c r="H71" i="54" s="1"/>
  <c r="Q71" i="54" s="1"/>
  <c r="R71" i="54" s="1"/>
  <c r="I79" i="54"/>
  <c r="J79" i="54" s="1"/>
  <c r="K79" i="54" s="1"/>
  <c r="E20" i="4"/>
  <c r="E5" i="64"/>
  <c r="M23" i="64" s="1"/>
  <c r="F73" i="54"/>
  <c r="G73" i="54" s="1"/>
  <c r="H73" i="54" s="1"/>
  <c r="I73" i="54"/>
  <c r="P73" i="54"/>
  <c r="E32" i="4"/>
  <c r="G47" i="54"/>
  <c r="H47" i="54" s="1"/>
  <c r="L47" i="54"/>
  <c r="M47" i="54" s="1"/>
  <c r="L14" i="27"/>
  <c r="C19" i="64"/>
  <c r="B87" i="12"/>
  <c r="B90" i="12"/>
  <c r="B88" i="12"/>
  <c r="D22" i="4"/>
  <c r="D12" i="64"/>
  <c r="L29" i="64" s="1"/>
  <c r="P83" i="54"/>
  <c r="F83" i="54"/>
  <c r="G83" i="54" s="1"/>
  <c r="H83" i="54" s="1"/>
  <c r="P66" i="54"/>
  <c r="F66" i="54"/>
  <c r="G66" i="54" s="1"/>
  <c r="H66" i="54" s="1"/>
  <c r="F32" i="54"/>
  <c r="I32" i="54"/>
  <c r="P32" i="54"/>
  <c r="Q110" i="86"/>
  <c r="S110" i="86" s="1"/>
  <c r="P110" i="86"/>
  <c r="R110" i="86" s="1"/>
  <c r="P97" i="86"/>
  <c r="R97" i="86" s="1"/>
  <c r="Q97" i="86"/>
  <c r="S97" i="86" s="1"/>
  <c r="P104" i="86"/>
  <c r="R104" i="86" s="1"/>
  <c r="Q104" i="86"/>
  <c r="S104" i="86" s="1"/>
  <c r="Q10" i="86"/>
  <c r="S10" i="86" s="1"/>
  <c r="P10" i="86"/>
  <c r="R10" i="86" s="1"/>
  <c r="I83" i="54"/>
  <c r="I10" i="54"/>
  <c r="I100" i="54"/>
  <c r="F100" i="54"/>
  <c r="G100" i="54" s="1"/>
  <c r="H100" i="54" s="1"/>
  <c r="F81" i="54"/>
  <c r="G81" i="54" s="1"/>
  <c r="H81" i="54" s="1"/>
  <c r="P81" i="54"/>
  <c r="I81" i="54"/>
  <c r="F76" i="54"/>
  <c r="G76" i="54" s="1"/>
  <c r="H76" i="54" s="1"/>
  <c r="P76" i="54"/>
  <c r="I76" i="54"/>
  <c r="I65" i="54"/>
  <c r="F65" i="54"/>
  <c r="G65" i="54" s="1"/>
  <c r="H65" i="54" s="1"/>
  <c r="P106" i="86"/>
  <c r="R106" i="86" s="1"/>
  <c r="Q106" i="86"/>
  <c r="S106" i="86" s="1"/>
  <c r="P91" i="86"/>
  <c r="R91" i="86" s="1"/>
  <c r="Q91" i="86"/>
  <c r="S91" i="86" s="1"/>
  <c r="F22" i="54"/>
  <c r="I22" i="54"/>
  <c r="P22" i="54"/>
  <c r="D23" i="4"/>
  <c r="D7" i="64"/>
  <c r="M6" i="64" s="1"/>
  <c r="D16" i="4"/>
  <c r="K10" i="27"/>
  <c r="F80" i="54"/>
  <c r="G80" i="54" s="1"/>
  <c r="H80" i="54" s="1"/>
  <c r="P80" i="54"/>
  <c r="P69" i="54"/>
  <c r="Q69" i="54" s="1"/>
  <c r="R69" i="54" s="1"/>
  <c r="I69" i="54"/>
  <c r="J69" i="54" s="1"/>
  <c r="K69" i="54" s="1"/>
  <c r="Q103" i="86"/>
  <c r="S103" i="86" s="1"/>
  <c r="P103" i="86"/>
  <c r="R103" i="86" s="1"/>
  <c r="P21" i="54"/>
  <c r="I21" i="54"/>
  <c r="F21" i="54"/>
  <c r="U26" i="1"/>
  <c r="V22" i="1" s="1"/>
  <c r="D219" i="4"/>
  <c r="G219" i="4" s="1"/>
  <c r="E16" i="64"/>
  <c r="N15" i="64" s="1"/>
  <c r="E14" i="4"/>
  <c r="E34" i="4"/>
  <c r="I66" i="54"/>
  <c r="P77" i="54"/>
  <c r="G25" i="54"/>
  <c r="H25" i="54" s="1"/>
  <c r="L25" i="54"/>
  <c r="M25" i="54" s="1"/>
  <c r="I57" i="54"/>
  <c r="Q24" i="86"/>
  <c r="S24" i="86" s="1"/>
  <c r="L12" i="27"/>
  <c r="I105" i="54"/>
  <c r="F105" i="54"/>
  <c r="G105" i="54" s="1"/>
  <c r="H105" i="54" s="1"/>
  <c r="I85" i="54"/>
  <c r="J85" i="54" s="1"/>
  <c r="K85" i="54" s="1"/>
  <c r="P85" i="54"/>
  <c r="Q85" i="54" s="1"/>
  <c r="R85" i="54" s="1"/>
  <c r="P111" i="86"/>
  <c r="R111" i="86" s="1"/>
  <c r="Q111" i="86"/>
  <c r="S111" i="86" s="1"/>
  <c r="P58" i="86"/>
  <c r="R58" i="86" s="1"/>
  <c r="Q58" i="86"/>
  <c r="S58" i="86" s="1"/>
  <c r="F20" i="54"/>
  <c r="P20" i="54"/>
  <c r="I20" i="54"/>
  <c r="D173" i="4"/>
  <c r="G173" i="4" s="1"/>
  <c r="P65" i="54"/>
  <c r="P79" i="54"/>
  <c r="Q79" i="54" s="1"/>
  <c r="R79" i="54" s="1"/>
  <c r="P82" i="86"/>
  <c r="R82" i="86" s="1"/>
  <c r="Q28" i="86"/>
  <c r="S28" i="86" s="1"/>
  <c r="Q66" i="86"/>
  <c r="S66" i="86" s="1"/>
  <c r="P66" i="86"/>
  <c r="R66" i="86" s="1"/>
  <c r="L56" i="54"/>
  <c r="M56" i="54" s="1"/>
  <c r="G56" i="54"/>
  <c r="H56" i="54" s="1"/>
  <c r="Q37" i="86"/>
  <c r="S37" i="86" s="1"/>
  <c r="P37" i="86"/>
  <c r="R37" i="86" s="1"/>
  <c r="Q73" i="86"/>
  <c r="S73" i="86" s="1"/>
  <c r="P73" i="86"/>
  <c r="R73" i="86" s="1"/>
  <c r="P11" i="86"/>
  <c r="R11" i="86" s="1"/>
  <c r="Q11" i="86"/>
  <c r="S11" i="86" s="1"/>
  <c r="P67" i="86"/>
  <c r="R67" i="86" s="1"/>
  <c r="Q67" i="86"/>
  <c r="S67" i="86" s="1"/>
  <c r="F108" i="54"/>
  <c r="G108" i="54" s="1"/>
  <c r="H108" i="54" s="1"/>
  <c r="J108" i="54" s="1"/>
  <c r="K108" i="54" s="1"/>
  <c r="E27" i="4"/>
  <c r="E4" i="64"/>
  <c r="E2" i="4"/>
  <c r="S2" i="4"/>
  <c r="T2" i="4" s="1"/>
  <c r="V2" i="4" s="1"/>
  <c r="L24" i="54"/>
  <c r="G24" i="54"/>
  <c r="E26" i="4"/>
  <c r="E12" i="4"/>
  <c r="S12" i="4"/>
  <c r="T12" i="4" s="1"/>
  <c r="V12" i="4" s="1"/>
  <c r="E14" i="64"/>
  <c r="M44" i="64" s="1"/>
  <c r="P61" i="54"/>
  <c r="F61" i="54"/>
  <c r="G61" i="54" s="1"/>
  <c r="H61" i="54" s="1"/>
  <c r="Q54" i="86"/>
  <c r="S54" i="86" s="1"/>
  <c r="P54" i="86"/>
  <c r="R54" i="86" s="1"/>
  <c r="Q6" i="86"/>
  <c r="S6" i="86" s="1"/>
  <c r="P6" i="86"/>
  <c r="R6" i="86" s="1"/>
  <c r="L26" i="54"/>
  <c r="M26" i="54" s="1"/>
  <c r="G26" i="54"/>
  <c r="H26" i="54" s="1"/>
  <c r="P13" i="86"/>
  <c r="R13" i="86" s="1"/>
  <c r="Q13" i="86"/>
  <c r="S13" i="86" s="1"/>
  <c r="I107" i="54"/>
  <c r="F107" i="54"/>
  <c r="G107" i="54" s="1"/>
  <c r="H107" i="54" s="1"/>
  <c r="L38" i="64"/>
  <c r="V51" i="54"/>
  <c r="F98" i="54"/>
  <c r="G98" i="54" s="1"/>
  <c r="H98" i="54" s="1"/>
  <c r="I98" i="54"/>
  <c r="P44" i="86"/>
  <c r="R44" i="86" s="1"/>
  <c r="Q44" i="86"/>
  <c r="S44" i="86" s="1"/>
  <c r="D12" i="29"/>
  <c r="T123" i="29"/>
  <c r="Q60" i="86"/>
  <c r="S60" i="86" s="1"/>
  <c r="P60" i="86"/>
  <c r="R60" i="86" s="1"/>
  <c r="E33" i="4"/>
  <c r="S13" i="4"/>
  <c r="T13" i="4" s="1"/>
  <c r="V13" i="4" s="1"/>
  <c r="E13" i="4"/>
  <c r="E15" i="64"/>
  <c r="M47" i="64" s="1"/>
  <c r="P18" i="54"/>
  <c r="I18" i="54"/>
  <c r="F18" i="54"/>
  <c r="Q20" i="86"/>
  <c r="S20" i="86" s="1"/>
  <c r="P20" i="86"/>
  <c r="R20" i="86" s="1"/>
  <c r="E25" i="4"/>
  <c r="E9" i="64"/>
  <c r="M41" i="64" s="1"/>
  <c r="E7" i="4"/>
  <c r="S7" i="4"/>
  <c r="T7" i="4" s="1"/>
  <c r="V7" i="4" s="1"/>
  <c r="F101" i="54"/>
  <c r="G101" i="54" s="1"/>
  <c r="H101" i="54" s="1"/>
  <c r="J101" i="54" s="1"/>
  <c r="K101" i="54" s="1"/>
  <c r="L16" i="54"/>
  <c r="G16" i="54"/>
  <c r="I11" i="54"/>
  <c r="F11" i="54"/>
  <c r="E28" i="4"/>
  <c r="S4" i="4"/>
  <c r="T4" i="4" s="1"/>
  <c r="V4" i="4" s="1"/>
  <c r="E4" i="4"/>
  <c r="E6" i="64"/>
  <c r="M38" i="64" s="1"/>
  <c r="Q23" i="86"/>
  <c r="S23" i="86" s="1"/>
  <c r="P23" i="86"/>
  <c r="R23" i="86" s="1"/>
  <c r="Q19" i="86"/>
  <c r="S19" i="86" s="1"/>
  <c r="P19" i="86"/>
  <c r="R19" i="86" s="1"/>
  <c r="E84" i="4"/>
  <c r="E11" i="64"/>
  <c r="N12" i="64" s="1"/>
  <c r="E9" i="4"/>
  <c r="S9" i="4"/>
  <c r="T9" i="4" s="1"/>
  <c r="V9" i="4" s="1"/>
  <c r="H8" i="64"/>
  <c r="K8" i="64"/>
  <c r="J46" i="64"/>
  <c r="H15" i="64"/>
  <c r="H6" i="64"/>
  <c r="J37" i="64"/>
  <c r="J25" i="64"/>
  <c r="H10" i="64"/>
  <c r="H13" i="64"/>
  <c r="J31" i="64"/>
  <c r="H17" i="64"/>
  <c r="K17" i="64"/>
  <c r="H11" i="64"/>
  <c r="K11" i="64"/>
  <c r="J22" i="64"/>
  <c r="H5" i="64"/>
  <c r="J28" i="64"/>
  <c r="H12" i="64"/>
  <c r="K14" i="64"/>
  <c r="H16" i="64"/>
  <c r="J40" i="64"/>
  <c r="H9" i="64"/>
  <c r="B18" i="64"/>
  <c r="B19" i="64"/>
  <c r="H4" i="64"/>
  <c r="J34" i="64"/>
  <c r="H7" i="64"/>
  <c r="K5" i="64"/>
  <c r="V75" i="1" l="1"/>
  <c r="O6" i="115"/>
  <c r="D6" i="115" a="1"/>
  <c r="D6" i="115" s="1"/>
  <c r="Q6" i="115" s="1"/>
  <c r="V67" i="1"/>
  <c r="O11" i="115"/>
  <c r="D11" i="115" a="1"/>
  <c r="D11" i="115" s="1"/>
  <c r="Q11" i="115" s="1"/>
  <c r="V42" i="1"/>
  <c r="O7" i="115"/>
  <c r="D7" i="115" a="1"/>
  <c r="D7" i="115" s="1"/>
  <c r="Q7" i="115" s="1"/>
  <c r="V35" i="1"/>
  <c r="O8" i="115"/>
  <c r="D8" i="115" a="1"/>
  <c r="D8" i="115" s="1"/>
  <c r="Q8" i="115" s="1"/>
  <c r="V25" i="1"/>
  <c r="O10" i="115"/>
  <c r="D10" i="115" a="1"/>
  <c r="D10" i="115" s="1"/>
  <c r="Q10" i="115" s="1"/>
  <c r="V13" i="1"/>
  <c r="O9" i="115"/>
  <c r="D9" i="115" a="1"/>
  <c r="D9" i="115" s="1"/>
  <c r="Q9" i="115" s="1"/>
  <c r="G52" i="54"/>
  <c r="H52" i="54" s="1"/>
  <c r="J52" i="54" s="1"/>
  <c r="K52" i="54" s="1"/>
  <c r="F146" i="29"/>
  <c r="F147" i="29" s="1"/>
  <c r="N146" i="29"/>
  <c r="N147" i="29" s="1"/>
  <c r="J146" i="29"/>
  <c r="J147" i="29" s="1"/>
  <c r="H146" i="29"/>
  <c r="H147" i="29" s="1"/>
  <c r="L146" i="29"/>
  <c r="L147" i="29" s="1"/>
  <c r="G55" i="54"/>
  <c r="H55" i="54" s="1"/>
  <c r="Q55" i="54" s="1"/>
  <c r="F21" i="4"/>
  <c r="G168" i="103"/>
  <c r="F32" i="4"/>
  <c r="G32" i="4" s="1"/>
  <c r="F30" i="4"/>
  <c r="G30" i="4" s="1"/>
  <c r="F33" i="4"/>
  <c r="G33" i="4" s="1"/>
  <c r="F28" i="4"/>
  <c r="G28" i="4" s="1"/>
  <c r="F20" i="4"/>
  <c r="G20" i="4" s="1"/>
  <c r="B79" i="4"/>
  <c r="B78" i="4"/>
  <c r="B77" i="4"/>
  <c r="F34" i="4"/>
  <c r="G34" i="4" s="1"/>
  <c r="C25" i="4"/>
  <c r="F25" i="4" s="1"/>
  <c r="C26" i="4"/>
  <c r="F26" i="4" s="1"/>
  <c r="C31" i="4"/>
  <c r="C27" i="4"/>
  <c r="Q54" i="54"/>
  <c r="R54" i="54" s="1"/>
  <c r="J54" i="54"/>
  <c r="K54" i="54" s="1"/>
  <c r="U56" i="1"/>
  <c r="W56" i="1"/>
  <c r="U57" i="1"/>
  <c r="W57" i="1"/>
  <c r="U61" i="1"/>
  <c r="W61" i="1"/>
  <c r="U59" i="1"/>
  <c r="W59" i="1"/>
  <c r="U60" i="1"/>
  <c r="W60" i="1"/>
  <c r="U58" i="1"/>
  <c r="W58" i="1"/>
  <c r="AA56" i="1"/>
  <c r="P59" i="1"/>
  <c r="E42" i="32"/>
  <c r="B145" i="29"/>
  <c r="I3" i="29"/>
  <c r="N23" i="26"/>
  <c r="E44" i="32"/>
  <c r="O33" i="26"/>
  <c r="N22" i="26"/>
  <c r="O27" i="26"/>
  <c r="N40" i="26"/>
  <c r="F60" i="4"/>
  <c r="N34" i="26"/>
  <c r="N37" i="26"/>
  <c r="O37" i="26"/>
  <c r="N41" i="26"/>
  <c r="O41" i="26"/>
  <c r="D117" i="26" s="1"/>
  <c r="D114" i="26"/>
  <c r="N42" i="26"/>
  <c r="O42" i="26"/>
  <c r="D118" i="26" s="1"/>
  <c r="N35" i="26"/>
  <c r="N28" i="26"/>
  <c r="O68" i="26"/>
  <c r="O81" i="26"/>
  <c r="P81" i="26"/>
  <c r="O75" i="26"/>
  <c r="P75" i="26"/>
  <c r="F65" i="4"/>
  <c r="F67" i="4"/>
  <c r="B110" i="4"/>
  <c r="V123" i="29"/>
  <c r="B116" i="26"/>
  <c r="M36" i="26"/>
  <c r="N38" i="26"/>
  <c r="N39" i="26"/>
  <c r="P146" i="29"/>
  <c r="P147" i="29" s="1"/>
  <c r="L34" i="54"/>
  <c r="M34" i="54" s="1"/>
  <c r="N34" i="54" s="1"/>
  <c r="O34" i="54" s="1"/>
  <c r="D88" i="12"/>
  <c r="H71" i="12"/>
  <c r="D90" i="12"/>
  <c r="H79" i="12"/>
  <c r="D89" i="12"/>
  <c r="H76" i="12"/>
  <c r="D87" i="12"/>
  <c r="H64" i="12"/>
  <c r="G9" i="54"/>
  <c r="H9" i="54" s="1"/>
  <c r="J9" i="54" s="1"/>
  <c r="K9" i="54" s="1"/>
  <c r="J117" i="54"/>
  <c r="K117" i="54" s="1"/>
  <c r="L28" i="54"/>
  <c r="M28" i="54" s="1"/>
  <c r="N28" i="54" s="1"/>
  <c r="O28" i="54" s="1"/>
  <c r="Q46" i="54"/>
  <c r="R46" i="54" s="1"/>
  <c r="S8" i="4"/>
  <c r="T8" i="4" s="1"/>
  <c r="V8" i="4" s="1"/>
  <c r="E24" i="4"/>
  <c r="L13" i="54"/>
  <c r="M13" i="54" s="1"/>
  <c r="N13" i="54" s="1"/>
  <c r="O13" i="54" s="1"/>
  <c r="J46" i="54"/>
  <c r="K46" i="54" s="1"/>
  <c r="J41" i="54"/>
  <c r="K41" i="54" s="1"/>
  <c r="J74" i="54"/>
  <c r="K74" i="54" s="1"/>
  <c r="U123" i="29"/>
  <c r="L29" i="54"/>
  <c r="M29" i="54" s="1"/>
  <c r="N29" i="54" s="1"/>
  <c r="O29" i="54" s="1"/>
  <c r="G45" i="54"/>
  <c r="H45" i="54" s="1"/>
  <c r="J45" i="54" s="1"/>
  <c r="K45" i="54" s="1"/>
  <c r="N41" i="54"/>
  <c r="O41" i="54" s="1"/>
  <c r="L6" i="54"/>
  <c r="L35" i="54"/>
  <c r="M35" i="54" s="1"/>
  <c r="N35" i="54" s="1"/>
  <c r="O35" i="54" s="1"/>
  <c r="J57" i="54"/>
  <c r="K57" i="54" s="1"/>
  <c r="J42" i="54"/>
  <c r="K42" i="54" s="1"/>
  <c r="J51" i="54"/>
  <c r="K51" i="54" s="1"/>
  <c r="J47" i="54"/>
  <c r="K47" i="54" s="1"/>
  <c r="S11" i="4"/>
  <c r="T11" i="4" s="1"/>
  <c r="V11" i="4" s="1"/>
  <c r="C41" i="64"/>
  <c r="E11" i="4"/>
  <c r="J72" i="54"/>
  <c r="K72" i="54" s="1"/>
  <c r="Q72" i="54"/>
  <c r="R72" i="54" s="1"/>
  <c r="J44" i="54"/>
  <c r="K44" i="54" s="1"/>
  <c r="G33" i="54"/>
  <c r="H33" i="54" s="1"/>
  <c r="J33" i="54" s="1"/>
  <c r="K33" i="54" s="1"/>
  <c r="L12" i="54"/>
  <c r="M12" i="54" s="1"/>
  <c r="N12" i="54" s="1"/>
  <c r="N44" i="54"/>
  <c r="O44" i="54" s="1"/>
  <c r="E13" i="64"/>
  <c r="M32" i="64" s="1"/>
  <c r="J70" i="54"/>
  <c r="K70" i="54" s="1"/>
  <c r="N46" i="54"/>
  <c r="O46" i="54" s="1"/>
  <c r="J8" i="54"/>
  <c r="K8" i="54" s="1"/>
  <c r="Q51" i="54"/>
  <c r="R51" i="54" s="1"/>
  <c r="L37" i="54"/>
  <c r="M37" i="54" s="1"/>
  <c r="N37" i="54" s="1"/>
  <c r="O37" i="54" s="1"/>
  <c r="Q70" i="54"/>
  <c r="R70" i="54" s="1"/>
  <c r="G39" i="54"/>
  <c r="H39" i="54" s="1"/>
  <c r="Q39" i="54" s="1"/>
  <c r="R39" i="54" s="1"/>
  <c r="Q8" i="54"/>
  <c r="R8" i="54" s="1"/>
  <c r="Q44" i="54"/>
  <c r="R44" i="54" s="1"/>
  <c r="Q43" i="54"/>
  <c r="R43" i="54" s="1"/>
  <c r="L50" i="54"/>
  <c r="M50" i="54" s="1"/>
  <c r="N50" i="54" s="1"/>
  <c r="O50" i="54" s="1"/>
  <c r="L43" i="54"/>
  <c r="M43" i="54" s="1"/>
  <c r="N43" i="54" s="1"/>
  <c r="O43" i="54" s="1"/>
  <c r="N51" i="54"/>
  <c r="O51" i="54" s="1"/>
  <c r="L19" i="54"/>
  <c r="M19" i="54" s="1"/>
  <c r="N19" i="54" s="1"/>
  <c r="O19" i="54" s="1"/>
  <c r="N14" i="54"/>
  <c r="O14" i="54" s="1"/>
  <c r="Q42" i="54"/>
  <c r="R42" i="54" s="1"/>
  <c r="G48" i="54"/>
  <c r="H48" i="54" s="1"/>
  <c r="N48" i="54" s="1"/>
  <c r="N42" i="54"/>
  <c r="O42" i="54" s="1"/>
  <c r="L49" i="54"/>
  <c r="M49" i="54" s="1"/>
  <c r="G49" i="54"/>
  <c r="H49" i="54" s="1"/>
  <c r="G5" i="54"/>
  <c r="H5" i="54" s="1"/>
  <c r="Q5" i="54" s="1"/>
  <c r="R5" i="54" s="1"/>
  <c r="J63" i="54"/>
  <c r="K63" i="54" s="1"/>
  <c r="Q14" i="54"/>
  <c r="R14" i="54" s="1"/>
  <c r="J14" i="54"/>
  <c r="K14" i="54" s="1"/>
  <c r="G17" i="54"/>
  <c r="H17" i="54" s="1"/>
  <c r="L17" i="54"/>
  <c r="M17" i="54" s="1"/>
  <c r="C20" i="64"/>
  <c r="J99" i="54"/>
  <c r="K99" i="54" s="1"/>
  <c r="B113" i="4"/>
  <c r="Q58" i="54"/>
  <c r="R58" i="54" s="1"/>
  <c r="J64" i="54"/>
  <c r="K64" i="54" s="1"/>
  <c r="G23" i="54"/>
  <c r="H23" i="54" s="1"/>
  <c r="N23" i="54" s="1"/>
  <c r="O23" i="54" s="1"/>
  <c r="G40" i="54"/>
  <c r="H40" i="54" s="1"/>
  <c r="L40" i="54"/>
  <c r="M40" i="54" s="1"/>
  <c r="Q41" i="54"/>
  <c r="R41" i="54" s="1"/>
  <c r="E8" i="4"/>
  <c r="J86" i="54"/>
  <c r="K86" i="54" s="1"/>
  <c r="Q77" i="54"/>
  <c r="R77" i="54" s="1"/>
  <c r="Q84" i="54"/>
  <c r="R84" i="54" s="1"/>
  <c r="E10" i="64"/>
  <c r="M26" i="64" s="1"/>
  <c r="G30" i="54"/>
  <c r="H30" i="54" s="1"/>
  <c r="L30" i="54"/>
  <c r="M30" i="54" s="1"/>
  <c r="L10" i="54"/>
  <c r="M10" i="54" s="1"/>
  <c r="N10" i="54" s="1"/>
  <c r="G31" i="54"/>
  <c r="H31" i="54" s="1"/>
  <c r="L31" i="54"/>
  <c r="M31" i="54" s="1"/>
  <c r="L27" i="54"/>
  <c r="M27" i="54" s="1"/>
  <c r="G27" i="54"/>
  <c r="H27" i="54" s="1"/>
  <c r="G15" i="54"/>
  <c r="H15" i="54" s="1"/>
  <c r="L15" i="54"/>
  <c r="M15" i="54" s="1"/>
  <c r="L7" i="54"/>
  <c r="M7" i="54" s="1"/>
  <c r="G7" i="54"/>
  <c r="H7" i="54" s="1"/>
  <c r="Q34" i="54"/>
  <c r="R34" i="54" s="1"/>
  <c r="J81" i="54"/>
  <c r="K81" i="54" s="1"/>
  <c r="B111" i="4"/>
  <c r="J82" i="54"/>
  <c r="K82" i="54" s="1"/>
  <c r="N4" i="54"/>
  <c r="O4" i="54" s="1"/>
  <c r="Q4" i="54"/>
  <c r="R4" i="54" s="1"/>
  <c r="J4" i="54"/>
  <c r="K4" i="54" s="1"/>
  <c r="J105" i="54"/>
  <c r="K105" i="54" s="1"/>
  <c r="J100" i="54"/>
  <c r="K100" i="54" s="1"/>
  <c r="N47" i="54"/>
  <c r="O47" i="54" s="1"/>
  <c r="Q47" i="54"/>
  <c r="R47" i="54" s="1"/>
  <c r="J71" i="54"/>
  <c r="K71" i="54" s="1"/>
  <c r="L3" i="54"/>
  <c r="M3" i="54" s="1"/>
  <c r="G3" i="54"/>
  <c r="H3" i="54" s="1"/>
  <c r="L53" i="54"/>
  <c r="M53" i="54" s="1"/>
  <c r="G53" i="54"/>
  <c r="H53" i="54" s="1"/>
  <c r="J53" i="54" s="1"/>
  <c r="K53" i="54" s="1"/>
  <c r="Q62" i="54"/>
  <c r="R62" i="54" s="1"/>
  <c r="I87" i="54"/>
  <c r="I88" i="54" s="1"/>
  <c r="D18" i="64"/>
  <c r="J67" i="54"/>
  <c r="K67" i="54" s="1"/>
  <c r="J50" i="54"/>
  <c r="K50" i="54" s="1"/>
  <c r="Q50" i="54"/>
  <c r="R50" i="54" s="1"/>
  <c r="J13" i="54"/>
  <c r="K13" i="54" s="1"/>
  <c r="Q13" i="54"/>
  <c r="R13" i="54" s="1"/>
  <c r="Q81" i="54"/>
  <c r="R81" i="54" s="1"/>
  <c r="Q73" i="54"/>
  <c r="R73" i="54" s="1"/>
  <c r="J73" i="54"/>
  <c r="K73" i="54" s="1"/>
  <c r="J34" i="54"/>
  <c r="K34" i="54" s="1"/>
  <c r="J65" i="54"/>
  <c r="K65" i="54" s="1"/>
  <c r="Q65" i="54"/>
  <c r="R65" i="54" s="1"/>
  <c r="Q76" i="54"/>
  <c r="R76" i="54" s="1"/>
  <c r="J76" i="54"/>
  <c r="K76" i="54" s="1"/>
  <c r="J66" i="54"/>
  <c r="K66" i="54" s="1"/>
  <c r="Q66" i="54"/>
  <c r="R66" i="54" s="1"/>
  <c r="D19" i="64"/>
  <c r="G20" i="54"/>
  <c r="H20" i="54" s="1"/>
  <c r="L20" i="54"/>
  <c r="M20" i="54" s="1"/>
  <c r="L21" i="54"/>
  <c r="M21" i="54" s="1"/>
  <c r="G21" i="54"/>
  <c r="H21" i="54" s="1"/>
  <c r="Q80" i="54"/>
  <c r="R80" i="54" s="1"/>
  <c r="J80" i="54"/>
  <c r="K80" i="54" s="1"/>
  <c r="N25" i="54"/>
  <c r="O25" i="54" s="1"/>
  <c r="Q25" i="54"/>
  <c r="R25" i="54" s="1"/>
  <c r="J25" i="54"/>
  <c r="K25" i="54" s="1"/>
  <c r="J83" i="54"/>
  <c r="K83" i="54" s="1"/>
  <c r="Q83" i="54"/>
  <c r="R83" i="54" s="1"/>
  <c r="L22" i="54"/>
  <c r="M22" i="54" s="1"/>
  <c r="G22" i="54"/>
  <c r="H22" i="54" s="1"/>
  <c r="G32" i="54"/>
  <c r="H32" i="54" s="1"/>
  <c r="L32" i="54"/>
  <c r="M32" i="54" s="1"/>
  <c r="J29" i="54"/>
  <c r="K29" i="54" s="1"/>
  <c r="Q29" i="54"/>
  <c r="R29" i="54" s="1"/>
  <c r="J107" i="54"/>
  <c r="K107" i="54" s="1"/>
  <c r="Q28" i="54"/>
  <c r="R28" i="54" s="1"/>
  <c r="J28" i="54"/>
  <c r="K28" i="54" s="1"/>
  <c r="Q56" i="54"/>
  <c r="R56" i="54" s="1"/>
  <c r="J56" i="54"/>
  <c r="K56" i="54" s="1"/>
  <c r="N56" i="54"/>
  <c r="O56" i="54" s="1"/>
  <c r="J61" i="54"/>
  <c r="K61" i="54" s="1"/>
  <c r="Q61" i="54"/>
  <c r="R61" i="54" s="1"/>
  <c r="J6" i="54"/>
  <c r="Q6" i="54"/>
  <c r="Q19" i="54"/>
  <c r="R19" i="54" s="1"/>
  <c r="J19" i="54"/>
  <c r="K19" i="54" s="1"/>
  <c r="V29" i="54"/>
  <c r="G11" i="54"/>
  <c r="H11" i="54" s="1"/>
  <c r="L11" i="54"/>
  <c r="M11" i="54" s="1"/>
  <c r="L18" i="54"/>
  <c r="M18" i="54" s="1"/>
  <c r="G18" i="54"/>
  <c r="H18" i="54" s="1"/>
  <c r="Q12" i="54"/>
  <c r="J12" i="54"/>
  <c r="B98" i="4"/>
  <c r="F94" i="4" s="1"/>
  <c r="B94" i="4"/>
  <c r="F92" i="4" s="1"/>
  <c r="N26" i="54"/>
  <c r="J26" i="54"/>
  <c r="Q26" i="54"/>
  <c r="M35" i="64"/>
  <c r="J37" i="54"/>
  <c r="K37" i="54" s="1"/>
  <c r="Q37" i="54"/>
  <c r="R37" i="54" s="1"/>
  <c r="J98" i="54"/>
  <c r="K98" i="54" s="1"/>
  <c r="J10" i="54"/>
  <c r="Q10" i="54"/>
  <c r="Q35" i="54"/>
  <c r="R35" i="54" s="1"/>
  <c r="J35" i="54"/>
  <c r="K35" i="54" s="1"/>
  <c r="B20" i="64"/>
  <c r="H18" i="64"/>
  <c r="E17" i="64"/>
  <c r="E35" i="4"/>
  <c r="S15" i="4"/>
  <c r="T15" i="4" s="1"/>
  <c r="V15" i="4" s="1"/>
  <c r="E15" i="4"/>
  <c r="R8" i="115" l="1"/>
  <c r="S8" i="115"/>
  <c r="T8" i="115" s="1"/>
  <c r="S6" i="115"/>
  <c r="T6" i="115" s="1"/>
  <c r="R6" i="115"/>
  <c r="S10" i="115"/>
  <c r="T10" i="115" s="1"/>
  <c r="R10" i="115"/>
  <c r="S11" i="115"/>
  <c r="T11" i="115" s="1"/>
  <c r="R11" i="115"/>
  <c r="S7" i="115"/>
  <c r="T7" i="115" s="1"/>
  <c r="R7" i="115"/>
  <c r="S9" i="115"/>
  <c r="T9" i="115" s="1"/>
  <c r="R9" i="115"/>
  <c r="E11" i="115"/>
  <c r="L11" i="115" s="1"/>
  <c r="F11" i="115"/>
  <c r="E10" i="115"/>
  <c r="L10" i="115" s="1"/>
  <c r="F10" i="115"/>
  <c r="E8" i="115"/>
  <c r="L8" i="115" s="1"/>
  <c r="F8" i="115"/>
  <c r="E6" i="115"/>
  <c r="L6" i="115" s="1"/>
  <c r="F6" i="115"/>
  <c r="E9" i="115"/>
  <c r="L9" i="115" s="1"/>
  <c r="F9" i="115"/>
  <c r="E7" i="115"/>
  <c r="L7" i="115" s="1"/>
  <c r="F7" i="115"/>
  <c r="V56" i="1"/>
  <c r="N52" i="54"/>
  <c r="O52" i="54" s="1"/>
  <c r="Q52" i="54"/>
  <c r="R52" i="54" s="1"/>
  <c r="B146" i="29"/>
  <c r="B147" i="29" s="1"/>
  <c r="I2" i="29" s="1"/>
  <c r="N55" i="54"/>
  <c r="O55" i="54" s="1"/>
  <c r="J55" i="54"/>
  <c r="W50" i="54" s="1"/>
  <c r="F35" i="4"/>
  <c r="G35" i="4" s="1"/>
  <c r="F31" i="4"/>
  <c r="G31" i="4" s="1"/>
  <c r="F27" i="4"/>
  <c r="G27" i="4" s="1"/>
  <c r="F24" i="4"/>
  <c r="Y59" i="1"/>
  <c r="Y61" i="1"/>
  <c r="Y58" i="1"/>
  <c r="Y57" i="1"/>
  <c r="Y60" i="1"/>
  <c r="Y56" i="1"/>
  <c r="O36" i="26"/>
  <c r="D116" i="26" s="1"/>
  <c r="B112" i="4"/>
  <c r="N36" i="26"/>
  <c r="N33" i="54"/>
  <c r="O33" i="54" s="1"/>
  <c r="N9" i="54"/>
  <c r="O9" i="54" s="1"/>
  <c r="Q9" i="54"/>
  <c r="R9" i="54" s="1"/>
  <c r="N45" i="54"/>
  <c r="O45" i="54" s="1"/>
  <c r="X59" i="54" s="1"/>
  <c r="Q45" i="54"/>
  <c r="R45" i="54" s="1"/>
  <c r="Y59" i="54" s="1"/>
  <c r="Q33" i="54"/>
  <c r="R33" i="54" s="1"/>
  <c r="J5" i="54"/>
  <c r="K5" i="54" s="1"/>
  <c r="N5" i="54"/>
  <c r="O5" i="54" s="1"/>
  <c r="E12" i="64"/>
  <c r="M29" i="64" s="1"/>
  <c r="E22" i="4"/>
  <c r="C16" i="4"/>
  <c r="E10" i="4"/>
  <c r="S10" i="4"/>
  <c r="T10" i="4" s="1"/>
  <c r="V10" i="4" s="1"/>
  <c r="W59" i="54"/>
  <c r="N15" i="54"/>
  <c r="O15" i="54" s="1"/>
  <c r="N31" i="54"/>
  <c r="O31" i="54" s="1"/>
  <c r="N17" i="54"/>
  <c r="O17" i="54" s="1"/>
  <c r="N39" i="54"/>
  <c r="O39" i="54" s="1"/>
  <c r="J39" i="54"/>
  <c r="K39" i="54" s="1"/>
  <c r="Q48" i="54"/>
  <c r="R48" i="54" s="1"/>
  <c r="J48" i="54"/>
  <c r="K48" i="54" s="1"/>
  <c r="J17" i="54"/>
  <c r="K17" i="54" s="1"/>
  <c r="Q17" i="54"/>
  <c r="R17" i="54" s="1"/>
  <c r="Q49" i="54"/>
  <c r="R49" i="54" s="1"/>
  <c r="J49" i="54"/>
  <c r="K49" i="54" s="1"/>
  <c r="N49" i="54"/>
  <c r="O49" i="54" s="1"/>
  <c r="Q23" i="54"/>
  <c r="R23" i="54" s="1"/>
  <c r="J23" i="54"/>
  <c r="K23" i="54" s="1"/>
  <c r="Q40" i="54"/>
  <c r="R40" i="54" s="1"/>
  <c r="Y58" i="54" s="1"/>
  <c r="N40" i="54"/>
  <c r="O40" i="54" s="1"/>
  <c r="J40" i="54"/>
  <c r="K40" i="54" s="1"/>
  <c r="O48" i="54"/>
  <c r="Q15" i="54"/>
  <c r="R15" i="54" s="1"/>
  <c r="J15" i="54"/>
  <c r="K15" i="54" s="1"/>
  <c r="J31" i="54"/>
  <c r="K31" i="54" s="1"/>
  <c r="Q31" i="54"/>
  <c r="R31" i="54" s="1"/>
  <c r="Q30" i="54"/>
  <c r="R30" i="54" s="1"/>
  <c r="J30" i="54"/>
  <c r="K30" i="54" s="1"/>
  <c r="N30" i="54"/>
  <c r="O30" i="54" s="1"/>
  <c r="Q27" i="54"/>
  <c r="R27" i="54" s="1"/>
  <c r="J27" i="54"/>
  <c r="K27" i="54" s="1"/>
  <c r="N27" i="54"/>
  <c r="O27" i="54" s="1"/>
  <c r="D20" i="64"/>
  <c r="J7" i="54"/>
  <c r="K7" i="54" s="1"/>
  <c r="N7" i="54"/>
  <c r="O7" i="54" s="1"/>
  <c r="Q7" i="54"/>
  <c r="R7" i="54" s="1"/>
  <c r="J3" i="54"/>
  <c r="K3" i="54" s="1"/>
  <c r="N3" i="54"/>
  <c r="O3" i="54" s="1"/>
  <c r="Q3" i="54"/>
  <c r="R3" i="54" s="1"/>
  <c r="U37" i="54"/>
  <c r="N53" i="54"/>
  <c r="O53" i="54" s="1"/>
  <c r="Q53" i="54"/>
  <c r="R53" i="54" s="1"/>
  <c r="K121" i="54"/>
  <c r="E5" i="4"/>
  <c r="E23" i="4"/>
  <c r="S5" i="4"/>
  <c r="T5" i="4" s="1"/>
  <c r="V5" i="4" s="1"/>
  <c r="E7" i="64"/>
  <c r="N6" i="64" s="1"/>
  <c r="J20" i="54"/>
  <c r="K20" i="54" s="1"/>
  <c r="N20" i="54"/>
  <c r="O20" i="54" s="1"/>
  <c r="Q20" i="54"/>
  <c r="R20" i="54" s="1"/>
  <c r="J21" i="54"/>
  <c r="N21" i="54"/>
  <c r="Q21" i="54"/>
  <c r="N32" i="54"/>
  <c r="O32" i="54" s="1"/>
  <c r="J32" i="54"/>
  <c r="K32" i="54" s="1"/>
  <c r="Q32" i="54"/>
  <c r="R32" i="54" s="1"/>
  <c r="Q22" i="54"/>
  <c r="R22" i="54" s="1"/>
  <c r="N22" i="54"/>
  <c r="O22" i="54" s="1"/>
  <c r="J22" i="54"/>
  <c r="K22" i="54" s="1"/>
  <c r="K10" i="54"/>
  <c r="K26" i="54"/>
  <c r="O12" i="54"/>
  <c r="J11" i="54"/>
  <c r="K11" i="54" s="1"/>
  <c r="N11" i="54"/>
  <c r="O11" i="54" s="1"/>
  <c r="Q11" i="54"/>
  <c r="R11" i="54" s="1"/>
  <c r="R6" i="54"/>
  <c r="O26" i="54"/>
  <c r="Q18" i="54"/>
  <c r="N18" i="54"/>
  <c r="J18" i="54"/>
  <c r="K6" i="54"/>
  <c r="R10" i="54"/>
  <c r="R55" i="54"/>
  <c r="K12" i="54"/>
  <c r="H87" i="54"/>
  <c r="H88" i="54" s="1"/>
  <c r="O10" i="54"/>
  <c r="R26" i="54"/>
  <c r="R12" i="54"/>
  <c r="U29" i="54"/>
  <c r="N18" i="64"/>
  <c r="K11" i="115" l="1"/>
  <c r="K7" i="115"/>
  <c r="K8" i="115"/>
  <c r="K9" i="115"/>
  <c r="K10" i="115"/>
  <c r="K6" i="115"/>
  <c r="V59" i="1"/>
  <c r="O12" i="115"/>
  <c r="D12" i="115" a="1"/>
  <c r="D12" i="115" s="1"/>
  <c r="Q12" i="115" s="1"/>
  <c r="K55" i="54"/>
  <c r="X50" i="54" s="1"/>
  <c r="C152" i="4"/>
  <c r="C151" i="4"/>
  <c r="C150" i="4"/>
  <c r="B96" i="4"/>
  <c r="F93" i="4" s="1"/>
  <c r="F22" i="4"/>
  <c r="B95" i="4" s="1"/>
  <c r="D93" i="4" s="1"/>
  <c r="F23" i="4"/>
  <c r="E19" i="64"/>
  <c r="E16" i="4"/>
  <c r="AB49" i="54"/>
  <c r="AA49" i="54"/>
  <c r="Y45" i="54"/>
  <c r="Z45" i="54"/>
  <c r="B93" i="4"/>
  <c r="D92" i="4" s="1"/>
  <c r="B97" i="4"/>
  <c r="D94" i="4" s="1"/>
  <c r="B105" i="4"/>
  <c r="X58" i="54"/>
  <c r="X60" i="54" s="1"/>
  <c r="Z59" i="54"/>
  <c r="Y43" i="54"/>
  <c r="X45" i="54"/>
  <c r="W45" i="54"/>
  <c r="Y60" i="54"/>
  <c r="W58" i="54"/>
  <c r="W60" i="54" s="1"/>
  <c r="X49" i="54"/>
  <c r="AB45" i="54"/>
  <c r="W43" i="54"/>
  <c r="AA45" i="54"/>
  <c r="AA50" i="54"/>
  <c r="X48" i="54"/>
  <c r="AA48" i="54"/>
  <c r="AB50" i="54"/>
  <c r="AA43" i="54"/>
  <c r="W48" i="54"/>
  <c r="W49" i="54"/>
  <c r="Z48" i="54"/>
  <c r="J87" i="54"/>
  <c r="Y48" i="54"/>
  <c r="Z49" i="54"/>
  <c r="Y49" i="54"/>
  <c r="B107" i="4"/>
  <c r="AB48" i="54"/>
  <c r="Y50" i="54"/>
  <c r="Y44" i="54"/>
  <c r="W37" i="54"/>
  <c r="Z50" i="54"/>
  <c r="Z43" i="54"/>
  <c r="E18" i="64"/>
  <c r="E20" i="64"/>
  <c r="R21" i="54"/>
  <c r="AB47" i="54" s="1"/>
  <c r="AA47" i="54"/>
  <c r="W29" i="54"/>
  <c r="O21" i="54"/>
  <c r="Z47" i="54" s="1"/>
  <c r="Y47" i="54"/>
  <c r="K21" i="54"/>
  <c r="X47" i="54" s="1"/>
  <c r="W47" i="54"/>
  <c r="X44" i="54"/>
  <c r="O18" i="54"/>
  <c r="Z46" i="54" s="1"/>
  <c r="Y46" i="54"/>
  <c r="Z44" i="54"/>
  <c r="AA44" i="54"/>
  <c r="R18" i="54"/>
  <c r="AB46" i="54" s="1"/>
  <c r="AA46" i="54"/>
  <c r="W33" i="54"/>
  <c r="AB44" i="54"/>
  <c r="X43" i="54"/>
  <c r="AB43" i="54"/>
  <c r="W44" i="54"/>
  <c r="K18" i="54"/>
  <c r="X46" i="54" s="1"/>
  <c r="W46" i="54"/>
  <c r="S12" i="115" l="1"/>
  <c r="T12" i="115" s="1"/>
  <c r="R12" i="115"/>
  <c r="E12" i="115"/>
  <c r="L12" i="115" s="1"/>
  <c r="F12" i="115"/>
  <c r="B106" i="4"/>
  <c r="Z58" i="54"/>
  <c r="Z60" i="54" s="1"/>
  <c r="X33" i="54"/>
  <c r="K87" i="54"/>
  <c r="K88" i="54" s="1"/>
  <c r="Y51" i="54"/>
  <c r="Z51" i="54"/>
  <c r="W51" i="54"/>
  <c r="AA51" i="54"/>
  <c r="AB51" i="54"/>
  <c r="X51" i="54"/>
  <c r="X37" i="54"/>
  <c r="X29" i="54"/>
  <c r="K12" i="115" l="1"/>
  <c r="H23" i="118"/>
  <c r="H22" i="118"/>
  <c r="F23" i="118"/>
  <c r="F22" i="118"/>
  <c r="F21" i="118"/>
  <c r="H13" i="118" l="1"/>
  <c r="H14" i="118"/>
  <c r="H12" i="118"/>
  <c r="H17" i="118"/>
  <c r="H18" i="118" s="1"/>
  <c r="H21" i="118"/>
  <c r="F12" i="118"/>
  <c r="H8" i="118"/>
  <c r="F17" i="118"/>
  <c r="F18" i="118" s="1"/>
  <c r="H9" i="118" l="1"/>
  <c r="N9" i="118" s="1"/>
  <c r="O9" i="118" s="1"/>
  <c r="N8" i="1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tc={74397534-4861-4CC2-914B-A05E5DB955C4}</author>
    <author>tc={4044C344-4F47-4CE5-9B65-F03BD31E4523}</author>
    <author>tc={3F999200-A93C-44D6-8A16-A20CFA32F5FF}</author>
    <author>tc={75C931A9-1D9D-46F0-9651-50125810CA27}</author>
    <author>tc={1962CD15-856F-468B-9514-CC425605A5ED}</author>
    <author>tc={CEB2F462-1057-4534-8E9A-5BD12D6BD84A}</author>
    <author>tc={222E58C0-A49C-4DAD-9D69-CEC78F45710E}</author>
    <author>tc={0C8C6709-4530-4EAF-901F-7A331F5C4D7F}</author>
    <author>tc={12E15364-CB3F-471B-B140-AF07392646B0}</author>
    <author>tc={162C1E80-59E5-42F1-8855-D7F9A9AEEAAE}</author>
    <author>tc={8A6F364F-A6C2-4259-B20E-F2C9A826D957}</author>
    <author>tc={04592958-0DEA-43AB-BD2D-AAB67143C667}</author>
    <author>tc={B21C7472-B02B-4E10-86AE-FF48CC8CE80E}</author>
    <author>tc={F8859447-4AA6-4AA6-9237-D097A2A7BA63}</author>
    <author>tc={B3B4E135-6759-4D63-9E11-01A47DA34282}</author>
    <author>tc={1B247681-1489-4279-9768-67975548BA2C}</author>
    <author>tc={24FA21A6-9725-4535-9EBE-AAF4FEF4D90C}</author>
    <author>tc={16A29B51-7761-4F17-B0F8-CB02F2C77B12}</author>
    <author>tc={08B2D8C4-F8FC-41B5-84A9-519241867F2D}</author>
    <author>tc={3A69A087-CC66-4BFD-A315-707E9AF54407}</author>
    <author>tc={C160DAEE-2E03-492F-917B-2CDAE9B2E5C2}</author>
    <author>tc={42BABB0C-5B12-4BF9-ABD3-CC2BC5E84C12}</author>
    <author>tc={D6673DC8-181F-45D5-B1A6-D7CAD2CCE7E9}</author>
    <author>tc={D486DC4F-8825-4C9D-BCAC-BD2DED496201}</author>
    <author>tc={CD5B93F0-D7AE-4A67-B032-1B402AC040BC}</author>
    <author>tc={FB2FE5A4-EE63-43DB-A977-43AA111FF01D}</author>
    <author>tc={22EFB659-2339-4676-8CEA-5C62BFCC0E21}</author>
    <author>tc={90348ACE-1853-407F-9088-17D339EE42F2}</author>
    <author>tc={BB267428-AE9D-4231-B7D9-15B21DF51566}</author>
    <author>tc={D37CA9ED-A799-4EE9-BF26-4E369B53012A}</author>
    <author>tc={7EEEE922-C898-411C-B63E-44304A7AA49A}</author>
    <author>tc={19E420AE-D884-4DC4-B2F7-B60A02D3E461}</author>
    <author>tc={BEE38BF1-E739-42C8-8FAF-83B2C6F39430}</author>
    <author>tc={336E5396-F129-4D17-A688-24AA24E228D7}</author>
    <author>tc={2C09372E-EFEF-41FF-B045-C83621F022D3}</author>
    <author>tc={EFD20F6D-C919-4B01-A68A-911BB3AA1D33}</author>
    <author>tc={B11B1956-47AF-4136-8111-E865E900F5CB}</author>
    <author>tc={43664F84-4782-441A-A5BE-14D5E8CEDA30}</author>
    <author>tc={4D35DD2B-128A-46B9-9733-D7C2F2C0A01C}</author>
    <author>tc={17DA783A-C529-4CBC-91CA-1CAD2BEF1E8A}</author>
    <author>tc={62A4B621-ADF1-4A85-B578-BA720FFF76A3}</author>
    <author>tc={EACFBA2E-253B-4615-8F78-57FF3C3DFC64}</author>
    <author>tc={304B8C78-1EDB-4815-810E-D7C24A8AE3F5}</author>
    <author>tc={AAE684FF-88D7-4FB4-8B2D-3C2CCD7B8038}</author>
    <author>tc={078554BB-06F0-4FD7-B1FB-B56359950BBD}</author>
    <author>tc={8CC96BC0-48CE-4E0B-A2F3-85A53CF88090}</author>
    <author>tc={CFD3DC83-8300-4537-8E4A-7F8C967A4029}</author>
    <author>tc={5F32A5FD-B316-48E2-A1F1-B88200B54B6D}</author>
    <author>tc={3C730509-695D-4379-B16E-A09D87378E61}</author>
    <author>tc={C686C913-ACB7-4203-95BA-A54F4C9435BD}</author>
    <author>tc={856E799D-704B-41C0-AD44-03DA8786C925}</author>
    <author>tc={6625460F-3136-45B4-895B-26DD59C4F39C}</author>
    <author>tc={7ECF5251-5CBD-431A-B6E2-03DC8D416063}</author>
    <author>tc={1B8C3581-2C70-4679-9C29-856B8063E37A}</author>
    <author>tc={C43461D2-979D-40E4-8899-E23853BEBF24}</author>
    <author>tc={D2B177A8-90C9-49F9-A976-48325EC4AB6E}</author>
    <author>tc={2016F649-069E-4BE2-A35B-0504DE030E87}</author>
    <author>tc={6581AA20-AAB6-4AE6-BF94-5AC23EC52908}</author>
    <author>tc={3D93C4B2-5336-4905-B7EC-35FEB1E0C0EB}</author>
    <author>tc={93C802EE-17E2-410D-AEA5-6B89DBAA42CB}</author>
    <author>tc={8F350B2B-D26B-4547-B86B-F283D1A35326}</author>
    <author>tc={EA33B4D4-CE42-4ADF-AAB5-C0B8DF787AD5}</author>
    <author>tc={CC143250-2CFD-45D2-B092-344A5CA91C98}</author>
    <author>tc={E7E150BA-B760-48E1-8D30-6A5829AB2085}</author>
  </authors>
  <commentList>
    <comment ref="V2" authorId="0" shapeId="0" xr:uid="{74397534-4861-4CC2-914B-A05E5DB955C4}">
      <text>
        <t>[Threaded comment]
Your version of Excel allows you to read this threaded comment; however, any edits to it will get removed if the file is opened in a newer version of Excel. Learn more: https://go.microsoft.com/fwlink/?linkid=870924
Comment:
    Red text =&lt;20%</t>
      </text>
    </comment>
    <comment ref="AB9" authorId="1" shapeId="0" xr:uid="{4044C344-4F47-4CE5-9B65-F03BD31E4523}">
      <text>
        <t>[Threaded comment]
Your version of Excel allows you to read this threaded comment; however, any edits to it will get removed if the file is opened in a newer version of Excel. Learn more: https://go.microsoft.com/fwlink/?linkid=870924
Comment:
    Note to comment
Based on recorded readings as per forecasting spreadsheet
Reply:
    NFV Loads reviewed 20/04/2022
Reply:
    NFV reserved loads updated on 26/07/2022
Reply:
    NFV reserved loads updated on 23/12/2022
Reply:
    NFV reserved loads updated on 27/02/2023
Reply:
    NFV reserved loads updated on 25/07/2023
Reply:
    NFV reserved loads updated on 12/12/23</t>
      </text>
    </comment>
    <comment ref="AB22" authorId="2" shapeId="0" xr:uid="{3F999200-A93C-44D6-8A16-A20CFA32F5FF}">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3/10/2022
Reply:
    NFV reserved loads updated on 23/12/2022
Reply:
    NFV reserved loads updated on 25/07/23
Reply:
    NFV reserved loads updated on 25/08/2023 
Reply:
    NFV reserved loads updated on 11/10/2023</t>
      </text>
    </comment>
    <comment ref="AC22" authorId="3" shapeId="0" xr:uid="{75C931A9-1D9D-46F0-9651-50125810CA27}">
      <text>
        <t>[Threaded comment]
Your version of Excel allows you to read this threaded comment; however, any edits to it will get removed if the file is opened in a newer version of Excel. Learn more: https://go.microsoft.com/fwlink/?linkid=870924
Comment:
    20A removed from PECEH reserved load for ISNG probes (23027) as for NFV probing</t>
      </text>
    </comment>
    <comment ref="E23" authorId="4" shapeId="0" xr:uid="{1962CD15-856F-468B-9514-CC425605A5ED}">
      <text>
        <t>[Threaded comment]
Your version of Excel allows you to read this threaded comment; however, any edits to it will get removed if the file is opened in a newer version of Excel. Learn more: https://go.microsoft.com/fwlink/?linkid=870924
Comment:
    Last update 21/04/24. Possible loss of controller may have contributed to increase in loads on other plants</t>
      </text>
    </comment>
    <comment ref="AC24" authorId="5" shapeId="0" xr:uid="{CEB2F462-1057-4534-8E9A-5BD12D6BD84A}">
      <text>
        <t>[Threaded comment]
Your version of Excel allows you to read this threaded comment; however, any edits to it will get removed if the file is opened in a newer version of Excel. Learn more: https://go.microsoft.com/fwlink/?linkid=870924
Comment:
    20A removed from PEEEH reserved load for ISNG probes (23027) as for NFV probing</t>
      </text>
    </comment>
    <comment ref="AC25" authorId="6" shapeId="0" xr:uid="{222E58C0-A49C-4DAD-9D69-CEC78F45710E}">
      <text>
        <t>[Threaded comment]
Your version of Excel allows you to read this threaded comment; however, any edits to it will get removed if the file is opened in a newer version of Excel. Learn more: https://go.microsoft.com/fwlink/?linkid=870924
Comment:
    20A removed from PEFEH reserved load for ISNG probes (23027) as for NFV probing</t>
      </text>
    </comment>
    <comment ref="AC27" authorId="7" shapeId="0" xr:uid="{0C8C6709-4530-4EAF-901F-7A331F5C4D7F}">
      <text>
        <t>[Threaded comment]
Your version of Excel allows you to read this threaded comment; however, any edits to it will get removed if the file is opened in a newer version of Excel. Learn more: https://go.microsoft.com/fwlink/?linkid=870924
Comment:
    HGW Due to move onto NFV will reduce the load by 5kW</t>
      </text>
    </comment>
    <comment ref="D29" authorId="8" shapeId="0" xr:uid="{12E15364-CB3F-471B-B140-AF07392646B0}">
      <text>
        <t>[Threaded comment]
Your version of Excel allows you to read this threaded comment; however, any edits to it will get removed if the file is opened in a newer version of Excel. Learn more: https://go.microsoft.com/fwlink/?linkid=870924
Comment:
    Last update 10/03/24</t>
      </text>
    </comment>
    <comment ref="X32" authorId="9" shapeId="0" xr:uid="{162C1E80-59E5-42F1-8855-D7F9A9AEEAAE}">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Z32" authorId="10" shapeId="0" xr:uid="{8A6F364F-A6C2-4259-B20E-F2C9A826D957}">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AB32" authorId="11" shapeId="0" xr:uid="{04592958-0DEA-43AB-BD2D-AAB67143C667}">
      <text>
        <t xml:space="preserve">[Threaded comment]
Your version of Excel allows you to read this threaded comment; however, any edits to it will get removed if the file is opened in a newer version of Excel. Learn more: https://go.microsoft.com/fwlink/?linkid=870924
Comment:
    New NFV Live and reserved loads added 14/06/2022
Reply:
    NFV reserved loads updated on 26/08/2022 Synergy Frames capacity reduced from 7.5kW to 6kW 
Reply:
    NFV Live load readings taken 10/10/2022 reserved updated 
Reply:
    NFV reserved loads updated on 29/12/2022 
Reply:
    NFV reserved loads reviewed 
Reply:
    NFV reserved loads updated 26/09/2023
Reply:
    NFV reserved loads reviewed 02/11/23
Reply:
    NFV reserved loads updated on 13th Dec 23
Reply:
    NFV reserved loads updated on 21st Dec 
Reply:
    NFV reserved loads updated on 20th Feb </t>
      </text>
    </comment>
    <comment ref="AD34" authorId="12" shapeId="0" xr:uid="{B21C7472-B02B-4E10-86AE-FF48CC8CE80E}">
      <text>
        <t>[Threaded comment]
Your version of Excel allows you to read this threaded comment; however, any edits to it will get removed if the file is opened in a newer version of Excel. Learn more: https://go.microsoft.com/fwlink/?linkid=870924
Comment:
    allows S2R to deliver for 3 site 6M SAU delivery
Reply:
    Proposed location 194/195 hence C&amp;D</t>
      </text>
    </comment>
    <comment ref="B37" authorId="13" shapeId="0" xr:uid="{F8859447-4AA6-4AA6-9237-D097A2A7BA63}">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7" authorId="14" shapeId="0" xr:uid="{B3B4E135-6759-4D63-9E11-01A47DA34282}">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7" authorId="15" shapeId="0" xr:uid="{1B247681-1489-4279-9768-67975548BA2C}">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7" authorId="16" shapeId="0" xr:uid="{24FA21A6-9725-4535-9EBE-AAF4FEF4D90C}">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B38" authorId="17" shapeId="0" xr:uid="{16A29B51-7761-4F17-B0F8-CB02F2C77B12}">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8" authorId="18" shapeId="0" xr:uid="{08B2D8C4-F8FC-41B5-84A9-519241867F2D}">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8" authorId="19" shapeId="0" xr:uid="{3A69A087-CC66-4BFD-A315-707E9AF54407}">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8" authorId="20" shapeId="0" xr:uid="{C160DAEE-2E03-492F-917B-2CDAE9B2E5C2}">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D39" authorId="21" shapeId="0" xr:uid="{42BABB0C-5B12-4BF9-ABD3-CC2BC5E84C12}">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AB39" authorId="22" shapeId="0" xr:uid="{D6673DC8-181F-45D5-B1A6-D7CAD2CCE7E9}">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 from 7.5kW to 6kW on 26/08/2022
Reply:
    NFV Load review undertook on 19th Dec 22
Reply:
    NFV Load review undertook on 20th Feb-23 
Reply:
    NFV Load review undertaken 
Reply:
    NFV loads review undertaken 
Reply:
    NFV reserved loads updated 11/12/23</t>
      </text>
    </comment>
    <comment ref="AE39" authorId="23" shapeId="0" xr:uid="{D486DC4F-8825-4C9D-BCAC-BD2DED496201}">
      <text>
        <t>[Threaded comment]
Your version of Excel allows you to read this threaded comment; however, any edits to it will get removed if the file is opened in a newer version of Excel. Learn more: https://go.microsoft.com/fwlink/?linkid=870924
Comment:
    45A allocated</t>
      </text>
    </comment>
    <comment ref="D40" authorId="24" shapeId="0" xr:uid="{CD5B93F0-D7AE-4A67-B032-1B402AC040BC}">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AE40" authorId="25" shapeId="0" xr:uid="{FB2FE5A4-EE63-43DB-A977-43AA111FF01D}">
      <text>
        <t>[Threaded comment]
Your version of Excel allows you to read this threaded comment; however, any edits to it will get removed if the file is opened in a newer version of Excel. Learn more: https://go.microsoft.com/fwlink/?linkid=870924
Comment:
    45A allocated</t>
      </text>
    </comment>
    <comment ref="D41" authorId="26" shapeId="0" xr:uid="{22EFB659-2339-4676-8CEA-5C62BFCC0E21}">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3" authorId="27" shapeId="0" xr:uid="{90348ACE-1853-407F-9088-17D339EE42F2}">
      <text>
        <t>[Threaded comment]
Your version of Excel allows you to read this threaded comment; however, any edits to it will get removed if the file is opened in a newer version of Excel. Learn more: https://go.microsoft.com/fwlink/?linkid=870924
Comment:
    Last update 11/02/24</t>
      </text>
    </comment>
    <comment ref="D44" authorId="28" shapeId="0" xr:uid="{BB267428-AE9D-4231-B7D9-15B21DF51566}">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7" authorId="29" shapeId="0" xr:uid="{D37CA9ED-A799-4EE9-BF26-4E369B53012A}">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D49" authorId="30" shapeId="0" xr:uid="{7EEEE922-C898-411C-B63E-44304A7AA49A}">
      <text>
        <t>[Threaded comment]
Your version of Excel allows you to read this threaded comment; however, any edits to it will get removed if the file is opened in a newer version of Excel. Learn more: https://go.microsoft.com/fwlink/?linkid=870924
Comment:
    Last reading 25/02/24</t>
      </text>
    </comment>
    <comment ref="H53" authorId="31" shapeId="0" xr:uid="{19E420AE-D884-4DC4-B2F7-B60A02D3E461}">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4" authorId="32" shapeId="0" xr:uid="{BEE38BF1-E739-42C8-8FAF-83B2C6F39430}">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5" authorId="33" shapeId="0" xr:uid="{336E5396-F129-4D17-A688-24AA24E228D7}">
      <text>
        <t>[Threaded comment]
Your version of Excel allows you to read this threaded comment; however, any edits to it will get removed if the file is opened in a newer version of Excel. Learn more: https://go.microsoft.com/fwlink/?linkid=870924
Comment:
    07/01/21 x24 removed for use at XEH</t>
      </text>
    </comment>
    <comment ref="V56" authorId="34" shapeId="0" xr:uid="{2C09372E-EFEF-41FF-B045-C83621F022D3}">
      <text>
        <t>[Threaded comment]
Your version of Excel allows you to read this threaded comment; however, any edits to it will get removed if the file is opened in a newer version of Excel. Learn more: https://go.microsoft.com/fwlink/?linkid=870924
Comment:
    20kW reduction to align with bldg capability (480kW reduced to 460kW)</t>
      </text>
    </comment>
    <comment ref="X56" authorId="35" shapeId="0" xr:uid="{EFD20F6D-C919-4B01-A68A-911BB3AA1D33}">
      <text>
        <t>[Threaded comment]
Your version of Excel allows you to read this threaded comment; however, any edits to it will get removed if the file is opened in a newer version of Excel. Learn more: https://go.microsoft.com/fwlink/?linkid=870924
Comment:
    Max tech load fig used (460kW) as lower than deployed usable capability (480kW)</t>
      </text>
    </comment>
    <comment ref="AB56" authorId="36" shapeId="0" xr:uid="{B11B1956-47AF-4136-8111-E865E900F5CB}">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26/7/2022
Reply:
    NFV Load review undertook on 19th Dec 
Reply:
    NFV load review undertaken on 27/02/2023
Reply:
    NFV Load review undertaken 
Reply:
    NFV reserved load reading undertaken 25/07/2023
Reply:
    NFV reserved load review undertaken 
Reply:
    NFV Load review undertaken 11/12/23</t>
      </text>
    </comment>
    <comment ref="V59" authorId="37" shapeId="0" xr:uid="{43664F84-4782-441A-A5BE-14D5E8CEDA30}">
      <text>
        <t>[Threaded comment]
Your version of Excel allows you to read this threaded comment; however, any edits to it will get removed if the file is opened in a newer version of Excel. Learn more: https://go.microsoft.com/fwlink/?linkid=870924
Comment:
    Max usable tech load fig used as this is lower than the deployed capability</t>
      </text>
    </comment>
    <comment ref="AB64" authorId="38" shapeId="0" xr:uid="{4D35DD2B-128A-46B9-9733-D7C2F2C0A01C}">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23/12/2022
Reply:
    NFV reserved loads updated on 23/12/2023</t>
      </text>
    </comment>
    <comment ref="D70" authorId="39" shapeId="0" xr:uid="{17DA783A-C529-4CBC-91CA-1CAD2BEF1E8A}">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0" authorId="40" shapeId="0" xr:uid="{62A4B621-ADF1-4A85-B578-BA720FFF76A3}">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D71" authorId="41" shapeId="0" xr:uid="{EACFBA2E-253B-4615-8F78-57FF3C3DFC64}">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1" authorId="42" shapeId="0" xr:uid="{304B8C78-1EDB-4815-810E-D7C24A8AE3F5}">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AB73" authorId="43" shapeId="0" xr:uid="{AAE684FF-88D7-4FB4-8B2D-3C2CCD7B8038}">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reduced from 7.5kW to 6kW on 26/08/2022 
Reply:
    NFV reserved loads updated 29/12/2022 
Reply:
    NFV reserved loads updated 
Reply:
    NFV Load updated on 29th July 23
Reply:
    NFV live &amp; reserved loads updated 30/08/2023
Reply:
    NFV reserved loads updated 12/12/23</t>
      </text>
    </comment>
    <comment ref="H75" authorId="44" shapeId="0" xr:uid="{078554BB-06F0-4FD7-B1FB-B56359950BBD}">
      <text>
        <t>[Threaded comment]
Your version of Excel allows you to read this threaded comment; however, any edits to it will get removed if the file is opened in a newer version of Excel. Learn more: https://go.microsoft.com/fwlink/?linkid=870924
Comment:
    Number of modules reduced to 28 to  move capacity onto DCSYS07a &amp; b 
Reply:
    Following Eaton Upgrade revised rectifier count is 34</t>
      </text>
    </comment>
    <comment ref="AG76" authorId="45" shapeId="0" xr:uid="{8CC96BC0-48CE-4E0B-A2F3-85A53CF88090}">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AE77" authorId="46" shapeId="0" xr:uid="{CFD3DC83-8300-4537-8E4A-7F8C967A4029}">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W78" authorId="47" shapeId="0" xr:uid="{5F32A5FD-B316-48E2-A1F1-B88200B54B6D}">
      <text>
        <t>[Threaded comment]
Your version of Excel allows you to read this threaded comment; however, any edits to it will get removed if the file is opened in a newer version of Excel. Learn more: https://go.microsoft.com/fwlink/?linkid=870924
Comment:
    Pending expansion of x5 rectifiers 
Reply:
    upgrade completed</t>
      </text>
    </comment>
    <comment ref="W79" authorId="48" shapeId="0" xr:uid="{3C730509-695D-4379-B16E-A09D87378E61}">
      <text>
        <t xml:space="preserve">[Threaded comment]
Your version of Excel allows you to read this threaded comment; however, any edits to it will get removed if the file is opened in a newer version of Excel. Learn more: https://go.microsoft.com/fwlink/?linkid=870924
Comment:
    Pending expansion of x5 rectifiers </t>
      </text>
    </comment>
    <comment ref="AD86" authorId="49" shapeId="0" xr:uid="{C686C913-ACB7-4203-95BA-A54F4C9435BD}">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87" authorId="50" shapeId="0" xr:uid="{856E799D-704B-41C0-AD44-03DA8786C92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E94" authorId="51" shapeId="0" xr:uid="{6625460F-3136-45B4-895B-26DD59C4F39C}">
      <text>
        <t>[Threaded comment]
Your version of Excel allows you to read this threaded comment; however, any edits to it will get removed if the file is opened in a newer version of Excel. Learn more: https://go.microsoft.com/fwlink/?linkid=870924
Comment:
    65A allocated</t>
      </text>
    </comment>
    <comment ref="AE95" authorId="52" shapeId="0" xr:uid="{7ECF5251-5CBD-431A-B6E2-03DC8D416063}">
      <text>
        <t>[Threaded comment]
Your version of Excel allows you to read this threaded comment; however, any edits to it will get removed if the file is opened in a newer version of Excel. Learn more: https://go.microsoft.com/fwlink/?linkid=870924
Comment:
    65A allocated</t>
      </text>
    </comment>
    <comment ref="B96" authorId="53" shapeId="0" xr:uid="{1B8C3581-2C70-4679-9C29-856B8063E37A}">
      <text>
        <t>[Threaded comment]
Your version of Excel allows you to read this threaded comment; however, any edits to it will get removed if the file is opened in a newer version of Excel. Learn more: https://go.microsoft.com/fwlink/?linkid=870924
Comment:
    85A increase on 19/08/22. Likely to be Redstream Evo RA, though no increase on PEDCF
05/9/22- 48A decrease
12/09/22- 26A decrease
26/09/22- 33A increase
03/10/22- 16A decrease
17/10/22- 24A increase
12/12/22- 100A decrease</t>
      </text>
    </comment>
    <comment ref="AG99" authorId="54" shapeId="0" xr:uid="{C43461D2-979D-40E4-8899-E23853BEBF24}">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AI99" authorId="55" shapeId="0" xr:uid="{D2B177A8-90C9-49F9-A976-48325EC4AB6E}">
      <text>
        <t xml:space="preserve">[Threaded comment]
Your version of Excel allows you to read this threaded comment; however, any edits to it will get removed if the file is opened in a newer version of Excel. Learn more: https://go.microsoft.com/fwlink/?linkid=870924
Comment:
    Reduced to 13A after M-CE upgrade completed </t>
      </text>
    </comment>
    <comment ref="AG100" authorId="56" shapeId="0" xr:uid="{2016F649-069E-4BE2-A35B-0504DE030E87}">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D109" authorId="57" shapeId="0" xr:uid="{6581AA20-AAB6-4AE6-BF94-5AC23EC52908}">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E109" authorId="58" shapeId="0" xr:uid="{3D93C4B2-5336-4905-B7EC-35FEB1E0C0E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D112" authorId="59" shapeId="0" xr:uid="{93C802EE-17E2-410D-AEA5-6B89DBAA42C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E112" authorId="60" shapeId="0" xr:uid="{8F350B2B-D26B-4547-B86B-F283D1A35326}">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Last load reading 22/4/24</t>
      </text>
    </comment>
    <comment ref="AD112" authorId="61" shapeId="0" xr:uid="{EA33B4D4-CE42-4ADF-AAB5-C0B8DF787AD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113" authorId="62" shapeId="0" xr:uid="{CC143250-2CFD-45D2-B092-344A5CA91C98}">
      <text>
        <t>[Threaded comment]
Your version of Excel allows you to read this threaded comment; however, any edits to it will get removed if the file is opened in a newer version of Excel. Learn more: https://go.microsoft.com/fwlink/?linkid=870924
Comment:
    No kit in cabs yet</t>
      </text>
    </comment>
    <comment ref="B133" authorId="63" shapeId="0" xr:uid="{E7E150BA-B760-48E1-8D30-6A5829AB2085}">
      <text>
        <t xml:space="preserve">[Threaded comment]
Your version of Excel allows you to read this threaded comment; however, any edits to it will get removed if the file is opened in a newer version of Excel. Learn more: https://go.microsoft.com/fwlink/?linkid=870924
Comment:
    XCY currently manually added as 42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tc={3128CC90-9AC3-4779-88CC-8EB09B67ABB2}</author>
    <author>tc={0D3D5D95-95B3-4033-BA30-9A35F1E4F00D}</author>
    <author>tc={2F1AFB8F-0E22-4FE7-80DC-6FEABDBE522F}</author>
    <author>tc={0E73A71C-C1A2-47B4-BCEE-B902E5BF8E4D}</author>
    <author>tc={D25619FA-6E1D-470A-8B2C-742747E2B0BA}</author>
    <author>tc={3D78C261-D0C9-4CBD-9CB4-983F0BAF814F}</author>
    <author>tc={067DDED6-0FF4-4D1A-9A90-A398D482D6F3}</author>
    <author>tc={EFC44177-A6C0-4FE9-AC17-BB660BD056DC}</author>
    <author>tc={12091D0C-42C6-4C50-BA09-48100E9988CB}</author>
    <author>tc={396EA0A4-261A-4021-A24E-19D6610B92D1}</author>
    <author>tc={BA9B4F02-CE40-4B62-93F2-57DD62243B50}</author>
    <author>tc={EBF32E5C-E253-448F-9D8F-79EA1E4A7000}</author>
    <author>tc={AC5AD687-0B2D-48C3-B906-35AC5933F5A4}</author>
    <author>tc={C1AC5E86-B67A-4C21-AC64-11ECFC225A2B}</author>
    <author>tc={1E10E234-72D3-4A9E-82F6-A1B8D939B48D}</author>
    <author>tc={7C218501-A518-4987-BCE4-7E4D722115CC}</author>
    <author>tc={54733D5A-BDCB-4510-A5F3-F2FB48E6201E}</author>
    <author>tc={8A094481-666A-4883-86AB-6AEA22058F72}</author>
  </authors>
  <commentList>
    <comment ref="X1" authorId="0" shapeId="0" xr:uid="{3128CC90-9AC3-4779-88CC-8EB09B67ABB2}">
      <text>
        <t>[Threaded comment]
Your version of Excel allows you to read this threaded comment; however, any edits to it will get removed if the file is opened in a newer version of Excel. Learn more: https://go.microsoft.com/fwlink/?linkid=870924
Comment:
    Value (W)/54.5/No of plants feeding AC plant then add 10% for losses</t>
      </text>
    </comment>
    <comment ref="P2" authorId="1" shapeId="0" xr:uid="{0D3D5D95-95B3-4033-BA30-9A35F1E4F00D}">
      <text>
        <t>[Threaded comment]
Your version of Excel allows you to read this threaded comment; however, any edits to it will get removed if the file is opened in a newer version of Excel. Learn more: https://go.microsoft.com/fwlink/?linkid=870924
Comment:
    Security Cage</t>
      </text>
    </comment>
    <comment ref="B20" authorId="2" shapeId="0" xr:uid="{2F1AFB8F-0E22-4FE7-80DC-6FEABDBE522F}">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0" authorId="3" shapeId="0" xr:uid="{0E73A71C-C1A2-47B4-BCEE-B902E5BF8E4D}">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B21" authorId="4" shapeId="0" xr:uid="{D25619FA-6E1D-470A-8B2C-742747E2B0BA}">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1" authorId="5" shapeId="0" xr:uid="{3D78C261-D0C9-4CBD-9CB4-983F0BAF814F}">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W22" authorId="6" shapeId="0" xr:uid="{067DDED6-0FF4-4D1A-9A90-A398D482D6F3}">
      <text>
        <t xml:space="preserve">[Threaded comment]
Your version of Excel allows you to read this threaded comment; however, any edits to it will get removed if the file is opened in a newer version of Excel. Learn more: https://go.microsoft.com/fwlink/?linkid=870924
Comment:
    VFPTSP 22005. 12A allocated, 4A reduction to match XOM
Reply:
    Compute 421 reduced from 7.1A allocated </t>
      </text>
    </comment>
    <comment ref="K28" authorId="7" shapeId="0" xr:uid="{EFC44177-A6C0-4FE9-AC17-BB660BD056DC}">
      <text>
        <t>[Threaded comment]
Your version of Excel allows you to read this threaded comment; however, any edits to it will get removed if the file is opened in a newer version of Excel. Learn more: https://go.microsoft.com/fwlink/?linkid=870924
Comment:
    Load from AxScada</t>
      </text>
    </comment>
    <comment ref="K29" authorId="8" shapeId="0" xr:uid="{12091D0C-42C6-4C50-BA09-48100E9988CB}">
      <text>
        <t>[Threaded comment]
Your version of Excel allows you to read this threaded comment; however, any edits to it will get removed if the file is opened in a newer version of Excel. Learn more: https://go.microsoft.com/fwlink/?linkid=870924
Comment:
    Load from AxScada</t>
      </text>
    </comment>
    <comment ref="D30" authorId="9" shapeId="0" xr:uid="{396EA0A4-261A-4021-A24E-19D6610B92D1}">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D31" authorId="10" shapeId="0" xr:uid="{BA9B4F02-CE40-4B62-93F2-57DD62243B50}">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B52" authorId="11" shapeId="0" xr:uid="{EBF32E5C-E253-448F-9D8F-79EA1E4A7000}">
      <text>
        <t>[Threaded comment]
Your version of Excel allows you to read this threaded comment; however, any edits to it will get removed if the file is opened in a newer version of Excel. Learn more: https://go.microsoft.com/fwlink/?linkid=870924
Comment:
    Max load on PDU 75kW/ 94kVA, max 130A per phase,</t>
      </text>
    </comment>
    <comment ref="D52" authorId="12" shapeId="0" xr:uid="{AC5AD687-0B2D-48C3-B906-35AC5933F5A4}">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E52" authorId="13" shapeId="0" xr:uid="{C1AC5E86-B67A-4C21-AC64-11ECFC225A2B}">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F52" authorId="14" shapeId="0" xr:uid="{1E10E234-72D3-4A9E-82F6-A1B8D939B48D}">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M52" authorId="15" shapeId="0" xr:uid="{7C218501-A518-4987-BCE4-7E4D722115CC}">
      <text>
        <t xml:space="preserve">[Threaded comment]
Your version of Excel allows you to read this threaded comment; however, any edits to it will get removed if the file is opened in a newer version of Excel. Learn more: https://go.microsoft.com/fwlink/?linkid=870924
Comment:
    Refer to AxScada
</t>
      </text>
    </comment>
    <comment ref="C62" authorId="16" shapeId="0" xr:uid="{54733D5A-BDCB-4510-A5F3-F2FB48E6201E}">
      <text>
        <t>[Threaded comment]
Your version of Excel allows you to read this threaded comment; however, any edits to it will get removed if the file is opened in a newer version of Excel. Learn more: https://go.microsoft.com/fwlink/?linkid=870924
Comment:
    Security cage has max allocatoin of 20kW. 
11/12/17 Cage has 16kW remaining</t>
      </text>
    </comment>
    <comment ref="D112" authorId="17" shapeId="0" xr:uid="{8A094481-666A-4883-86AB-6AEA22058F72}">
      <text>
        <t>[Threaded comment]
Your version of Excel allows you to read this threaded comment; however, any edits to it will get removed if the file is opened in a newer version of Excel. Learn more: https://go.microsoft.com/fwlink/?linkid=870924
Comment:
    (130A per phase) Max 75kW on PDU
https://axscada.ad.plc.cwintra.com/login pmc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 Rich</author>
    <author>Lee, Richard.X, Vodafone</author>
    <author>tc={658D8832-E490-4308-A5C0-2275E1E98D40}</author>
    <author>tc={24F6E1D4-DBF6-4C78-B110-A5AB764F9AD1}</author>
    <author>tc={FECD739F-7180-46E8-90E0-D75CED46DE85}</author>
  </authors>
  <commentList>
    <comment ref="F10" authorId="0" shapeId="0" xr:uid="{475F3F69-6A8D-4FCC-8027-4A71319DD2D8}">
      <text>
        <r>
          <rPr>
            <b/>
            <sz val="9"/>
            <color indexed="81"/>
            <rFont val="Tahoma"/>
            <family val="2"/>
          </rPr>
          <t>Lee, Rich:</t>
        </r>
        <r>
          <rPr>
            <sz val="9"/>
            <color indexed="81"/>
            <rFont val="Tahoma"/>
            <family val="2"/>
          </rPr>
          <t xml:space="preserve">
Use 6% figure to ensure total adds to 100% as current utilisation is 94%
</t>
        </r>
      </text>
    </comment>
    <comment ref="K10" authorId="0" shapeId="0" xr:uid="{32B48EC5-D1CD-4DD0-90D2-7178C8DBAF38}">
      <text>
        <r>
          <rPr>
            <b/>
            <sz val="9"/>
            <color indexed="81"/>
            <rFont val="Tahoma"/>
            <family val="2"/>
          </rPr>
          <t>Lee, Rich:</t>
        </r>
        <r>
          <rPr>
            <sz val="9"/>
            <color indexed="81"/>
            <rFont val="Tahoma"/>
            <family val="2"/>
          </rPr>
          <t xml:space="preserve">
This is remaining capacity based on 94% utilisation as we have exceeded 90% capacity management limit</t>
        </r>
      </text>
    </comment>
    <comment ref="D13" authorId="1" shapeId="0" xr:uid="{B6B59B31-036C-44F7-B049-6D4F909FA32C}">
      <text>
        <r>
          <rPr>
            <sz val="8"/>
            <rFont val="Arial"/>
            <family val="2"/>
          </rPr>
          <t xml:space="preserve">Lee, Richard.X, Vodafone:
Combined AC &amp; DC total
DC = 190kW (80% of N)
AC = 310kW
AP 
AC only figures 345kW
</t>
        </r>
      </text>
    </comment>
    <comment ref="G13" authorId="2" shapeId="0" xr:uid="{658D8832-E490-4308-A5C0-2275E1E98D40}">
      <text>
        <t xml:space="preserve">[Threaded comment]
Your version of Excel allows you to read this threaded comment; however, any edits to it will get removed if the file is opened in a newer version of Excel. Learn more: https://go.microsoft.com/fwlink/?linkid=870924
Comment:
    Note this figure taken from iPDU sheets not true running loads but are forecast loads . 160 running load is the 221kW less 61kW Reserved </t>
      </text>
    </comment>
    <comment ref="H13" authorId="3" shapeId="0" xr:uid="{24F6E1D4-DBF6-4C78-B110-A5AB764F9AD1}">
      <text>
        <t xml:space="preserve">[Threaded comment]
Your version of Excel allows you to read this threaded comment; however, any edits to it will get removed if the file is opened in a newer version of Excel. Learn more: https://go.microsoft.com/fwlink/?linkid=870924
Comment:
    The Reserved figures is based on the live figures from the NFV Ops team </t>
      </text>
    </comment>
    <comment ref="R13" authorId="4" shapeId="0" xr:uid="{FECD739F-7180-46E8-90E0-D75CED46DE85}">
      <text>
        <t xml:space="preserve">[Threaded comment]
Your version of Excel allows you to read this threaded comment; however, any edits to it will get removed if the file is opened in a newer version of Excel. Learn more: https://go.microsoft.com/fwlink/?linkid=870924
Comment:
    Should this not be 90% for the AC in BKLN05?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tc={70A9B99F-7015-445F-9C56-1CA2527A00B5}</author>
    <author>tc={F2D34359-723C-4459-8D1A-BAC37A0E4353}</author>
    <author>tc={21E86459-B018-4876-8880-9A257C155443}</author>
    <author>tc={E733F22B-3C16-485A-ACE5-3D298FDA9346}</author>
    <author>tc={0306553E-DBF2-4100-A2C3-CD678BCB3FD5}</author>
    <author>tc={23A3E0FB-B3B7-49C6-B4C5-AC84C1897F75}</author>
    <author>tc={3F50C7C3-DA93-41AE-97F6-4D93F7E96D01}</author>
    <author>tc={9E934B6B-F1DC-4A01-B66A-0B4C8ED8ADF3}</author>
    <author>tc={BF3846B0-4800-4F2E-A29F-2BD464CD40E5}</author>
    <author>tc={B67DB61F-C9FA-4937-86C9-1165D7E2F800}</author>
    <author>tc={AC7EF483-E598-4498-8067-0633DA997477}</author>
    <author>tc={7D6C2CA1-EC8B-4E1B-92A5-7F3A40C3E549}</author>
    <author>tc={9A2702D3-7B46-4FFA-BA7D-B825CFD584AF}</author>
    <author>tc={014D749D-0601-4F46-8E56-51326AB2B704}</author>
    <author>tc={878F0D92-3E99-4FBF-8FC3-FB45FC2C1C74}</author>
    <author>tc={CD34E952-E5D7-4BEB-BE86-716A55B720B3}</author>
    <author>tc={A2A909BA-E663-4638-B7D2-44EE78305791}</author>
    <author>tc={98B17BCE-AC73-4889-BD36-F7F7F84B226F}</author>
    <author>tc={BA72F4BA-159A-4E57-8A72-9FB97AEBE627}</author>
    <author>tc={5DE2416C-750A-4334-A597-6A2147E6A45D}</author>
    <author>tc={7D7D05E8-014F-4621-BE94-0F03F63C27E5}</author>
    <author>tc={2B4490C1-B9C4-48C9-8300-926BC65D2954}</author>
    <author>tc={FB707332-0C38-4557-8306-72ADCCE5BC78}</author>
    <author>tc={6B3845D7-B3C6-449C-9240-0DB8751DF7D7}</author>
    <author>tc={F09865DB-9C5B-44B9-80A7-32BBE2F86205}</author>
    <author>tc={1AB73024-FDA6-4CFF-9714-EF85F0646855}</author>
    <author>tc={39889C24-36F5-4764-917C-98D4489DF220}</author>
    <author>tc={C4CD9F3C-90A5-423F-8179-638637AD22BD}</author>
    <author>tc={BC2DB773-D665-46AE-9608-BDDB94EA651A}</author>
    <author>tc={3C58D041-526D-4543-AA11-A9752D1B1334}</author>
    <author>tc={8B1556D4-19B0-4193-9AF6-4A5EF49E32E0}</author>
    <author>tc={10732EAD-E866-4FC4-928F-EB39590F1697}</author>
  </authors>
  <commentList>
    <comment ref="B1" authorId="0" shapeId="0" xr:uid="{70A9B99F-7015-445F-9C56-1CA2527A00B5}">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D1" authorId="1" shapeId="0" xr:uid="{F2D34359-723C-4459-8D1A-BAC37A0E4353}">
      <text>
        <t>[Threaded comment]
Your version of Excel allows you to read this threaded comment; however, any edits to it will get removed if the file is opened in a newer version of Excel. Learn more: https://go.microsoft.com/fwlink/?linkid=870924
Comment:
    Inc HAC</t>
      </text>
    </comment>
    <comment ref="F1" authorId="2" shapeId="0" xr:uid="{21E86459-B018-4876-8880-9A257C155443}">
      <text>
        <t>[Threaded comment]
Your version of Excel allows you to read this threaded comment; however, any edits to it will get removed if the file is opened in a newer version of Excel. Learn more: https://go.microsoft.com/fwlink/?linkid=870924
Comment:
    Inc HAC</t>
      </text>
    </comment>
    <comment ref="B5" authorId="3" shapeId="0" xr:uid="{E733F22B-3C16-485A-ACE5-3D298FDA9346}">
      <text>
        <t>[Threaded comment]
Your version of Excel allows you to read this threaded comment; however, any edits to it will get removed if the file is opened in a newer version of Excel. Learn more: https://go.microsoft.com/fwlink/?linkid=870924
Comment:
    Vax Rm= 9m²</t>
      </text>
    </comment>
    <comment ref="B7" authorId="4" shapeId="0" xr:uid="{0306553E-DBF2-4100-A2C3-CD678BCB3FD5}">
      <text>
        <t>[Threaded comment]
Your version of Excel allows you to read this threaded comment; however, any edits to it will get removed if the file is opened in a newer version of Excel. Learn more: https://go.microsoft.com/fwlink/?linkid=870924
Comment:
    Sw Rm 2= 450m²</t>
      </text>
    </comment>
    <comment ref="B13" authorId="5" shapeId="0" xr:uid="{23A3E0FB-B3B7-49C6-B4C5-AC84C1897F75}">
      <text>
        <t>[Threaded comment]
Your version of Excel allows you to read this threaded comment; however, any edits to it will get removed if the file is opened in a newer version of Excel. Learn more: https://go.microsoft.com/fwlink/?linkid=870924
Comment:
    Sw Rm 2= 598m²</t>
      </text>
    </comment>
    <comment ref="J21" authorId="6" shapeId="0" xr:uid="{3F50C7C3-DA93-41AE-97F6-4D93F7E96D01}">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J32" authorId="7" shapeId="0" xr:uid="{9E934B6B-F1DC-4A01-B66A-0B4C8ED8ADF3}">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M36" authorId="8" shapeId="0" xr:uid="{BF3846B0-4800-4F2E-A29F-2BD464CD40E5}">
      <text>
        <t>[Threaded comment]
Your version of Excel allows you to read this threaded comment; however, any edits to it will get removed if the file is opened in a newer version of Excel. Learn more: https://go.microsoft.com/fwlink/?linkid=870924
Comment:
    Basement figs omitted</t>
      </text>
    </comment>
    <comment ref="B49" authorId="9" shapeId="0" xr:uid="{B67DB61F-C9FA-4937-86C9-1165D7E2F800}">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B50" authorId="10" shapeId="0" xr:uid="{AC7EF483-E598-4498-8067-0633DA997477}">
      <text>
        <t>[Threaded comment]
Your version of Excel allows you to read this threaded comment; however, any edits to it will get removed if the file is opened in a newer version of Excel. Learn more: https://go.microsoft.com/fwlink/?linkid=870924
Comment:
    Sw Rm 2=59m², Sw Rm 3=152m², Sw Rm 4=145m², Sw Rm 5= 18m²</t>
      </text>
    </comment>
    <comment ref="B51" authorId="11" shapeId="0" xr:uid="{7D6C2CA1-EC8B-4E1B-92A5-7F3A40C3E549}">
      <text>
        <t>[Threaded comment]
Your version of Excel allows you to read this threaded comment; however, any edits to it will get removed if the file is opened in a newer version of Excel. Learn more: https://go.microsoft.com/fwlink/?linkid=870924
Comment:
    Sw Rm2= 445m²</t>
      </text>
    </comment>
    <comment ref="B52" authorId="12" shapeId="0" xr:uid="{9A2702D3-7B46-4FFA-BA7D-B825CFD584AF}">
      <text>
        <t>[Threaded comment]
Your version of Excel allows you to read this threaded comment; however, any edits to it will get removed if the file is opened in a newer version of Excel. Learn more: https://go.microsoft.com/fwlink/?linkid=870924
Comment:
    Comms Rm= 22m²</t>
      </text>
    </comment>
    <comment ref="B53" authorId="13" shapeId="0" xr:uid="{014D749D-0601-4F46-8E56-51326AB2B704}">
      <text>
        <t>[Threaded comment]
Your version of Excel allows you to read this threaded comment; however, any edits to it will get removed if the file is opened in a newer version of Excel. Learn more: https://go.microsoft.com/fwlink/?linkid=870924
Comment:
    Comms Rm=26m²</t>
      </text>
    </comment>
    <comment ref="B54" authorId="14" shapeId="0" xr:uid="{878F0D92-3E99-4FBF-8FC3-FB45FC2C1C74}">
      <text>
        <t>[Threaded comment]
Your version of Excel allows you to read this threaded comment; however, any edits to it will get removed if the file is opened in a newer version of Excel. Learn more: https://go.microsoft.com/fwlink/?linkid=870924
Comment:
    Sw Rm 2= 16m²</t>
      </text>
    </comment>
    <comment ref="B55" authorId="15" shapeId="0" xr:uid="{CD34E952-E5D7-4BEB-BE86-716A55B720B3}">
      <text>
        <t>[Threaded comment]
Your version of Excel allows you to read this threaded comment; however, any edits to it will get removed if the file is opened in a newer version of Excel. Learn more: https://go.microsoft.com/fwlink/?linkid=870924
Comment:
    Sw Rm 2= 181m²</t>
      </text>
    </comment>
    <comment ref="B56" authorId="16" shapeId="0" xr:uid="{A2A909BA-E663-4638-B7D2-44EE78305791}">
      <text>
        <t>[Threaded comment]
Your version of Excel allows you to read this threaded comment; however, any edits to it will get removed if the file is opened in a newer version of Excel. Learn more: https://go.microsoft.com/fwlink/?linkid=870924
Comment:
    Sw Rm 3= 328m²</t>
      </text>
    </comment>
    <comment ref="B58" authorId="17" shapeId="0" xr:uid="{98B17BCE-AC73-4889-BD36-F7F7F84B226F}">
      <text>
        <t>[Threaded comment]
Your version of Excel allows you to read this threaded comment; however, any edits to it will get removed if the file is opened in a newer version of Excel. Learn more: https://go.microsoft.com/fwlink/?linkid=870924
Comment:
    Sw Rm 2= 159m²</t>
      </text>
    </comment>
    <comment ref="B61" authorId="18" shapeId="0" xr:uid="{BA72F4BA-159A-4E57-8A72-9FB97AEBE627}">
      <text>
        <t>[Threaded comment]
Your version of Excel allows you to read this threaded comment; however, any edits to it will get removed if the file is opened in a newer version of Excel. Learn more: https://go.microsoft.com/fwlink/?linkid=870924
Comment:
    Sw Rm B= 150m²</t>
      </text>
    </comment>
    <comment ref="C93" authorId="19" shapeId="0" xr:uid="{5DE2416C-750A-4334-A597-6A2147E6A45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E93" authorId="20" shapeId="0" xr:uid="{7D7D05E8-014F-4621-BE94-0F03F63C27E5}">
      <text>
        <t>[Threaded comment]
Your version of Excel allows you to read this threaded comment; however, any edits to it will get removed if the file is opened in a newer version of Excel. Learn more: https://go.microsoft.com/fwlink/?linkid=870924
Comment:
    number of cabs multiplied by average 0.8m2 per cab</t>
      </text>
    </comment>
    <comment ref="G93" authorId="21" shapeId="0" xr:uid="{2B4490C1-B9C4-48C9-8300-926BC65D2954}">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H93" authorId="22" shapeId="0" xr:uid="{FB707332-0C38-4557-8306-72ADCCE5BC78}">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  To be done for April report</t>
      </text>
    </comment>
    <comment ref="B94" authorId="23" shapeId="0" xr:uid="{6B3845D7-B3C6-449C-9240-0DB8751DF7D7}">
      <text>
        <t>[Threaded comment]
Your version of Excel allows you to read this threaded comment; however, any edits to it will get removed if the file is opened in a newer version of Excel. Learn more: https://go.microsoft.com/fwlink/?linkid=870924
Comment:
    F=20
H=0</t>
      </text>
    </comment>
    <comment ref="B95" authorId="24" shapeId="0" xr:uid="{F09865DB-9C5B-44B9-80A7-32BBE2F86205}">
      <text>
        <t xml:space="preserve">[Threaded comment]
Your version of Excel allows you to read this threaded comment; however, any edits to it will get removed if the file is opened in a newer version of Excel. Learn more: https://go.microsoft.com/fwlink/?linkid=870924
Comment:
    F=10
H=8
</t>
      </text>
    </comment>
    <comment ref="B96" authorId="25" shapeId="0" xr:uid="{1AB73024-FDA6-4CFF-9714-EF85F0646855}">
      <text>
        <t>[Threaded comment]
Your version of Excel allows you to read this threaded comment; however, any edits to it will get removed if the file is opened in a newer version of Excel. Learn more: https://go.microsoft.com/fwlink/?linkid=870924
Comment:
    F=5
H=7</t>
      </text>
    </comment>
    <comment ref="B97" authorId="26" shapeId="0" xr:uid="{39889C24-36F5-4764-917C-98D4489DF220}">
      <text>
        <t>[Threaded comment]
Your version of Excel allows you to read this threaded comment; however, any edits to it will get removed if the file is opened in a newer version of Excel. Learn more: https://go.microsoft.com/fwlink/?linkid=870924
Comment:
    F=16
H=1</t>
      </text>
    </comment>
    <comment ref="B98" authorId="27" shapeId="0" xr:uid="{C4CD9F3C-90A5-423F-8179-638637AD22B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98" authorId="28" shapeId="0" xr:uid="{BC2DB773-D665-46AE-9608-BDDB94EA651A}">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E98" authorId="29" shapeId="0" xr:uid="{3C58D041-526D-4543-AA11-A9752D1B1334}">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t>
      </text>
    </comment>
    <comment ref="B105" authorId="30" shapeId="0" xr:uid="{8B1556D4-19B0-4193-9AF6-4A5EF49E32E0}">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105" authorId="31" shapeId="0" xr:uid="{10732EAD-E866-4FC4-928F-EB39590F1697}">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tc={4685E38E-5C26-41A3-B52F-5C93672AEE7D}</author>
    <author>tc={5DCA1E5D-C795-4F26-8D6A-0F1E16E5B4C0}</author>
    <author>tc={29969460-9525-A040-99FA-B28BD18A14D8}</author>
    <author>tc={45949F55-1DAD-4F20-B97B-22C762394451}</author>
    <author>tc={C8F34929-DADF-4B41-9316-CE8D0459CD0B}</author>
  </authors>
  <commentList>
    <comment ref="F8" authorId="0" shapeId="0" xr:uid="{4685E38E-5C26-41A3-B52F-5C93672AEE7D}">
      <text>
        <t>[Threaded comment]
Your version of Excel allows you to read this threaded comment; however, any edits to it will get removed if the file is opened in a newer version of Excel. Learn more: https://go.microsoft.com/fwlink/?linkid=870924
Comment:
    update to 465 from 300 after tactical upgrade</t>
      </text>
    </comment>
    <comment ref="F9" authorId="1" shapeId="0" xr:uid="{5DCA1E5D-C795-4F26-8D6A-0F1E16E5B4C0}">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480 to 462 to reflect actual capacity post upgrade</t>
      </text>
    </comment>
    <comment ref="F11" authorId="2" shapeId="0" xr:uid="{29969460-9525-A040-99FA-B28BD18A14D8}">
      <text>
        <t>[Threaded comment]
Your version of Excel allows you to read this threaded comment; however, any edits to it will get removed if the file is opened in a newer version of Excel. Learn more: https://go.microsoft.com/fwlink/?linkid=870924
Comment:
    Reduced for 478kW to 460kW based on revised tactical figures</t>
      </text>
    </comment>
    <comment ref="F12" authorId="3" shapeId="0" xr:uid="{45949F55-1DAD-4F20-B97B-22C762394451}">
      <text>
        <t>[Threaded comment]
Your version of Excel allows you to read this threaded comment; however, any edits to it will get removed if the file is opened in a newer version of Excel. Learn more: https://go.microsoft.com/fwlink/?linkid=870924
Comment:
    Increased from 407kW May 21
Reply:
    Updated to 481kW to 480kW</t>
      </text>
    </comment>
    <comment ref="F13" authorId="4" shapeId="0" xr:uid="{C8F34929-DADF-4B41-9316-CE8D0459CD0B}">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473 to 468 to reflect actual capacity post upgrade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tc={5A662948-2B62-4C10-AC2B-1BA1F18B35FE}</author>
    <author>tc={D83C5F4B-F536-4650-857B-EB7F445A8F99}</author>
    <author>tc={B3FD0EA4-2532-436F-9E04-055D1A86A5A7}</author>
    <author>tc={B1AEB70D-B9E9-410E-B0B8-6239877F6544}</author>
    <author>tc={3C1DAD60-39DA-4D2F-B45D-324BA43DDFAC}</author>
    <author>tc={D5B9A91A-1A26-48D1-BEEF-5333E4B7460B}</author>
    <author>tc={4FED0C80-BC61-40CF-8962-65BD98030C3C}</author>
    <author>tc={B2BECC07-C043-42E3-93DC-7DF070F18027}</author>
    <author>tc={70B6A88E-D687-4309-8199-CA1A9EC96F21}</author>
    <author>tc={B6C82E95-B66A-4CBC-A9E6-DAA2B5123E2F}</author>
    <author>tc={8033D3D1-2D70-47FF-BA3F-57C3EE827A54}</author>
    <author>tc={6B0AA231-AB18-4DCA-9891-4F738BAEB27A}</author>
    <author>tc={05F53E69-EA95-47DF-A5F0-DB8EA387A0E1}</author>
    <author>tc={F326492E-D904-4FEF-A04A-81C33920CD8B}</author>
    <author>tc={D53BD43A-196F-440C-84AC-244F8200F21B}</author>
    <author>tc={AF65D181-1845-42C0-870E-119DBDFAE246}</author>
    <author>tc={8AD7241C-CE4E-49AA-8DB8-0F5D59FAF173}</author>
    <author>tc={A134F7C7-0788-4780-8C89-3AC68F5AF3A6}</author>
    <author>tc={9DF3675F-9C34-41EE-89A4-D0B25EA295B1}</author>
    <author>tc={BF0E26FD-356A-4680-8654-DB88EA223DAC}</author>
    <author>tc={D309D111-B686-4314-81FE-8AF01246B1A9}</author>
    <author>tc={5758691E-3D8A-40D6-A956-3D6A417E272B}</author>
    <author>tc={404D9240-FA39-4F84-A812-A15923CABFCB}</author>
    <author>tc={497BDEA4-AD02-49A3-A31F-B37D939DE2A3}</author>
    <author>tc={7E40EB83-EC40-483F-8BDD-CAA4D6DF36DC}</author>
    <author>tc={B0EBC8A2-15DE-4EB0-95AC-2A24E329E509}</author>
    <author>tc={39AD9EC5-3C29-4A9A-AFE7-4C0E98CD6D2E}</author>
    <author>tc={7CF9619D-0AF1-42A9-892C-82CC53CBD06C}</author>
    <author>tc={355DBF94-7A42-42F8-833F-A9999A151942}</author>
    <author>tc={D6121A3D-7329-4C76-A2C1-F2AD1AB1EECD}</author>
    <author>tc={A3C0D69B-E60A-43F1-AC1E-0A2B01B60092}</author>
    <author>tc={0FA5F5F1-ECC5-416E-8C23-3FCFFF89FE50}</author>
    <author>tc={C0AAC8CF-185F-4D85-A33F-2DC7B830853D}</author>
    <author>tc={507EA7AF-2077-4C8D-A11F-D3606EB263B0}</author>
    <author>tc={7B74B866-E230-43C2-8611-E9F6A5F08287}</author>
    <author>tc={4157D5EA-8C7F-4420-A964-317B41CD97D2}</author>
    <author>tc={8FC1F881-D213-4A7B-9032-F6F31F35CCCA}</author>
    <author>tc={673EA18B-777E-4504-94D3-8CD1CDD008D8}</author>
    <author>tc={D535D790-B66A-437F-9791-0FADBE459C65}</author>
    <author>tc={44BEA983-0959-4273-88C5-473B56E7D837}</author>
    <author>tc={BD5565D9-0E69-474F-B23B-70D9820BD55D}</author>
    <author>tc={FDA2F383-4F39-4256-8CB2-1B2BC8D8D98B}</author>
    <author>tc={3641F859-71BB-4521-92EE-6AD9AF69DE30}</author>
    <author>tc={EFBD4339-5C6F-4B3E-8F2D-D35CA5A50FCB}</author>
    <author>tc={F31C47DD-C206-45DA-AD32-AA87653806CF}</author>
    <author>tc={23BCA1C2-47EA-4D2E-A82D-7157CE6517AD}</author>
    <author>tc={8BAC345D-533F-4BE9-9CA8-886EB7577287}</author>
    <author>tc={D6C969B2-A2CC-4016-A6E3-3753DFC2519D}</author>
    <author>tc={60121BE1-42E9-4918-998F-E6040681221C}</author>
    <author>tc={018556B1-0AD7-47FF-B860-22C5B1ADB4E1}</author>
    <author>tc={B891BF97-F17A-431C-A7A3-B3D544DDDF7B}</author>
    <author>tc={C116E032-05AE-4536-9EAB-4524DCE0480B}</author>
    <author>tc={F0CAF06D-99BB-41AD-933C-DF9A47945116}</author>
    <author>tc={D6207AD5-CEC1-444E-B85B-9D9C4D3C04CA}</author>
    <author>tc={9B89B4A7-0052-4278-9E36-ECA67BE3ED4F}</author>
    <author>tc={69195778-6B67-4B81-B1F2-80A40D4FFD68}</author>
    <author>tc={617538B4-912E-4829-B907-F19A8080E0F9}</author>
    <author>tc={EF9123EF-286F-4F75-A45D-7043FA85D622}</author>
    <author>tc={0BB29EFD-C36E-49D0-8630-1BD1F127606C}</author>
    <author>tc={786DB729-34A0-419D-84AA-AFEF5D12C8BF}</author>
    <author>tc={6FC08B0E-6F55-4A75-BDDE-0F3DE5759BA9}</author>
    <author>tc={7A6E4966-3917-4A91-9236-4AE072AB84C8}</author>
    <author>tc={20F7E3F3-75A1-714B-BE64-BAB01E8C6937}</author>
  </authors>
  <commentList>
    <comment ref="P7" authorId="0" shapeId="0" xr:uid="{5A662948-2B62-4C10-AC2B-1BA1F18B35FE}">
      <text>
        <t>[Threaded comment]
Your version of Excel allows you to read this threaded comment; however, any edits to it will get removed if the file is opened in a newer version of Excel. Learn more: https://go.microsoft.com/fwlink/?linkid=870924
Comment:
    SBS XL 170F-FT = High Temp
6V165/6 = Standard</t>
      </text>
    </comment>
    <comment ref="E8" authorId="1" shapeId="0" xr:uid="{D83C5F4B-F536-4650-857B-EB7F445A8F9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 authorId="2" shapeId="0" xr:uid="{B3FD0EA4-2532-436F-9E04-055D1A86A5A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0" authorId="3" shapeId="0" xr:uid="{B1AEB70D-B9E9-410E-B0B8-6239877F654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 authorId="4" shapeId="0" xr:uid="{3C1DAD60-39DA-4D2F-B45D-324BA43DDF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2" authorId="5" shapeId="0" xr:uid="{D5B9A91A-1A26-48D1-BEEF-5333E4B7460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1" authorId="6" shapeId="0" xr:uid="{4FED0C80-BC61-40CF-8962-65BD98030C3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2" authorId="7" shapeId="0" xr:uid="{B2BECC07-C043-42E3-93DC-7DF070F1802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3" authorId="8" shapeId="0" xr:uid="{70B6A88E-D687-4309-8199-CA1A9EC96F2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4" authorId="9" shapeId="0" xr:uid="{B6C82E95-B66A-4CBC-A9E6-DAA2B5123E2F}">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5" authorId="10" shapeId="0" xr:uid="{8033D3D1-2D70-47FF-BA3F-57C3EE827A5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6" authorId="11" shapeId="0" xr:uid="{6B0AA231-AB18-4DCA-9891-4F738BAEB27A}">
      <text>
        <t>[Threaded comment]
Your version of Excel allows you to read this threaded comment; however, any edits to it will get removed if the file is opened in a newer version of Excel. Learn more: https://go.microsoft.com/fwlink/?linkid=870924
Comment:
    SBS XL170-FT Deployed</t>
      </text>
    </comment>
    <comment ref="E27" authorId="12" shapeId="0" xr:uid="{05F53E69-EA95-47DF-A5F0-DB8EA387A0E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8" authorId="13" shapeId="0" xr:uid="{F326492E-D904-4FEF-A04A-81C33920CD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9" authorId="14" shapeId="0" xr:uid="{D53BD43A-196F-440C-84AC-244F8200F21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0" authorId="15" shapeId="0" xr:uid="{AF65D181-1845-42C0-870E-119DBDFAE24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1" authorId="16" shapeId="0" xr:uid="{8AD7241C-CE4E-49AA-8DB8-0F5D59FAF173}">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2" authorId="17" shapeId="0" xr:uid="{A134F7C7-0788-4780-8C89-3AC68F5AF3A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X32" authorId="18" shapeId="0" xr:uid="{9DF3675F-9C34-41EE-89A4-D0B25EA295B1}">
      <text>
        <t xml:space="preserve">[Threaded comment]
Your version of Excel allows you to read this threaded comment; however, any edits to it will get removed if the file is opened in a newer version of Excel. Learn more: https://go.microsoft.com/fwlink/?linkid=870924
Comment:
    picked up M as majority of cells are lower year 2012 (front cab is 2013)
</t>
      </text>
    </comment>
    <comment ref="E33" authorId="19" shapeId="0" xr:uid="{BF0E26FD-356A-4680-8654-DB88EA223D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B34" authorId="20" shapeId="0" xr:uid="{D309D111-B686-4314-81FE-8AF01246B1A9}">
      <text>
        <t xml:space="preserve">[Threaded comment]
Your version of Excel allows you to read this threaded comment; however, any edits to it will get removed if the file is opened in a newer version of Excel. Learn more: https://go.microsoft.com/fwlink/?linkid=870924
Comment:
    4 stud SBS390
</t>
      </text>
    </comment>
    <comment ref="E34" authorId="21" shapeId="0" xr:uid="{5758691E-3D8A-40D6-A956-3D6A417E272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5" authorId="22" shapeId="0" xr:uid="{404D9240-FA39-4F84-A812-A15923CABFC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1" authorId="23" shapeId="0" xr:uid="{497BDEA4-AD02-49A3-A31F-B37D939DE2A3}">
      <text>
        <t>[Threaded comment]
Your version of Excel allows you to read this threaded comment; however, any edits to it will get removed if the file is opened in a newer version of Excel. Learn more: https://go.microsoft.com/fwlink/?linkid=870924
Comment:
    Only 2 strings</t>
      </text>
    </comment>
    <comment ref="I42" authorId="24" shapeId="0" xr:uid="{7E40EB83-EC40-483F-8BDD-CAA4D6DF36DC}">
      <text>
        <t>[Threaded comment]
Your version of Excel allows you to read this threaded comment; however, any edits to it will get removed if the file is opened in a newer version of Excel. Learn more: https://go.microsoft.com/fwlink/?linkid=870924
Comment:
    Only 2 strings</t>
      </text>
    </comment>
    <comment ref="E46" authorId="25" shapeId="0" xr:uid="{B0EBC8A2-15DE-4EB0-95AC-2A24E329E50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9" authorId="26" shapeId="0" xr:uid="{39AD9EC5-3C29-4A9A-AFE7-4C0E98CD6D2E}">
      <text>
        <t>[Threaded comment]
Your version of Excel allows you to read this threaded comment; however, any edits to it will get removed if the file is opened in a newer version of Excel. Learn more: https://go.microsoft.com/fwlink/?linkid=870924
Comment:
    Only 2 strings</t>
      </text>
    </comment>
    <comment ref="I50" authorId="27" shapeId="0" xr:uid="{7CF9619D-0AF1-42A9-892C-82CC53CBD06C}">
      <text>
        <t>[Threaded comment]
Your version of Excel allows you to read this threaded comment; however, any edits to it will get removed if the file is opened in a newer version of Excel. Learn more: https://go.microsoft.com/fwlink/?linkid=870924
Comment:
    Only 2 strings</t>
      </text>
    </comment>
    <comment ref="I66" authorId="28" shapeId="0" xr:uid="{355DBF94-7A42-42F8-833F-A9999A151942}">
      <text>
        <t>[Threaded comment]
Your version of Excel allows you to read this threaded comment; however, any edits to it will get removed if the file is opened in a newer version of Excel. Learn more: https://go.microsoft.com/fwlink/?linkid=870924
Comment:
    Only 2 strings</t>
      </text>
    </comment>
    <comment ref="I67" authorId="29" shapeId="0" xr:uid="{D6121A3D-7329-4C76-A2C1-F2AD1AB1EECD}">
      <text>
        <t>[Threaded comment]
Your version of Excel allows you to read this threaded comment; however, any edits to it will get removed if the file is opened in a newer version of Excel. Learn more: https://go.microsoft.com/fwlink/?linkid=870924
Comment:
    Only 2 strings</t>
      </text>
    </comment>
    <comment ref="I74" authorId="30" shapeId="0" xr:uid="{A3C0D69B-E60A-43F1-AC1E-0A2B01B60092}">
      <text>
        <t>[Threaded comment]
Your version of Excel allows you to read this threaded comment; however, any edits to it will get removed if the file is opened in a newer version of Excel. Learn more: https://go.microsoft.com/fwlink/?linkid=870924
Comment:
    Only 2 strings</t>
      </text>
    </comment>
    <comment ref="I75" authorId="31" shapeId="0" xr:uid="{0FA5F5F1-ECC5-416E-8C23-3FCFFF89FE50}">
      <text>
        <t>[Threaded comment]
Your version of Excel allows you to read this threaded comment; however, any edits to it will get removed if the file is opened in a newer version of Excel. Learn more: https://go.microsoft.com/fwlink/?linkid=870924
Comment:
    Only 2 strings</t>
      </text>
    </comment>
    <comment ref="E76" authorId="32" shapeId="0" xr:uid="{C0AAC8CF-185F-4D85-A33F-2DC7B830853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77" authorId="33" shapeId="0" xr:uid="{507EA7AF-2077-4C8D-A11F-D3606EB263B0}">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82" authorId="34" shapeId="0" xr:uid="{7B74B866-E230-43C2-8611-E9F6A5F08287}">
      <text>
        <t>[Threaded comment]
Your version of Excel allows you to read this threaded comment; however, any edits to it will get removed if the file is opened in a newer version of Excel. Learn more: https://go.microsoft.com/fwlink/?linkid=870924
Comment:
    Only 2 strings</t>
      </text>
    </comment>
    <comment ref="I83" authorId="35" shapeId="0" xr:uid="{4157D5EA-8C7F-4420-A964-317B41CD97D2}">
      <text>
        <t>[Threaded comment]
Your version of Excel allows you to read this threaded comment; however, any edits to it will get removed if the file is opened in a newer version of Excel. Learn more: https://go.microsoft.com/fwlink/?linkid=870924
Comment:
    Only 2 strings</t>
      </text>
    </comment>
    <comment ref="E89" authorId="36" shapeId="0" xr:uid="{8FC1F881-D213-4A7B-9032-F6F31F35CCCA}">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0" authorId="37" shapeId="0" xr:uid="{673EA18B-777E-4504-94D3-8CD1CDD008D8}">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1" authorId="38" shapeId="0" xr:uid="{D535D790-B66A-437F-9791-0FADBE459C65}">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2" authorId="39" shapeId="0" xr:uid="{44BEA983-0959-4273-88C5-473B56E7D83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6" authorId="40" shapeId="0" xr:uid="{BD5565D9-0E69-474F-B23B-70D9820BD55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7" authorId="41" shapeId="0" xr:uid="{FDA2F383-4F39-4256-8CB2-1B2BC8D8D9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8" authorId="42" shapeId="0" xr:uid="{3641F859-71BB-4521-92EE-6AD9AF69DE30}">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8" authorId="43" shapeId="0" xr:uid="{EFBD4339-5C6F-4B3E-8F2D-D35CA5A50FC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8" authorId="44" shapeId="0" xr:uid="{F31C47DD-C206-45DA-AD32-AA87653806C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8" authorId="45" shapeId="0" xr:uid="{23BCA1C2-47EA-4D2E-A82D-7157CE6517A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8" authorId="46" shapeId="0" xr:uid="{8BAC345D-533F-4BE9-9CA8-886EB7577287}">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8" authorId="47" shapeId="0" xr:uid="{D6C969B2-A2CC-4016-A6E3-3753DFC2519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8" authorId="48" shapeId="0" xr:uid="{60121BE1-42E9-4918-998F-E6040681221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8" authorId="49" shapeId="0" xr:uid="{018556B1-0AD7-47FF-B860-22C5B1ADB4E1}">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8" authorId="50" shapeId="0" xr:uid="{B891BF97-F17A-431C-A7A3-B3D544DDDF7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E119" authorId="51" shapeId="0" xr:uid="{C116E032-05AE-4536-9EAB-4524DCE0480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9" authorId="52" shapeId="0" xr:uid="{F0CAF06D-99BB-41AD-933C-DF9A47945116}">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9" authorId="53" shapeId="0" xr:uid="{D6207AD5-CEC1-444E-B85B-9D9C4D3C04CA}">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9" authorId="54" shapeId="0" xr:uid="{9B89B4A7-0052-4278-9E36-ECA67BE3ED4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9" authorId="55" shapeId="0" xr:uid="{69195778-6B67-4B81-B1F2-80A40D4FFD68}">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9" authorId="56" shapeId="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9" authorId="57" shapeId="0" xr:uid="{EF9123EF-286F-4F75-A45D-7043FA85D622}">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9" authorId="58" shapeId="0" xr:uid="{0BB29EFD-C36E-49D0-8630-1BD1F127606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9" authorId="59" shapeId="0" xr:uid="{786DB729-34A0-419D-84AA-AFEF5D12C8B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B122" authorId="60" shapeId="0" xr:uid="{6FC08B0E-6F55-4A75-BDDE-0F3DE5759BA9}">
      <text>
        <t>[Threaded comment]
Your version of Excel allows you to read this threaded comment; however, any edits to it will get removed if the file is opened in a newer version of Excel. Learn more: https://go.microsoft.com/fwlink/?linkid=870924
Comment:
    4 stud Youassa battery</t>
      </text>
    </comment>
    <comment ref="B140" authorId="61" shapeId="0" xr:uid="{7A6E4966-3917-4A91-9236-4AE072AB84C8}">
      <text>
        <t>[Threaded comment]
Your version of Excel allows you to read this threaded comment; however, any edits to it will get removed if the file is opened in a newer version of Excel. Learn more: https://go.microsoft.com/fwlink/?linkid=870924
Comment:
    VPC price April-14
AMD - updated Nov 15 for budget forecast FY16/17
AMD updated Oct 28 for budget forecast 18/19
AMD -  updatedt for HT batts and connection kit
AMD - VPC price  16/8/2021 for LRP forcasting</t>
      </text>
    </comment>
    <comment ref="B141" authorId="62" shapeId="0" xr:uid="{20F7E3F3-75A1-714B-BE64-BAB01E8C6937}">
      <text>
        <t>[Threaded comment]
Your version of Excel allows you to read this threaded comment; however, any edits to it will get removed if the file is opened in a newer version of Excel. Learn more: https://go.microsoft.com/fwlink/?linkid=870924
Comment:
    String price plus connection kit 16/08/2021</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tc={4EDEDC09-00DA-48C9-BAC6-F30DC7D93CB9}</author>
    <author>tc={BB511B31-6EC4-4E0C-9CDD-B7795B5408B6}</author>
    <author>tc={63615BED-0553-4D6C-BB94-8FFE5C1DE644}</author>
  </authors>
  <commentList>
    <comment ref="H24" authorId="0" shapeId="0" xr:uid="{4EDEDC09-00DA-48C9-BAC6-F30DC7D93CB9}">
      <text>
        <t>[Threaded comment]
Your version of Excel allows you to read this threaded comment; however, any edits to it will get removed if the file is opened in a newer version of Excel. Learn more: https://go.microsoft.com/fwlink/?linkid=870924
Comment:
     x10 MiO cabs are 600 wide, so calculated space as x8 800mm cabs</t>
      </text>
    </comment>
    <comment ref="H26" authorId="1" shapeId="0" xr:uid="{BB511B31-6EC4-4E0C-9CDD-B7795B5408B6}">
      <text>
        <t>[Threaded comment]
Your version of Excel allows you to read this threaded comment; however, any edits to it will get removed if the file is opened in a newer version of Excel. Learn more: https://go.microsoft.com/fwlink/?linkid=870924
Comment:
    x11 MiO cabs are 600 wide</t>
      </text>
    </comment>
    <comment ref="B108" authorId="2" shapeId="0" xr:uid="{63615BED-0553-4D6C-BB94-8FFE5C1DE644}">
      <text>
        <t>[Threaded comment]
Your version of Excel allows you to read this threaded comment; however, any edits to it will get removed if the file is opened in a newer version of Excel. Learn more: https://go.microsoft.com/fwlink/?linkid=870924
Comment:
    12 cabs used, space inc for x15= 50% either side of suite line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tc={62538D89-F0C3-4B47-A4B0-15F681B96B07}</author>
    <author>tc={6CE72EDB-A286-4206-A19D-202AA12B3CB7}</author>
    <author>tc={D8908291-2EF0-43DF-940E-040DA6BDD392}</author>
  </authors>
  <commentList>
    <comment ref="C10" authorId="0" shapeId="0" xr:uid="{62538D89-F0C3-4B47-A4B0-15F681B96B07}">
      <text>
        <t>[Threaded comment]
Your version of Excel allows you to read this threaded comment; however, any edits to it will get removed if the file is opened in a newer version of Excel. Learn more: https://go.microsoft.com/fwlink/?linkid=870924
Comment:
    Oct 16 Decreases inc Voicemail MTA, SMS-C,  MCA and ACF cabs (11kW), then gradual decreases since</t>
      </text>
    </comment>
    <comment ref="B24" authorId="1" shapeId="0" xr:uid="{6CE72EDB-A286-4206-A19D-202AA12B3CB7}">
      <text>
        <t>[Threaded comment]
Your version of Excel allows you to read this threaded comment; however, any edits to it will get removed if the file is opened in a newer version of Excel. Learn more: https://go.microsoft.com/fwlink/?linkid=870924
Comment:
    (System Load)</t>
      </text>
    </comment>
    <comment ref="D40" authorId="2" shapeId="0" xr:uid="{D8908291-2EF0-43DF-940E-040DA6BDD392}">
      <text>
        <t>[Threaded comment]
Your version of Excel allows you to read this threaded comment; however, any edits to it will get removed if the file is opened in a newer version of Excel. Learn more: https://go.microsoft.com/fwlink/?linkid=870924
Comment:
    Multiply by 10% for load on DC plants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tc={CFED8188-36A3-4F39-B7B7-16B825289199}</author>
    <author>tc={D9EA6A4D-6AF9-47AF-8B4C-10285468917A}</author>
    <author>tc={0EE6DB90-7F1F-4208-AA0F-47E4DD8E2F38}</author>
    <author>tc={4CB26DF1-E77B-45CC-A0E6-68A63941FB94}</author>
    <author>tc={2265B3F7-F189-4287-9B46-F2671168B8F1}</author>
    <author>tc={6E064348-F489-4DDA-A726-97E4EAA67073}</author>
    <author>tc={074F7ADD-F493-49FB-A0ED-069E44C80FA8}</author>
    <author>tc={EFA4BCFC-9C14-40CA-A7C1-F8B38B878BBF}</author>
    <author>tc={BD709AEA-31B1-465D-90E7-45D0010C3933}</author>
    <author>tc={E6D7435A-BCB3-4F37-8ABF-4E70DBEFCB97}</author>
    <author>tc={76490329-1D75-445A-ACCB-32962EACB6B6}</author>
    <author>tc={E7894465-E42A-44E4-8F52-56BFA51C7294}</author>
    <author>tc={E696FC18-A270-4065-AC5E-66A7AAE96267}</author>
    <author>tc={39B1BBA3-09A1-4DB5-9A9D-EFEB6EEA9462}</author>
    <author>tc={CF2107A9-A594-4926-99FA-C9726AF4319F}</author>
    <author>tc={40B67558-E61C-41E1-B059-F0CE0FFFA4F3}</author>
    <author>tc={F11308A2-D5AD-445C-A6C5-09CD28A83D40}</author>
    <author>tc={3117A83C-7259-4DB9-9AEC-47AED9C0E540}</author>
    <author>tc={18452732-BEB5-42FE-A6EE-8CBA4263D38F}</author>
    <author>tc={8FF17046-B721-4868-A6C2-BD2062C940C8}</author>
  </authors>
  <commentList>
    <comment ref="D2" authorId="0" shapeId="0" xr:uid="{CFED8188-36A3-4F39-B7B7-16B825289199}">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O8" authorId="1" shapeId="0" xr:uid="{D9EA6A4D-6AF9-47AF-8B4C-10285468917A}">
      <text>
        <t>[Threaded comment]
Your version of Excel allows you to read this threaded comment; however, any edits to it will get removed if the file is opened in a newer version of Excel. Learn more: https://go.microsoft.com/fwlink/?linkid=870924
Comment:
    Inconsistent readings</t>
      </text>
    </comment>
    <comment ref="O11" authorId="2" shapeId="0" xr:uid="{0EE6DB90-7F1F-4208-AA0F-47E4DD8E2F38}">
      <text>
        <t>[Threaded comment]
Your version of Excel allows you to read this threaded comment; however, any edits to it will get removed if the file is opened in a newer version of Excel. Learn more: https://go.microsoft.com/fwlink/?linkid=870924
Comment:
    Not reporting from 21/09-25/09</t>
      </text>
    </comment>
    <comment ref="G15" authorId="3" shapeId="0" xr:uid="{4CB26DF1-E77B-45CC-A0E6-68A63941FB94}">
      <text>
        <t>[Threaded comment]
Your version of Excel allows you to read this threaded comment; however, any edits to it will get removed if the file is opened in a newer version of Excel. Learn more: https://go.microsoft.com/fwlink/?linkid=870924
Comment:
    Not reporting</t>
      </text>
    </comment>
    <comment ref="Y39" authorId="4" shapeId="0" xr:uid="{2265B3F7-F189-4287-9B46-F2671168B8F1}">
      <text>
        <t>[Threaded comment]
Your version of Excel allows you to read this threaded comment; however, any edits to it will get removed if the file is opened in a newer version of Excel. Learn more: https://go.microsoft.com/fwlink/?linkid=870924
Comment:
    Cell equation is =(400*L4*1.73)/1000</t>
      </text>
    </comment>
    <comment ref="D40" authorId="5" shapeId="0" xr:uid="{6E064348-F489-4DDA-A726-97E4EAA67073}">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Y40" authorId="6" shapeId="0" xr:uid="{074F7ADD-F493-49FB-A0ED-069E44C80FA8}">
      <text>
        <t>[Threaded comment]
Your version of Excel allows you to read this threaded comment; however, any edits to it will get removed if the file is opened in a newer version of Excel. Learn more: https://go.microsoft.com/fwlink/?linkid=870924
Comment:
    cell equation is =(400*L5*1.73)/1000</t>
      </text>
    </comment>
    <comment ref="H41" authorId="7" shapeId="0" xr:uid="{EFA4BCFC-9C14-40CA-A7C1-F8B38B878BBF}">
      <text>
        <t>[Threaded comment]
Your version of Excel allows you to read this threaded comment; however, any edits to it will get removed if the file is opened in a newer version of Excel. Learn more: https://go.microsoft.com/fwlink/?linkid=870924
Comment:
    Reading of 1.15. Didn’t record for a few days as BEMS systems was upgraded</t>
      </text>
    </comment>
    <comment ref="H43" authorId="8" shapeId="0" xr:uid="{BD709AEA-31B1-465D-90E7-45D0010C3933}">
      <text>
        <t>[Threaded comment]
Your version of Excel allows you to read this threaded comment; however, any edits to it will get removed if the file is opened in a newer version of Excel. Learn more: https://go.microsoft.com/fwlink/?linkid=870924
Comment:
    Actual value of 0.52. Didn’t record for a few days as BEMS systems was upgraded</t>
      </text>
    </comment>
    <comment ref="I43" authorId="9" shapeId="0" xr:uid="{E6D7435A-BCB3-4F37-8ABF-4E70DBEFCB97}">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I44" authorId="10" shapeId="0" xr:uid="{76490329-1D75-445A-ACCB-32962EACB6B6}">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L44" authorId="11" shapeId="0" xr:uid="{E7894465-E42A-44E4-8F52-56BFA51C7294}">
      <text>
        <t>[Threaded comment]
Your version of Excel allows you to read this threaded comment; however, any edits to it will get removed if the file is opened in a newer version of Excel. Learn more: https://go.microsoft.com/fwlink/?linkid=870924
Comment:
    Actual fig of 0.97, BMS did not report 20-29 June</t>
      </text>
    </comment>
    <comment ref="D56" authorId="12" shapeId="0" xr:uid="{E696FC18-A270-4065-AC5E-66A7AAE96267}">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58" authorId="13" shapeId="0" xr:uid="{39B1BBA3-09A1-4DB5-9A9D-EFEB6EEA9462}">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59" authorId="14" shapeId="0" xr:uid="{CF2107A9-A594-4926-99FA-C9726AF4319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I62" authorId="15" shapeId="0" xr:uid="{40B67558-E61C-41E1-B059-F0CE0FFFA4F3}">
      <text>
        <t>[Threaded comment]
Your version of Excel allows you to read this threaded comment; however, any edits to it will get removed if the file is opened in a newer version of Excel. Learn more: https://go.microsoft.com/fwlink/?linkid=870924
Comment:
    This is an approx fig as between 10-21 Mar the value was -0.04 resulting in an average of 0.93</t>
      </text>
    </comment>
    <comment ref="D72" authorId="16" shapeId="0" xr:uid="{F11308A2-D5AD-445C-A6C5-09CD28A83D40}">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74" authorId="17" shapeId="0" xr:uid="{3117A83C-7259-4DB9-9AEC-47AED9C0E540}">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75" authorId="18" shapeId="0" xr:uid="{18452732-BEB5-42FE-A6EE-8CBA4263D38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D96" authorId="19" shapeId="0" xr:uid="{8FF17046-B721-4868-A6C2-BD2062C940C8}">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tc={A76B342E-5CC2-483C-B7C2-AC595CE972D8}</author>
    <author>tc={3A670D8D-AAB7-49E2-9C06-A3F9A0845993}</author>
  </authors>
  <commentList>
    <comment ref="C26" authorId="0" shapeId="0" xr:uid="{A76B342E-5CC2-483C-B7C2-AC595CE972D8}">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 ref="C60" authorId="1" shapeId="0" xr:uid="{3A670D8D-AAB7-49E2-9C06-A3F9A0845993}">
      <text>
        <t>[Threaded comment]
Your version of Excel allows you to read this threaded comment; however, any edits to it will get removed if the file is opened in a newer version of Excel. Learn more: https://go.microsoft.com/fwlink/?linkid=870924
Comment:
    Figures adjust to match 346kw limit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<sst xmlns="http://schemas.openxmlformats.org/spreadsheetml/2006/main" count="7035" uniqueCount="1714">
  <si>
    <t xml:space="preserve">Key </t>
  </si>
  <si>
    <t>Not
reporting</t>
  </si>
  <si>
    <t>&lt;70</t>
  </si>
  <si>
    <t>70-80%</t>
  </si>
  <si>
    <t>80 - 90 %</t>
  </si>
  <si>
    <t>&gt;90%</t>
  </si>
  <si>
    <t xml:space="preserve">Highlight's cells with non-standard formula </t>
  </si>
  <si>
    <t>MTX</t>
  </si>
  <si>
    <t>Power Element Name</t>
  </si>
  <si>
    <t>Power Element Type</t>
  </si>
  <si>
    <t>Element Load (A) Mar 24</t>
  </si>
  <si>
    <t>Element Load (A) 28/04/24</t>
  </si>
  <si>
    <t>Running % load</t>
  </si>
  <si>
    <t>Total Running Site Load (kW)/(%)</t>
  </si>
  <si>
    <t>Number of Modules</t>
  </si>
  <si>
    <t>Module Capacity (kW)</t>
  </si>
  <si>
    <t>Power Element Capability (kW)</t>
  </si>
  <si>
    <t>Number of Redundant Modules</t>
  </si>
  <si>
    <t>Available Capability (kW)</t>
  </si>
  <si>
    <t>Available Capability (A)</t>
  </si>
  <si>
    <t>Reserved (A)</t>
  </si>
  <si>
    <t>Running Load + Reserved (%)</t>
  </si>
  <si>
    <t>Total Reserved  (kW)/(%)</t>
  </si>
  <si>
    <t>Forecast (A)</t>
  </si>
  <si>
    <t>Total Forecast  (kW)/(%)</t>
  </si>
  <si>
    <t>Running Load + Reserved+  Forecast (A)</t>
  </si>
  <si>
    <t>Running Load + Reserved+  Forecast (kW)/(%)</t>
  </si>
  <si>
    <t>Remaining Element Capability (A)</t>
  </si>
  <si>
    <t>Remaining Element Capability (kW)/(%)</t>
  </si>
  <si>
    <t>Total Power Element
  RAG (% used)</t>
  </si>
  <si>
    <t>Deployed Usable Capability (% used)</t>
  </si>
  <si>
    <t>RAG value (for graphing)</t>
  </si>
  <si>
    <t>Max Technology Load RAG (% used)</t>
  </si>
  <si>
    <t>Following Power Expansion</t>
  </si>
  <si>
    <t>Element Reference
(S&amp;P Ref/element name/planned deployment date/requestor) (AC =AC load on DC plant)</t>
  </si>
  <si>
    <r>
      <t xml:space="preserve">Text below in </t>
    </r>
    <r>
      <rPr>
        <sz val="10"/>
        <color rgb="FFFF0000"/>
        <rFont val="Vodafone Rg"/>
        <family val="2"/>
      </rPr>
      <t>RED</t>
    </r>
    <r>
      <rPr>
        <sz val="10"/>
        <rFont val="Vodafone Rg"/>
        <family val="2"/>
      </rPr>
      <t xml:space="preserve"> is for cabs that have been installed but are not yet powered up. </t>
    </r>
    <r>
      <rPr>
        <sz val="10"/>
        <color rgb="FF0070C0"/>
        <rFont val="Vodafone Rg"/>
        <family val="2"/>
      </rPr>
      <t>BLUE</t>
    </r>
    <r>
      <rPr>
        <sz val="10"/>
        <rFont val="Vodafone Rg"/>
        <family val="2"/>
      </rPr>
      <t xml:space="preserve"> for cabs powered up, not yet fully loaded</t>
    </r>
  </si>
  <si>
    <t>Acton</t>
  </si>
  <si>
    <t>PEAAN</t>
  </si>
  <si>
    <t>eSure</t>
  </si>
  <si>
    <t>15033/Cage/Feb16/AM</t>
  </si>
  <si>
    <t>23013/Beacon CSTN/AP</t>
  </si>
  <si>
    <t>RAG Status</t>
  </si>
  <si>
    <t>PEBAN</t>
  </si>
  <si>
    <t>23029/BAU ISNG Probes/AP</t>
  </si>
  <si>
    <t>Plant % Used</t>
  </si>
  <si>
    <t>Site % Remaining</t>
  </si>
  <si>
    <t>PECAN</t>
  </si>
  <si>
    <t>&lt;=70</t>
  </si>
  <si>
    <t>PEFAN</t>
  </si>
  <si>
    <t>70-80</t>
  </si>
  <si>
    <t>PEGAN</t>
  </si>
  <si>
    <t>80-90</t>
  </si>
  <si>
    <t>Basingstoke</t>
  </si>
  <si>
    <t>PEABE</t>
  </si>
  <si>
    <t>Total res'd for NFV</t>
  </si>
  <si>
    <t>23026/Fortinet/AP</t>
  </si>
  <si>
    <t>23018/Security TSR/AP</t>
  </si>
  <si>
    <t>&gt;90</t>
  </si>
  <si>
    <t>PEBBE</t>
  </si>
  <si>
    <t>23018/NFV TSR/AP</t>
  </si>
  <si>
    <t>PECBE</t>
  </si>
  <si>
    <t>PEEBE</t>
  </si>
  <si>
    <t>23007/M-PE 9912/AP</t>
  </si>
  <si>
    <t>PEFBE</t>
  </si>
  <si>
    <t>PEGBE</t>
  </si>
  <si>
    <t>PEHBE</t>
  </si>
  <si>
    <t>PEIBE</t>
  </si>
  <si>
    <t>Crawley</t>
  </si>
  <si>
    <t>PEACY</t>
  </si>
  <si>
    <t>24001/SPARC T8-2/LP (AC)</t>
  </si>
  <si>
    <t>PEBCY</t>
  </si>
  <si>
    <t>PECCY</t>
  </si>
  <si>
    <t>PEDCY</t>
  </si>
  <si>
    <t>20029/RedstreamEvo/AP(SP)</t>
  </si>
  <si>
    <t>PEECY</t>
  </si>
  <si>
    <t>Edinburgh</t>
  </si>
  <si>
    <t>PECEH</t>
  </si>
  <si>
    <t>NFV reserved loads updated 11/10/23</t>
  </si>
  <si>
    <t>23014/Beacon CSTN/AP</t>
  </si>
  <si>
    <t>23028/IPAR/AP (AC)</t>
  </si>
  <si>
    <t>23027/ISNG Probes/LP</t>
  </si>
  <si>
    <t>PEDEH</t>
  </si>
  <si>
    <t>PEEEH</t>
  </si>
  <si>
    <t>PEFEH</t>
  </si>
  <si>
    <t>PEGEH</t>
  </si>
  <si>
    <t>PEHEH</t>
  </si>
  <si>
    <t>Esher</t>
  </si>
  <si>
    <t>PEDER</t>
  </si>
  <si>
    <t>PEEER</t>
  </si>
  <si>
    <t>PEFER</t>
  </si>
  <si>
    <t>PEGER</t>
  </si>
  <si>
    <t>Gloucester</t>
  </si>
  <si>
    <t>PEAGR</t>
  </si>
  <si>
    <t>23025/Hawk/AP (AC)</t>
  </si>
  <si>
    <t>22024/NFV DELL Store/AP (AC)</t>
  </si>
  <si>
    <t>PEBGR</t>
  </si>
  <si>
    <t>PECGR</t>
  </si>
  <si>
    <t>23024/ Additional 11 RMS/AP</t>
  </si>
  <si>
    <t>PEDGR</t>
  </si>
  <si>
    <t>PEEGR</t>
  </si>
  <si>
    <t>GCRMTX-DCSYS06a</t>
  </si>
  <si>
    <t>NPR48-ES</t>
  </si>
  <si>
    <t>23011/Compute 421/AP (AC)</t>
  </si>
  <si>
    <t>GCRMTX-DCSYS06b</t>
  </si>
  <si>
    <t>Gravelly Hill</t>
  </si>
  <si>
    <t>BMGMTX-DCSYS01</t>
  </si>
  <si>
    <t>HDR48-ES</t>
  </si>
  <si>
    <t>20049/RSE/AP(SP)</t>
  </si>
  <si>
    <t>23022/A2/AP</t>
  </si>
  <si>
    <t>24003/AC Util 03/LP (AC)</t>
  </si>
  <si>
    <t> </t>
  </si>
  <si>
    <t>BMGMTX-DCSYS02</t>
  </si>
  <si>
    <t>BMGMTX-DCSYS03</t>
  </si>
  <si>
    <t>BMGMTX-DCSYS04</t>
  </si>
  <si>
    <t>BMGMTX-DCSYS05</t>
  </si>
  <si>
    <t>BMGMTX-DCSYS06</t>
  </si>
  <si>
    <t>BMGMTX-DCSYS07a</t>
  </si>
  <si>
    <t> Total res'd for NFV</t>
  </si>
  <si>
    <t>22013/M-PE 9912/AP</t>
  </si>
  <si>
    <t>22022/M-PE Wavserver Ai/AP</t>
  </si>
  <si>
    <t>BMGMTX-DCSYS07b</t>
  </si>
  <si>
    <t>Kings Cross</t>
  </si>
  <si>
    <t>PEAKS</t>
  </si>
  <si>
    <t>PEBKS</t>
  </si>
  <si>
    <t>PEEKS</t>
  </si>
  <si>
    <t>PEIKS</t>
  </si>
  <si>
    <t>PEJKS</t>
  </si>
  <si>
    <t>PEKKS</t>
  </si>
  <si>
    <t>PELKS</t>
  </si>
  <si>
    <t>PEMKS</t>
  </si>
  <si>
    <t>PENKS</t>
  </si>
  <si>
    <t>Leyland</t>
  </si>
  <si>
    <t>LLDMTX-DCSYS01</t>
  </si>
  <si>
    <t>23016/NFV CV 101/AP (AC)</t>
  </si>
  <si>
    <t>24002/RLS-Ciena cab3/GD</t>
  </si>
  <si>
    <t>24000/ISNG Probe/LP</t>
  </si>
  <si>
    <t>LLDMTX-DCSYS02</t>
  </si>
  <si>
    <t>LLDMTX-DCSYS03</t>
  </si>
  <si>
    <t>LLDMTX-DCSYS04</t>
  </si>
  <si>
    <t>LLDMTX-DCSYS05</t>
  </si>
  <si>
    <t>LLDMTX-DCSYS06</t>
  </si>
  <si>
    <t>LLDMTX-DCSYS07a</t>
  </si>
  <si>
    <t>LLDMTX-DCSYS07b</t>
  </si>
  <si>
    <t>Milton Keynes</t>
  </si>
  <si>
    <t>PEAMS</t>
  </si>
  <si>
    <t>PEBMS</t>
  </si>
  <si>
    <t>PECMS</t>
  </si>
  <si>
    <t>PEDMS</t>
  </si>
  <si>
    <t>PEEMS</t>
  </si>
  <si>
    <t>PEFMS</t>
  </si>
  <si>
    <t xml:space="preserve"> </t>
  </si>
  <si>
    <t>MKSMTX-DCSYS07a</t>
  </si>
  <si>
    <t>MKSMTX-DCSYS07b</t>
  </si>
  <si>
    <t>Oldham</t>
  </si>
  <si>
    <t>OLDMTX-DCSYS01</t>
  </si>
  <si>
    <t>OLDMTX-DCSYS02</t>
  </si>
  <si>
    <t>OLDMTX-DCSYS03</t>
  </si>
  <si>
    <t>OLDMTX-DCSYS04</t>
  </si>
  <si>
    <t>OLDMTX-DCSYS05</t>
  </si>
  <si>
    <t>20042&amp;22022/OptExpress x3 cabs/Nov20/AP(SP)</t>
  </si>
  <si>
    <t>OLDMTX-DCSYS06</t>
  </si>
  <si>
    <t>OLDMTX-DCSYS07a</t>
  </si>
  <si>
    <t>OLDMTX-DCSYS07b</t>
  </si>
  <si>
    <t>Rotherham</t>
  </si>
  <si>
    <t>PEARM</t>
  </si>
  <si>
    <t>PEBRM</t>
  </si>
  <si>
    <t>22019/Huawei BSC/AP</t>
  </si>
  <si>
    <t>PECRM</t>
  </si>
  <si>
    <t>PEDRM</t>
  </si>
  <si>
    <t>20011/OpenRAN/Apr20/AP</t>
  </si>
  <si>
    <t>PEERM</t>
  </si>
  <si>
    <t>Southampton</t>
  </si>
  <si>
    <t>PEASN</t>
  </si>
  <si>
    <t>PEBSN</t>
  </si>
  <si>
    <t>20035/AMITIE/Sept20/AP(RL)</t>
  </si>
  <si>
    <t>22019/Huawei BSC BHISN/AP</t>
  </si>
  <si>
    <t>PECSN</t>
  </si>
  <si>
    <t>22019/Huawei BSC BHISN /AP</t>
  </si>
  <si>
    <t>PEESN</t>
  </si>
  <si>
    <t>Swanley</t>
  </si>
  <si>
    <t>PEASY</t>
  </si>
  <si>
    <t>PEBSY</t>
  </si>
  <si>
    <t>PECSY</t>
  </si>
  <si>
    <t>PEDSY</t>
  </si>
  <si>
    <t>PEESY</t>
  </si>
  <si>
    <t>Bristol</t>
  </si>
  <si>
    <t>PEFBL</t>
  </si>
  <si>
    <t>NetSure</t>
  </si>
  <si>
    <t>PEHBL</t>
  </si>
  <si>
    <t>Cardiff</t>
  </si>
  <si>
    <t>PECCF</t>
  </si>
  <si>
    <t>PEDCF</t>
  </si>
  <si>
    <t>PEECF</t>
  </si>
  <si>
    <t>Carlisle</t>
  </si>
  <si>
    <t>PEACE</t>
  </si>
  <si>
    <t>20041/OptExpress x3 cabs/Nov20/AP(SP)</t>
  </si>
  <si>
    <t>22008/M-PE/M-CE Upgrade/AP</t>
  </si>
  <si>
    <t>22016/E/// BSC/Sep22/AP</t>
  </si>
  <si>
    <t>PEBCE</t>
  </si>
  <si>
    <t>Croydon</t>
  </si>
  <si>
    <t>PEFCN</t>
  </si>
  <si>
    <t>PEGCN</t>
  </si>
  <si>
    <t>Glasgow TXO</t>
  </si>
  <si>
    <t>PEJGW</t>
  </si>
  <si>
    <t>PEKGW</t>
  </si>
  <si>
    <t>Leicester</t>
  </si>
  <si>
    <t>PEFLR</t>
  </si>
  <si>
    <t>PEGLR</t>
  </si>
  <si>
    <t>Newbury</t>
  </si>
  <si>
    <t>PEGNY</t>
  </si>
  <si>
    <t>PEHNY</t>
  </si>
  <si>
    <t>Newcastle</t>
  </si>
  <si>
    <t>PEENE</t>
  </si>
  <si>
    <t>22016/E/// x2 BSC/Sep22/AP</t>
  </si>
  <si>
    <t>PEFNE</t>
  </si>
  <si>
    <t>PEGNE</t>
  </si>
  <si>
    <t>Oxford</t>
  </si>
  <si>
    <t>PECOD</t>
  </si>
  <si>
    <t>20035/AMITIE/Sept20/AP</t>
  </si>
  <si>
    <t>PEFOD</t>
  </si>
  <si>
    <t>Stafford</t>
  </si>
  <si>
    <t>PEESD</t>
  </si>
  <si>
    <t>PEGSD</t>
  </si>
  <si>
    <t>Warrington TXO</t>
  </si>
  <si>
    <t>PELWN</t>
  </si>
  <si>
    <t>PEMWN</t>
  </si>
  <si>
    <t>PENWN</t>
  </si>
  <si>
    <t>Total VF-UK Network</t>
  </si>
  <si>
    <t>VF-UK Type A Sites</t>
  </si>
  <si>
    <t>Number of Elements</t>
  </si>
  <si>
    <t>Module Count</t>
  </si>
  <si>
    <t>Total Capacity</t>
  </si>
  <si>
    <t>Number of Plants</t>
  </si>
  <si>
    <t>Rectifier Count</t>
  </si>
  <si>
    <t>(kW)</t>
  </si>
  <si>
    <t>(MW)</t>
  </si>
  <si>
    <t>Total DC Capacity (Type A) (MW)</t>
  </si>
  <si>
    <t>Total eSure Capacity (Type A) as % of Total DC</t>
  </si>
  <si>
    <t>Total Battery Capaicty (Type A) (Ah)</t>
  </si>
  <si>
    <t>Total AC (inverter) Capacity (Type A) (kVA)</t>
  </si>
  <si>
    <t>Total Bravo Capacity (type A) as % of Total AC</t>
  </si>
  <si>
    <t>(Multiple Items)</t>
  </si>
  <si>
    <t>Row Labels</t>
  </si>
  <si>
    <t>Sum of Element Load (A) Jan 21</t>
  </si>
  <si>
    <t>Sum of Running % load</t>
  </si>
  <si>
    <t>Sum of Reserved (A)</t>
  </si>
  <si>
    <t>Sum of Running Load + Reserved (%)</t>
  </si>
  <si>
    <t>Sum of Forcast (A)</t>
  </si>
  <si>
    <t>Sum of Total Forecast  (kW)</t>
  </si>
  <si>
    <t>Sum of Running Load + Reserved+  Forecast (A)</t>
  </si>
  <si>
    <t>Sum of Total Power Element
  RAG (% used)</t>
  </si>
  <si>
    <t xml:space="preserve">Power Element Type </t>
  </si>
  <si>
    <t>Total Number of Inverters</t>
  </si>
  <si>
    <t>Redundant inverters</t>
  </si>
  <si>
    <t>Inverter Module Capacity (kW)</t>
  </si>
  <si>
    <t>Deployed Capacity (kW)</t>
  </si>
  <si>
    <t>Deployed Capacity (A)</t>
  </si>
  <si>
    <t>Expansion Capability (kW)</t>
  </si>
  <si>
    <t>Element Load (A)</t>
  </si>
  <si>
    <t>Load Reading
Date</t>
  </si>
  <si>
    <t>Element Load (kW)</t>
  </si>
  <si>
    <t>Total Load on DC power plants (A)</t>
  </si>
  <si>
    <t>Total Load on DC power plants (kW)</t>
  </si>
  <si>
    <t>Inverter Reserved Load (A)</t>
  </si>
  <si>
    <t>Inverter Reserved Load (kW)</t>
  </si>
  <si>
    <t>Forecast Load (A)</t>
  </si>
  <si>
    <t>Forecast Load (kW)</t>
  </si>
  <si>
    <t>Element Load+Reserved+Forecast (A)</t>
  </si>
  <si>
    <t>Power Element Remaining (RAG)</t>
  </si>
  <si>
    <t>Forecasted elements (A)</t>
  </si>
  <si>
    <t>Value (A) to be added to DC Power Plants</t>
  </si>
  <si>
    <t>XAN</t>
  </si>
  <si>
    <t>IC30aAN</t>
  </si>
  <si>
    <t>ECI</t>
  </si>
  <si>
    <t>SecureNet (2.5A)</t>
  </si>
  <si>
    <t>Originally 63A for cage.</t>
  </si>
  <si>
    <t>IC30bAN</t>
  </si>
  <si>
    <t>XBE</t>
  </si>
  <si>
    <t>IC30aBE</t>
  </si>
  <si>
    <t>IC30bBE</t>
  </si>
  <si>
    <t>IC31aBE</t>
  </si>
  <si>
    <t>IC31bBE</t>
  </si>
  <si>
    <t>IC32aBE</t>
  </si>
  <si>
    <t>IC32bBE</t>
  </si>
  <si>
    <t>XCY</t>
  </si>
  <si>
    <t>IC30aCY</t>
  </si>
  <si>
    <t>SPARC T8-2 (13A)</t>
  </si>
  <si>
    <t>IC30bCY</t>
  </si>
  <si>
    <t>XEH</t>
  </si>
  <si>
    <t>IC30aEH</t>
  </si>
  <si>
    <t>IPAR (3.3)</t>
  </si>
  <si>
    <t>IPAR (14)</t>
  </si>
  <si>
    <t>IC30bEH</t>
  </si>
  <si>
    <t>XER</t>
  </si>
  <si>
    <t>IC30aER</t>
  </si>
  <si>
    <t>TBC</t>
  </si>
  <si>
    <t>IC30bER</t>
  </si>
  <si>
    <t>XGL</t>
  </si>
  <si>
    <t>IC30aGL</t>
  </si>
  <si>
    <t>Util AC03 (6)</t>
  </si>
  <si>
    <t>Util AC03 (8)</t>
  </si>
  <si>
    <t>IC30bGL</t>
  </si>
  <si>
    <t>IC31aGL</t>
  </si>
  <si>
    <t>SecureNet 11A</t>
  </si>
  <si>
    <t>IC31bGL</t>
  </si>
  <si>
    <t>XGR</t>
  </si>
  <si>
    <t>IC30aGR</t>
  </si>
  <si>
    <t>(Hawk 4.8) NFV Dell Store (6)</t>
  </si>
  <si>
    <t>Hawk (21A) NFV Dell Store (6.4)</t>
  </si>
  <si>
    <t>IC30bGR</t>
  </si>
  <si>
    <t>GCRMTX-INV02a</t>
  </si>
  <si>
    <t>Compute 421 (4.8A)</t>
  </si>
  <si>
    <t>GCRMTX-INV02b</t>
  </si>
  <si>
    <t>Compute 421 (4.7A)</t>
  </si>
  <si>
    <t>XKS</t>
  </si>
  <si>
    <t>IC30aKS</t>
  </si>
  <si>
    <t>IC30bKS</t>
  </si>
  <si>
    <t>XLD</t>
  </si>
  <si>
    <t>IC30aLD</t>
  </si>
  <si>
    <t>23016 NFV CV 101  (10A)</t>
  </si>
  <si>
    <t>Net 103 (22.6A)</t>
  </si>
  <si>
    <t>IC30bLD</t>
  </si>
  <si>
    <t>XMS</t>
  </si>
  <si>
    <t>IC20aMS</t>
  </si>
  <si>
    <t>TSI</t>
  </si>
  <si>
    <t>IC20bMS</t>
  </si>
  <si>
    <t>IC30aMS</t>
  </si>
  <si>
    <t>IC30bMS</t>
  </si>
  <si>
    <t>IC31aMS</t>
  </si>
  <si>
    <t>IC31bMS</t>
  </si>
  <si>
    <t>XOM</t>
  </si>
  <si>
    <t>IC30aOM</t>
  </si>
  <si>
    <t>(Hawk 4.8)</t>
  </si>
  <si>
    <t>Hawk (21A)</t>
  </si>
  <si>
    <t>IC30bOM</t>
  </si>
  <si>
    <t>XRM</t>
  </si>
  <si>
    <t>IC30aRM</t>
  </si>
  <si>
    <t>IC30bRM</t>
  </si>
  <si>
    <t>XSN</t>
  </si>
  <si>
    <t>IC30aSN</t>
  </si>
  <si>
    <t>IC30bSN</t>
  </si>
  <si>
    <t>XSY</t>
  </si>
  <si>
    <t>IC30aSY</t>
  </si>
  <si>
    <t>IC30bSY</t>
  </si>
  <si>
    <t>Note- the inverter systems readings are greater than the PDU readings, this is due to the CT (current transformers) used for circuit monitoring. The inverter system reading is used for Dulux.</t>
  </si>
  <si>
    <t>Name</t>
  </si>
  <si>
    <t xml:space="preserve">Type </t>
  </si>
  <si>
    <t>Reserved Load (kW)</t>
  </si>
  <si>
    <t>Forecasted elements</t>
  </si>
  <si>
    <t>Value (A) to be added to each DC Power Plant</t>
  </si>
  <si>
    <t>XBL</t>
  </si>
  <si>
    <t>IC2BL</t>
  </si>
  <si>
    <t>XCF</t>
  </si>
  <si>
    <t>IC2CF</t>
  </si>
  <si>
    <t>RDI</t>
  </si>
  <si>
    <t>XCE</t>
  </si>
  <si>
    <t>IC2CE</t>
  </si>
  <si>
    <t>XCN</t>
  </si>
  <si>
    <t>IC3CN</t>
  </si>
  <si>
    <t>TGW</t>
  </si>
  <si>
    <t>IC1GW</t>
  </si>
  <si>
    <t>XLR</t>
  </si>
  <si>
    <t>IC3LR</t>
  </si>
  <si>
    <t>XNE</t>
  </si>
  <si>
    <t>IC3NE</t>
  </si>
  <si>
    <t>XNY</t>
  </si>
  <si>
    <t>IC4NY</t>
  </si>
  <si>
    <t>Canal House UPS</t>
  </si>
  <si>
    <t>UPS</t>
  </si>
  <si>
    <t>PE Increases</t>
  </si>
  <si>
    <t>XOD</t>
  </si>
  <si>
    <t>IC2OD</t>
  </si>
  <si>
    <t>XSD</t>
  </si>
  <si>
    <t>IC3SD</t>
  </si>
  <si>
    <t>TWN</t>
  </si>
  <si>
    <t>IC3WN</t>
  </si>
  <si>
    <t>IC2ER</t>
  </si>
  <si>
    <t>Type A - Reporting Data</t>
  </si>
  <si>
    <t>System Load (kW)</t>
  </si>
  <si>
    <t>Reserved (kW)</t>
  </si>
  <si>
    <t>Forecast (kW)</t>
  </si>
  <si>
    <t>Power Capability (kW)</t>
  </si>
  <si>
    <t>Power Element RAG (% remaining)</t>
  </si>
  <si>
    <t>IC30AN</t>
  </si>
  <si>
    <t>IC30BE</t>
  </si>
  <si>
    <t>IC31BE</t>
  </si>
  <si>
    <t>IC30CY</t>
  </si>
  <si>
    <t>IC13GL</t>
  </si>
  <si>
    <t>IC14GL</t>
  </si>
  <si>
    <t>IC30GL</t>
  </si>
  <si>
    <t>IC31GL</t>
  </si>
  <si>
    <t>IC30GR</t>
  </si>
  <si>
    <t>IC30KS</t>
  </si>
  <si>
    <t>IC12LD</t>
  </si>
  <si>
    <t>IC13LD</t>
  </si>
  <si>
    <t>IC30LD</t>
  </si>
  <si>
    <t>IC20MS</t>
  </si>
  <si>
    <t>IC30MS</t>
  </si>
  <si>
    <t>IC31MS</t>
  </si>
  <si>
    <t>IC30OM</t>
  </si>
  <si>
    <t>IC30RM</t>
  </si>
  <si>
    <t>IC30SY</t>
  </si>
  <si>
    <t>Core Graphing data</t>
  </si>
  <si>
    <t>ICxBE</t>
  </si>
  <si>
    <t>ICxGL</t>
  </si>
  <si>
    <t>ICxLD</t>
  </si>
  <si>
    <t>ICxMS</t>
  </si>
  <si>
    <t>Type B Graphing data</t>
  </si>
  <si>
    <t>IC3LS</t>
  </si>
  <si>
    <t>IC1WY</t>
  </si>
  <si>
    <t>CH PDU</t>
  </si>
  <si>
    <t>System Load (A)</t>
  </si>
  <si>
    <t>Remaining Capacity (A)</t>
  </si>
  <si>
    <t>CH PDU Forecasted  Elements</t>
  </si>
  <si>
    <t>Phase L1</t>
  </si>
  <si>
    <t>2A (VFPTSP 22015)</t>
  </si>
  <si>
    <t>Phase L2</t>
  </si>
  <si>
    <t>Phase L3</t>
  </si>
  <si>
    <t>Total (A)</t>
  </si>
  <si>
    <t>Total(kW)</t>
  </si>
  <si>
    <t>Max load on PDU 75kW (130A per phase limit)</t>
  </si>
  <si>
    <t>DC Power Plant Usage Report</t>
  </si>
  <si>
    <t>Type A Sites</t>
  </si>
  <si>
    <t>Technology Load for the site (kW)</t>
  </si>
  <si>
    <t>Reserved+Forecast for the site (kW)</t>
  </si>
  <si>
    <t>Deployed DC Capability (kW)</t>
  </si>
  <si>
    <t>Max Technology Load (kW)</t>
  </si>
  <si>
    <t>Kings Cross Breakdown</t>
  </si>
  <si>
    <t>DC Load for the site (kW)</t>
  </si>
  <si>
    <t>Forecast for the site (kW)</t>
  </si>
  <si>
    <t>XKS - 1st Floor</t>
  </si>
  <si>
    <t>XKS - 2nd Floor</t>
  </si>
  <si>
    <t>XKS - 3rd Floor</t>
  </si>
  <si>
    <t>Type B Sites</t>
  </si>
  <si>
    <t>N/A</t>
  </si>
  <si>
    <t>Power Plant Load (kW)</t>
  </si>
  <si>
    <t>Reserved+Forecast (kW)</t>
  </si>
  <si>
    <t>Useable Power Capacity (kW)</t>
  </si>
  <si>
    <t>Total Power Plant Capacity (kW)</t>
  </si>
  <si>
    <t>DCSYS07A</t>
  </si>
  <si>
    <t>DCSYS07B</t>
  </si>
  <si>
    <t xml:space="preserve"> (to 90% Capacity Mgmt Limit)</t>
  </si>
  <si>
    <t>Site</t>
  </si>
  <si>
    <t>100% Capacity kW</t>
  </si>
  <si>
    <t>90% Maximum Capacity Management Limit</t>
  </si>
  <si>
    <t>10% Cap Mgmt Limit</t>
  </si>
  <si>
    <t>Running Load kW</t>
  </si>
  <si>
    <t>NFV Reserved kW</t>
  </si>
  <si>
    <t>Forecast kW</t>
  </si>
  <si>
    <t>Run Load + Fore +Res</t>
  </si>
  <si>
    <t>Remaining Capacity kW</t>
  </si>
  <si>
    <t>Remaining kW 
including NFV Reserve</t>
  </si>
  <si>
    <t>Maximum NFV Require FY22-23
kW</t>
  </si>
  <si>
    <t>Typical  NFV Require FY22-23 kW</t>
  </si>
  <si>
    <t>Remaining kW
 (to 100% Capacity)</t>
  </si>
  <si>
    <t>Original Forecast
kW</t>
  </si>
  <si>
    <t>85% Figure</t>
  </si>
  <si>
    <t>Remaining Cap kW to 85%</t>
  </si>
  <si>
    <t>Typical/Max Demand</t>
  </si>
  <si>
    <t>Hardware Name</t>
  </si>
  <si>
    <t>OEM Requested Max (kW)</t>
  </si>
  <si>
    <t>NDI Reserve (kW)</t>
  </si>
  <si>
    <t>NDI Reserve/OEM Requested</t>
  </si>
  <si>
    <t>Gen 9 HP</t>
  </si>
  <si>
    <t>Gen 10 HPC</t>
  </si>
  <si>
    <t>Dell M1000e</t>
  </si>
  <si>
    <t>Synergy AC</t>
  </si>
  <si>
    <t>Synergy DC</t>
  </si>
  <si>
    <t>BKL</t>
  </si>
  <si>
    <t xml:space="preserve">RMS Cab type  </t>
  </si>
  <si>
    <t> OEM Max Value (KW)</t>
  </si>
  <si>
    <t>OEM Typical Values (KW)</t>
  </si>
  <si>
    <t>Storage Cab Live ( 4 x Powerstore 500T, 2 x 5448 Storage Leaf Switches, 2 x 9432 Storage Spine Switches)</t>
  </si>
  <si>
    <r>
      <t xml:space="preserve">8 X RMS Host and </t>
    </r>
    <r>
      <rPr>
        <sz val="11"/>
        <color rgb="FFFF0000"/>
        <rFont val="Calibri"/>
        <family val="2"/>
      </rPr>
      <t>High Performance</t>
    </r>
    <r>
      <rPr>
        <sz val="11"/>
        <color rgb="FF000000"/>
        <rFont val="Calibri"/>
        <family val="2"/>
      </rPr>
      <t xml:space="preserve"> Networking ( 2 x 5448 Service TOR , 1 x 5448 Storage TOR , 1 x 5248 Mgmt TOR)</t>
    </r>
  </si>
  <si>
    <r>
      <t xml:space="preserve">8 X RMS Host and </t>
    </r>
    <r>
      <rPr>
        <sz val="11"/>
        <color rgb="FFFF0000"/>
        <rFont val="Calibri"/>
        <family val="2"/>
      </rPr>
      <t>STD Performance</t>
    </r>
    <r>
      <rPr>
        <sz val="11"/>
        <color rgb="FF000000"/>
        <rFont val="Calibri"/>
        <family val="2"/>
      </rPr>
      <t xml:space="preserve"> Networking ( 1 x 5448 Service TOR , 1 x 5448 Storage TOR , 1 x 5248 Mgmt TOR)</t>
    </r>
  </si>
  <si>
    <t>11 x RMS and 1 x 2248 OOB switch</t>
  </si>
  <si>
    <t>10 x RMS cab</t>
  </si>
  <si>
    <t>Hi Perf POD Power Loads per POD Kw</t>
  </si>
  <si>
    <t>Storage Kw</t>
  </si>
  <si>
    <t xml:space="preserve">Site Totals </t>
  </si>
  <si>
    <t xml:space="preserve">POD with x38 RMS </t>
  </si>
  <si>
    <t>STD Perf POD Power Loads per POD Kw</t>
  </si>
  <si>
    <t xml:space="preserve">Site Requirements </t>
  </si>
  <si>
    <t xml:space="preserve">Power Requirement </t>
  </si>
  <si>
    <t>Remaining CAP kW to 85%</t>
  </si>
  <si>
    <t>XGR x1 Store, x2 High Perf RMS &amp; x1 STD Perf RMS</t>
  </si>
  <si>
    <t>x2 PODs &amp; Storage cabinets 90kW</t>
  </si>
  <si>
    <t>XGL x1 Store, x2 High Perf RMS &amp; x2 STD Perf RMS</t>
  </si>
  <si>
    <t xml:space="preserve">Needs new room </t>
  </si>
  <si>
    <t xml:space="preserve">DC capacity can be used for CISCO 9912 </t>
  </si>
  <si>
    <t>XOM x1 Store, x2 High Perf RMS &amp; x2 STD Perf RMS</t>
  </si>
  <si>
    <t xml:space="preserve">x2 PODs &amp; Storage cabinets 90kW or 83kW second POD with last cabinet empty so -10 RMS </t>
  </si>
  <si>
    <t>BKLN05 x1 Store, x1 High Perf RMS &amp; x1 STD Perf RMS</t>
  </si>
  <si>
    <t xml:space="preserve">If to 90% of UPS then can go into BKLN05 ext </t>
  </si>
  <si>
    <r>
      <t>Infra Ready - NDI [Cables &amp; Cabs]</t>
    </r>
    <r>
      <rPr>
        <sz val="11"/>
        <color rgb="FF000000"/>
        <rFont val="Calibri"/>
        <family val="2"/>
      </rPr>
      <t xml:space="preserve">134 daysTue 27/09/22Fri 31/03/23   </t>
    </r>
  </si>
  <si>
    <r>
      <t>XOM [19]</t>
    </r>
    <r>
      <rPr>
        <sz val="11"/>
        <color rgb="FF000000"/>
        <rFont val="Calibri"/>
        <family val="2"/>
      </rPr>
      <t xml:space="preserve">   Thu 26/01/23  </t>
    </r>
  </si>
  <si>
    <r>
      <t>XGL [28] [AC Room]   Fri 31/03/23</t>
    </r>
    <r>
      <rPr>
        <sz val="11"/>
        <color rgb="FF000000"/>
        <rFont val="Calibri"/>
        <family val="2"/>
      </rPr>
      <t xml:space="preserve"> Cabinet on site with power to undertake build </t>
    </r>
  </si>
  <si>
    <r>
      <t>BKNL [21]</t>
    </r>
    <r>
      <rPr>
        <sz val="11"/>
        <color rgb="FF000000"/>
        <rFont val="Calibri"/>
        <family val="2"/>
      </rPr>
      <t xml:space="preserve">  Wed 30/11/22</t>
    </r>
  </si>
  <si>
    <r>
      <t>XGR [15]</t>
    </r>
    <r>
      <rPr>
        <sz val="11"/>
        <color rgb="FF000000"/>
        <rFont val="Calibri"/>
        <family val="2"/>
      </rPr>
      <t xml:space="preserve">    Thu 26/01/23   </t>
    </r>
  </si>
  <si>
    <t xml:space="preserve">Site Name </t>
  </si>
  <si>
    <t xml:space="preserve">Total Eqpt Rm 
Area (m²) </t>
  </si>
  <si>
    <t>Total Footprints (S)</t>
  </si>
  <si>
    <t>Total Footprints (D)-after calc</t>
  </si>
  <si>
    <t>Spare Footprints (S)</t>
  </si>
  <si>
    <t>Spare Footprints (D)-after calc</t>
  </si>
  <si>
    <t>Calc- Deep Cabs Tiles</t>
  </si>
  <si>
    <t>Deep Cabs Footprints  (based on 800mm Wide Cab)</t>
  </si>
  <si>
    <t>Total Footprints (S)m2</t>
  </si>
  <si>
    <t>Standard Cab Footprints Spare</t>
  </si>
  <si>
    <t>Deep Cab Footprints Spare-after calc</t>
  </si>
  <si>
    <r>
      <t>XKS (1</t>
    </r>
    <r>
      <rPr>
        <b/>
        <vertAlign val="superscript"/>
        <sz val="10"/>
        <rFont val="Arial"/>
        <family val="2"/>
      </rPr>
      <t>st)</t>
    </r>
  </si>
  <si>
    <r>
      <t>XKS (2</t>
    </r>
    <r>
      <rPr>
        <b/>
        <vertAlign val="superscript"/>
        <sz val="10"/>
        <rFont val="Arial"/>
        <family val="2"/>
      </rPr>
      <t>nd)</t>
    </r>
  </si>
  <si>
    <r>
      <t>XKS (3</t>
    </r>
    <r>
      <rPr>
        <b/>
        <vertAlign val="superscript"/>
        <sz val="10"/>
        <rFont val="Arial"/>
        <family val="2"/>
      </rPr>
      <t>rd)</t>
    </r>
  </si>
  <si>
    <t>Graphing Calcs</t>
  </si>
  <si>
    <t>NFV Sites</t>
  </si>
  <si>
    <t>Site Name</t>
  </si>
  <si>
    <t>Current Usage (S)</t>
  </si>
  <si>
    <t>Reserved no of cabs (S)</t>
  </si>
  <si>
    <t>Forecast no of cabs (S)</t>
  </si>
  <si>
    <t>Remaining Capacity (S)</t>
  </si>
  <si>
    <t>Current Usage (D)</t>
  </si>
  <si>
    <t>Reserved no of cabs (D)</t>
  </si>
  <si>
    <t>Forecast no of cabs (D)</t>
  </si>
  <si>
    <t>Remaining Capacity (D)</t>
  </si>
  <si>
    <t xml:space="preserve">Used (m²) </t>
  </si>
  <si>
    <t>Reserved (m²)</t>
  </si>
  <si>
    <t xml:space="preserve">Forecast (m²) </t>
  </si>
  <si>
    <t>Total usable space (m²) (based on cab positions and front/back space)</t>
  </si>
  <si>
    <t>% usable space remaining</t>
  </si>
  <si>
    <t xml:space="preserve">Remaining (m²) </t>
  </si>
  <si>
    <t>CORE Sites</t>
  </si>
  <si>
    <t>Total usable space (based on cab positions and front/back space)</t>
  </si>
  <si>
    <t>Forecast Cab Deployment (S)</t>
  </si>
  <si>
    <t>Forecast Cab Deployment (D)</t>
  </si>
  <si>
    <t>Pie Chart</t>
  </si>
  <si>
    <t>Site Name Non-Core</t>
  </si>
  <si>
    <t>Deep Cabs Footprints</t>
  </si>
  <si>
    <t>XNE (XNE001)</t>
  </si>
  <si>
    <t>XNE (XNE002)</t>
  </si>
  <si>
    <t>XNY COMP RM</t>
  </si>
  <si>
    <t>XOD (Grd Flr)</t>
  </si>
  <si>
    <t>XOD (1st Flr)</t>
  </si>
  <si>
    <t>Graphing Calculations Non-Core</t>
  </si>
  <si>
    <t xml:space="preserve">Current Usage </t>
  </si>
  <si>
    <t>Forecast Cab Deployment</t>
  </si>
  <si>
    <t>Remaining Capacity</t>
  </si>
  <si>
    <t>Used (m²)</t>
  </si>
  <si>
    <t>Forecast (m²)</t>
  </si>
  <si>
    <t>Remaining (m²)</t>
  </si>
  <si>
    <t>m²</t>
  </si>
  <si>
    <t>XKS Breakdown</t>
  </si>
  <si>
    <t>Suite Lines Spare</t>
  </si>
  <si>
    <t>Spare Capacity (m²)</t>
  </si>
  <si>
    <t>Known Forecast (m²)</t>
  </si>
  <si>
    <t>Suite Lines In Site</t>
  </si>
  <si>
    <t>Deployed Capacity (m²)</t>
  </si>
  <si>
    <t>Max Useable Capacity (m²)</t>
  </si>
  <si>
    <t>Basement</t>
  </si>
  <si>
    <t>First Floor</t>
  </si>
  <si>
    <t>Second Floor</t>
  </si>
  <si>
    <t>Third Floor</t>
  </si>
  <si>
    <t>Graphing Calc</t>
  </si>
  <si>
    <t>Current Usage (m²)</t>
  </si>
  <si>
    <t>Available Capacity (m²)</t>
  </si>
  <si>
    <t>Quarter of total deployed Capacity(m2)</t>
  </si>
  <si>
    <t>Left to hit quarter (m2)</t>
  </si>
  <si>
    <t>XOM Graph Calcs</t>
  </si>
  <si>
    <t>East</t>
  </si>
  <si>
    <t>West</t>
  </si>
  <si>
    <t>Total</t>
  </si>
  <si>
    <t>Graphing Calcs Non Strat CORE</t>
  </si>
  <si>
    <t>Current DC Usage (kW)</t>
  </si>
  <si>
    <t>Deployed DC Capacity (kW)</t>
  </si>
  <si>
    <t>Max Usable DC Capacity (kW)</t>
  </si>
  <si>
    <t>Max Usable Technology Load (kW)</t>
  </si>
  <si>
    <t>Tactical Expansion Cap</t>
  </si>
  <si>
    <t>Demand on Building in Current limit (kW)</t>
  </si>
  <si>
    <t>A&amp;B</t>
  </si>
  <si>
    <t>A or B</t>
  </si>
  <si>
    <t>DC Output Load Per Rect (A)</t>
  </si>
  <si>
    <t xml:space="preserve">Effiency </t>
  </si>
  <si>
    <t>Real Load on Building (kW)</t>
  </si>
  <si>
    <t>Building load with Rectifiers in Current Limit 92% Efficent (kW)</t>
  </si>
  <si>
    <t>Plant Name</t>
  </si>
  <si>
    <t>Type</t>
  </si>
  <si>
    <t>DC Current Load (A)</t>
  </si>
  <si>
    <t>Number of Rectifiers</t>
  </si>
  <si>
    <t>Rectifier Capacity (kW)</t>
  </si>
  <si>
    <t>Start</t>
  </si>
  <si>
    <t>End</t>
  </si>
  <si>
    <t>Replacement Range</t>
  </si>
  <si>
    <t>Current FY</t>
  </si>
  <si>
    <t>Current FY Expenditure</t>
  </si>
  <si>
    <t>Bugeting FY</t>
  </si>
  <si>
    <t>Budget Requirement forecast</t>
  </si>
  <si>
    <t>Battery life (years)</t>
  </si>
  <si>
    <t>Battery life (days)</t>
  </si>
  <si>
    <t>Next FY</t>
  </si>
  <si>
    <t>Load (kW)</t>
  </si>
  <si>
    <t>Estimated Autonomy Time @25degC</t>
  </si>
  <si>
    <t>Battery Cab 1</t>
  </si>
  <si>
    <t>Battery Cab 2</t>
  </si>
  <si>
    <t>Battery Cab 3</t>
  </si>
  <si>
    <t>Battery Cab 4</t>
  </si>
  <si>
    <t>Battery Cab 5</t>
  </si>
  <si>
    <t>Battery Cab 6</t>
  </si>
  <si>
    <t>Battery Cab 7</t>
  </si>
  <si>
    <t>Battery Cab 8</t>
  </si>
  <si>
    <t>Battery Cab 9</t>
  </si>
  <si>
    <t>Battery Cab 10</t>
  </si>
  <si>
    <t>Battery Cab 11</t>
  </si>
  <si>
    <t>Battery Type</t>
  </si>
  <si>
    <t>PO Number (for cells)</t>
  </si>
  <si>
    <t>Total Number of Strings</t>
  </si>
  <si>
    <t>Load Per String (kW)</t>
  </si>
  <si>
    <t>Lookup value</t>
  </si>
  <si>
    <t>Strings schedulled for replacement</t>
  </si>
  <si>
    <t>Strings in Need of replacement</t>
  </si>
  <si>
    <t>Battery Testing Requirement</t>
  </si>
  <si>
    <t>Test Type</t>
  </si>
  <si>
    <t>SBS XL 170F-FT</t>
  </si>
  <si>
    <t>6V165/6</t>
  </si>
  <si>
    <t>IR+HC Testing</t>
  </si>
  <si>
    <t>Discharge Testing</t>
  </si>
  <si>
    <t>Battery Characteristics Table</t>
  </si>
  <si>
    <t>Time</t>
  </si>
  <si>
    <t>30 mins</t>
  </si>
  <si>
    <t>35 mins</t>
  </si>
  <si>
    <t>40 mins</t>
  </si>
  <si>
    <t>45 mins</t>
  </si>
  <si>
    <t>50 mins</t>
  </si>
  <si>
    <t>55 mins</t>
  </si>
  <si>
    <t>1 hour</t>
  </si>
  <si>
    <t>1.5 hours</t>
  </si>
  <si>
    <t>2 hours</t>
  </si>
  <si>
    <t>2.5 hours</t>
  </si>
  <si>
    <t>3 hours</t>
  </si>
  <si>
    <t>4 hours</t>
  </si>
  <si>
    <t>5 hours</t>
  </si>
  <si>
    <t>6 hours</t>
  </si>
  <si>
    <t>7 hours</t>
  </si>
  <si>
    <t>8 hours</t>
  </si>
  <si>
    <t>6V165/6 Power discharge (watts per cell) @ 20degC to 1.8Vper cell</t>
  </si>
  <si>
    <t>6V165/6 Power discharge (watts per cell) @ 25degC to 1.8Vper cell</t>
  </si>
  <si>
    <t>16 Block Configuration (kW) @20degC</t>
  </si>
  <si>
    <t>16 Block Configuration (kW) @25degC</t>
  </si>
  <si>
    <t>Max load support at 9 strings (kW) @25degC</t>
  </si>
  <si>
    <t>Financial Forecast</t>
  </si>
  <si>
    <t>Single Cell cost</t>
  </si>
  <si>
    <t>String Cost</t>
  </si>
  <si>
    <t>Current FY+ 1 years</t>
  </si>
  <si>
    <t>Current FY+ 2 years</t>
  </si>
  <si>
    <t>Current FY+ 3 years</t>
  </si>
  <si>
    <t>Current FY+ 4 years</t>
  </si>
  <si>
    <t>Current FY+ 5 years</t>
  </si>
  <si>
    <t>Current FY+ 6 years</t>
  </si>
  <si>
    <t>Current FY+ 7 years</t>
  </si>
  <si>
    <t>Number of strings</t>
  </si>
  <si>
    <t>Estimated HW Cost</t>
  </si>
  <si>
    <t>Estimated Labour Cost</t>
  </si>
  <si>
    <t>Total Estimate</t>
  </si>
  <si>
    <t>Support Modelling</t>
  </si>
  <si>
    <t>Year 0</t>
  </si>
  <si>
    <t>Year 6</t>
  </si>
  <si>
    <t>Year 5</t>
  </si>
  <si>
    <t>Year 4</t>
  </si>
  <si>
    <t>Year 3</t>
  </si>
  <si>
    <t>Year 2</t>
  </si>
  <si>
    <t>Year 1</t>
  </si>
  <si>
    <t>Year 7</t>
  </si>
  <si>
    <t>Replacement Due</t>
  </si>
  <si>
    <t>Discharge</t>
  </si>
  <si>
    <t>IR+HC</t>
  </si>
  <si>
    <t>New</t>
  </si>
  <si>
    <t>Reaplcement work around</t>
  </si>
  <si>
    <t>IR</t>
  </si>
  <si>
    <t>HC</t>
  </si>
  <si>
    <t>TLS</t>
  </si>
  <si>
    <t>TWY</t>
  </si>
  <si>
    <t>Site Name *=CHE</t>
  </si>
  <si>
    <t>Current Usage (kW)</t>
  </si>
  <si>
    <t>Forecast + Reserved (kW)</t>
  </si>
  <si>
    <t>Max Useable DC Capacity (kW)</t>
  </si>
  <si>
    <t>Max Useable Technology Load (kW)</t>
  </si>
  <si>
    <t>Tsi Current Usage (kW)</t>
  </si>
  <si>
    <t>Tsi Known Forecast (kW)</t>
  </si>
  <si>
    <t>Deployed Tsi Capacity (kW)</t>
  </si>
  <si>
    <t xml:space="preserve"> XBE</t>
  </si>
  <si>
    <t xml:space="preserve"> XGL</t>
  </si>
  <si>
    <t xml:space="preserve"> XLD</t>
  </si>
  <si>
    <t xml:space="preserve"> XMS</t>
  </si>
  <si>
    <t>Graphing Calculations- 9 Core Sites</t>
  </si>
  <si>
    <t>Inverter Usage (kW)</t>
  </si>
  <si>
    <t>DC Usage (kW)</t>
  </si>
  <si>
    <t>Remaining Deployed Usable Capability (kW)</t>
  </si>
  <si>
    <t>Power Expansion Capability  (kW)</t>
  </si>
  <si>
    <t>XKS
1st floor</t>
  </si>
  <si>
    <t>XKS
2nd floor</t>
  </si>
  <si>
    <t>XKS
3rd floor</t>
  </si>
  <si>
    <t>`</t>
  </si>
  <si>
    <t>Graphing Calculations</t>
  </si>
  <si>
    <t>Remaining Capacity (kW)</t>
  </si>
  <si>
    <t>DC Current Usage (kW)</t>
  </si>
  <si>
    <t>DC Forecast (kW)</t>
  </si>
  <si>
    <t>Graphing Calculations - 5 Remaining Core Sites</t>
  </si>
  <si>
    <t>Core Strat Sites Pwr Utilisation</t>
  </si>
  <si>
    <t>CHE Sites Pwr Utilisation</t>
  </si>
  <si>
    <t>Non- CHE Sites Pwr Utilisation</t>
  </si>
  <si>
    <t>CHE Total Technology Load</t>
  </si>
  <si>
    <t>Total Technology Load</t>
  </si>
  <si>
    <t>Strategic (Non- CHE) Total Technology Load</t>
  </si>
  <si>
    <t>Total Technology Reserved/Forecast</t>
  </si>
  <si>
    <t>CHE Total Technology Reserved/Forecast</t>
  </si>
  <si>
    <t>Remaining Power Capability</t>
  </si>
  <si>
    <t>Strategic (Non-CHE) Total Technology Reserved/Forecast</t>
  </si>
  <si>
    <t>Total Technology Forecast</t>
  </si>
  <si>
    <t>CHE Remaining Power Capability</t>
  </si>
  <si>
    <t>Strategic (Non- CHE) Remaining Power Capability</t>
  </si>
  <si>
    <t>CHE Total Technology Forecast</t>
  </si>
  <si>
    <t>Strategic (Non- CHE) Total Technology Forecast</t>
  </si>
  <si>
    <t>Non Strat Core Sites Pwr Utilisation</t>
  </si>
  <si>
    <t>Agg Sites Pwr Utilisation</t>
  </si>
  <si>
    <t>TxO NetSure chart data</t>
  </si>
  <si>
    <t>Plant Size (kW)</t>
  </si>
  <si>
    <t>PEFWY</t>
  </si>
  <si>
    <t>RAG chart</t>
  </si>
  <si>
    <t>Red count</t>
  </si>
  <si>
    <t>Amber count</t>
  </si>
  <si>
    <t>Green Count</t>
  </si>
  <si>
    <t>CHE power plants</t>
  </si>
  <si>
    <t>Non CHE Strategic Power Plants</t>
  </si>
  <si>
    <t>Remaining Type A sites</t>
  </si>
  <si>
    <t>Inverter DC Usage (kW)</t>
  </si>
  <si>
    <t>DC Known Forecast (kW)</t>
  </si>
  <si>
    <t>PEAOM</t>
  </si>
  <si>
    <t>PEBOM</t>
  </si>
  <si>
    <t>PECOM</t>
  </si>
  <si>
    <t>PEFOM</t>
  </si>
  <si>
    <t>PEGOM</t>
  </si>
  <si>
    <t>PEHOM</t>
  </si>
  <si>
    <t>x8 Core Sites</t>
  </si>
  <si>
    <t>Current Usage</t>
  </si>
  <si>
    <t>Std</t>
  </si>
  <si>
    <t>Deep</t>
  </si>
  <si>
    <r>
      <t xml:space="preserve">Hot Air Containment </t>
    </r>
    <r>
      <rPr>
        <b/>
        <sz val="10"/>
        <color rgb="FFFF0000"/>
        <rFont val="Arial"/>
        <family val="2"/>
      </rPr>
      <t>(do not use- Feb 21 now added to overall site figs)</t>
    </r>
  </si>
  <si>
    <t>Current Cab Usage</t>
  </si>
  <si>
    <t>Reserved Cab Deployment</t>
  </si>
  <si>
    <t>Remaining Cab Capacity</t>
  </si>
  <si>
    <t xml:space="preserve">Total (m²) </t>
  </si>
  <si>
    <t xml:space="preserve">Reserved (m²) </t>
  </si>
  <si>
    <t>x6 Core Sites</t>
  </si>
  <si>
    <t>Pie Chart (S)</t>
  </si>
  <si>
    <t xml:space="preserve">Non CHE Current Usage </t>
  </si>
  <si>
    <t xml:space="preserve">CHE Current Usage </t>
  </si>
  <si>
    <t xml:space="preserve">Remaining Capacity </t>
  </si>
  <si>
    <t>Pie Chart (D)</t>
  </si>
  <si>
    <t>Property Technical Census viiew</t>
  </si>
  <si>
    <t>w</t>
  </si>
  <si>
    <t>d</t>
  </si>
  <si>
    <r>
      <t>Std m</t>
    </r>
    <r>
      <rPr>
        <vertAlign val="superscript"/>
        <sz val="8"/>
        <rFont val="Arial"/>
        <family val="2"/>
      </rPr>
      <t>2</t>
    </r>
  </si>
  <si>
    <t>600(w) x 800(d) cab + 400 front and back clearance + proportion of side corridors (worked out as 5% of both corridors at 1.2m wide)</t>
  </si>
  <si>
    <r>
      <t>Deep m</t>
    </r>
    <r>
      <rPr>
        <vertAlign val="superscript"/>
        <sz val="8"/>
        <rFont val="Arial"/>
        <family val="2"/>
      </rPr>
      <t>2</t>
    </r>
  </si>
  <si>
    <t>800(w) x 1200(d) cab + 600 front and back clearance + proportion of side corridors (worked out as 5% of both corridors at 1.2m wide)</t>
  </si>
  <si>
    <r>
      <t>Used m</t>
    </r>
    <r>
      <rPr>
        <u/>
        <vertAlign val="superscript"/>
        <sz val="8"/>
        <rFont val="Arial"/>
        <family val="2"/>
      </rPr>
      <t xml:space="preserve">2 </t>
    </r>
    <r>
      <rPr>
        <u/>
        <sz val="8"/>
        <rFont val="Arial"/>
        <family val="2"/>
      </rPr>
      <t>(zone C)</t>
    </r>
  </si>
  <si>
    <t>(manual figure)</t>
  </si>
  <si>
    <t>(includes cabs in room 1)</t>
  </si>
  <si>
    <t>(includes 1st floor)</t>
  </si>
  <si>
    <t>NFV Sites Power Breakdown (Power exp cap- Deployed Usable Capability)</t>
  </si>
  <si>
    <t>Hot Aisle Containment- discontinued Feb 21</t>
  </si>
  <si>
    <t xml:space="preserve">
</t>
  </si>
  <si>
    <t>Core sites power breakdown (Power exp cap- Deployed Usable Capability)</t>
  </si>
  <si>
    <t>CORE Sites Power Breakdown</t>
  </si>
  <si>
    <t>Actual Load (kW)</t>
  </si>
  <si>
    <t xml:space="preserve"> XBE*</t>
  </si>
  <si>
    <t>XEH**</t>
  </si>
  <si>
    <t xml:space="preserve"> XLD**</t>
  </si>
  <si>
    <t xml:space="preserve"> XMS*</t>
  </si>
  <si>
    <t>Month</t>
  </si>
  <si>
    <t>Region</t>
  </si>
  <si>
    <t>Asset Code</t>
  </si>
  <si>
    <t>Description</t>
  </si>
  <si>
    <t>Location</t>
  </si>
  <si>
    <t>System</t>
  </si>
  <si>
    <t>Tag</t>
  </si>
  <si>
    <t>AR_SEQ</t>
  </si>
  <si>
    <t>Refrigerant</t>
  </si>
  <si>
    <t>KW</t>
  </si>
  <si>
    <t>Comments</t>
  </si>
  <si>
    <t>LDC</t>
  </si>
  <si>
    <t>VF507642</t>
  </si>
  <si>
    <t>CRAC UNIT 1</t>
  </si>
  <si>
    <t>MTX Room</t>
  </si>
  <si>
    <t>AIRCON</t>
  </si>
  <si>
    <t>AHU</t>
  </si>
  <si>
    <t>ACTMTX</t>
  </si>
  <si>
    <t>R410A 16KG</t>
  </si>
  <si>
    <t>VF507643</t>
  </si>
  <si>
    <t>CRAC UNIT 2</t>
  </si>
  <si>
    <t>R410A   16kg</t>
  </si>
  <si>
    <t>Powered down 27/01/20</t>
  </si>
  <si>
    <t>VF507644</t>
  </si>
  <si>
    <t>CRAC UNIT 5</t>
  </si>
  <si>
    <t>R410a 16kg</t>
  </si>
  <si>
    <t>VF507645</t>
  </si>
  <si>
    <t>CRAC UNIT 4</t>
  </si>
  <si>
    <t>VF507646</t>
  </si>
  <si>
    <t>CRAC UNIT 3</t>
  </si>
  <si>
    <t>VF-508032</t>
  </si>
  <si>
    <t>Control Room AHU 8</t>
  </si>
  <si>
    <t>Control Room</t>
  </si>
  <si>
    <t>R410a  2.8kg</t>
  </si>
  <si>
    <t>VF-508033</t>
  </si>
  <si>
    <t>Control Room AHU 9</t>
  </si>
  <si>
    <t>VF522001</t>
  </si>
  <si>
    <t>CRAC UNIT 6</t>
  </si>
  <si>
    <t>Mids</t>
  </si>
  <si>
    <t>CHILLER 1</t>
  </si>
  <si>
    <t>EXTERNAL COMPOUND</t>
  </si>
  <si>
    <t>CHILLER</t>
  </si>
  <si>
    <t>BMGMTX</t>
  </si>
  <si>
    <t>R410A - 2 x 12.5Kg</t>
  </si>
  <si>
    <t>CHILLER 2</t>
  </si>
  <si>
    <t>CHILLER 3</t>
  </si>
  <si>
    <t>CHILLER 4</t>
  </si>
  <si>
    <t>CHILLER 5</t>
  </si>
  <si>
    <t>CHILLER 6</t>
  </si>
  <si>
    <t>CHILLER 7</t>
  </si>
  <si>
    <t>CHILLER 8</t>
  </si>
  <si>
    <t>AHU 1</t>
  </si>
  <si>
    <t>SWITCH ROOM</t>
  </si>
  <si>
    <t>FCU</t>
  </si>
  <si>
    <t>CHILLED WATER</t>
  </si>
  <si>
    <t>AHU 2</t>
  </si>
  <si>
    <t>AHU 3</t>
  </si>
  <si>
    <t>AHU 4</t>
  </si>
  <si>
    <t>AHU 10</t>
  </si>
  <si>
    <t>R407C - 19.5Kg</t>
  </si>
  <si>
    <t>AHU 5</t>
  </si>
  <si>
    <t>AHU 6</t>
  </si>
  <si>
    <t>AHU 7</t>
  </si>
  <si>
    <t>AHU 8</t>
  </si>
  <si>
    <t>AHU 9</t>
  </si>
  <si>
    <t>R407C - 16.5Kg</t>
  </si>
  <si>
    <t>TVB</t>
  </si>
  <si>
    <t>VF-121823</t>
  </si>
  <si>
    <t>Toilet Extract Fan</t>
  </si>
  <si>
    <t>Ground floor Toilet area</t>
  </si>
  <si>
    <t>VENT</t>
  </si>
  <si>
    <t>BSGMTX</t>
  </si>
  <si>
    <t>ventilation</t>
  </si>
  <si>
    <t>VF-1218234</t>
  </si>
  <si>
    <t>MTX Supply Fan</t>
  </si>
  <si>
    <t>1st Floor Over MTX Space</t>
  </si>
  <si>
    <t>Unknown</t>
  </si>
  <si>
    <t>VF-12182345</t>
  </si>
  <si>
    <t>FM200 Extract</t>
  </si>
  <si>
    <t>VF-511501</t>
  </si>
  <si>
    <t>Emerson Free cooling Unit chiller 1</t>
  </si>
  <si>
    <t>R410A 12.5KG</t>
  </si>
  <si>
    <t>VF-511502</t>
  </si>
  <si>
    <t>Emerson Free cooling chiller 2</t>
  </si>
  <si>
    <t>VF-511503</t>
  </si>
  <si>
    <t>Emerson Free cooling chiller 3</t>
  </si>
  <si>
    <t>VF-511504</t>
  </si>
  <si>
    <t>Emerson Free Outdoor chiller 4</t>
  </si>
  <si>
    <t>VF-511505</t>
  </si>
  <si>
    <t>Emerson Free cooling chiller 5</t>
  </si>
  <si>
    <t>12.5KG R410A</t>
  </si>
  <si>
    <t>VF-511506</t>
  </si>
  <si>
    <t>Emerson Free Cooling Unit chiller 6</t>
  </si>
  <si>
    <t>VF-511507</t>
  </si>
  <si>
    <t>Emerson Free cooling  Unit chiller 7</t>
  </si>
  <si>
    <t>VF-511508</t>
  </si>
  <si>
    <t>Emerson Free Cooling Unit chiller 8</t>
  </si>
  <si>
    <t>VF-511509</t>
  </si>
  <si>
    <t>Emerson Free cooling  Unit chiller 9</t>
  </si>
  <si>
    <t>Compound</t>
  </si>
  <si>
    <t>VF-511510</t>
  </si>
  <si>
    <t>Emerson Free cooling  Unit chiller 10</t>
  </si>
  <si>
    <t>VF-511511</t>
  </si>
  <si>
    <t>VRV Offices/ Kitchen</t>
  </si>
  <si>
    <t>Ground floor office area</t>
  </si>
  <si>
    <t xml:space="preserve">R407C </t>
  </si>
  <si>
    <t>non-operational/beyond economical repair</t>
  </si>
  <si>
    <t>VF-511512</t>
  </si>
  <si>
    <t>Air Handling Unit Multi Split</t>
  </si>
  <si>
    <t>1st Floor Disaster recovery area</t>
  </si>
  <si>
    <t xml:space="preserve">R410A </t>
  </si>
  <si>
    <t>VF-511513</t>
  </si>
  <si>
    <t>Air Handling Unit Small split</t>
  </si>
  <si>
    <t>R410A</t>
  </si>
  <si>
    <t>VF515001</t>
  </si>
  <si>
    <t>Chiller No10 indoor unit</t>
  </si>
  <si>
    <t>indoor unit to chiller 10</t>
  </si>
  <si>
    <t>VF515002</t>
  </si>
  <si>
    <t>Chiller No1 indoor unit</t>
  </si>
  <si>
    <t>indoor unit to chiller 01</t>
  </si>
  <si>
    <t>VF515003</t>
  </si>
  <si>
    <t>Chiller No 2 indoor unit</t>
  </si>
  <si>
    <t>indoor unit to chiller 02</t>
  </si>
  <si>
    <t>VF-515004</t>
  </si>
  <si>
    <t>Chiller No3 indoor unit</t>
  </si>
  <si>
    <t>indoor unit to chiller 03</t>
  </si>
  <si>
    <t>VF-515005</t>
  </si>
  <si>
    <t>Chiller No4 indoor unit</t>
  </si>
  <si>
    <t>indoor unit to chiller 04</t>
  </si>
  <si>
    <t>VF-515006</t>
  </si>
  <si>
    <t>Chiller No5 indoor unit</t>
  </si>
  <si>
    <t>indoor unit to chiller 05</t>
  </si>
  <si>
    <t>VF-515007</t>
  </si>
  <si>
    <t>Chiller No6 indoor unit</t>
  </si>
  <si>
    <t>indoor unit to chiller 06</t>
  </si>
  <si>
    <t>VF-515008</t>
  </si>
  <si>
    <t>Chiller No7 indoor unit</t>
  </si>
  <si>
    <t>indoor unit to chiller 07</t>
  </si>
  <si>
    <t>VF-515009</t>
  </si>
  <si>
    <t>Chiller No 8 indoor unit</t>
  </si>
  <si>
    <t>indoor unit to chiller 08</t>
  </si>
  <si>
    <t>VF-515010</t>
  </si>
  <si>
    <t>Chiller No 9 indoor unit</t>
  </si>
  <si>
    <t>indoor unit to chiller 09</t>
  </si>
  <si>
    <t>SWW</t>
  </si>
  <si>
    <t>VF 504005</t>
  </si>
  <si>
    <t>Chiller 1</t>
  </si>
  <si>
    <t>COMPOUND</t>
  </si>
  <si>
    <t>BTLMTX</t>
  </si>
  <si>
    <t>R410a 18KG</t>
  </si>
  <si>
    <t>VF 504006</t>
  </si>
  <si>
    <t>Chiller 2</t>
  </si>
  <si>
    <t>VF112074</t>
  </si>
  <si>
    <t>A/C Unit</t>
  </si>
  <si>
    <t>Comms Rm Switch Rm 3</t>
  </si>
  <si>
    <t>R410a  1.8Kg</t>
  </si>
  <si>
    <t>VF-111117</t>
  </si>
  <si>
    <t>Liebert Unit No 1</t>
  </si>
  <si>
    <t>Switchroom</t>
  </si>
  <si>
    <t>CDFMTX</t>
  </si>
  <si>
    <t>R407c 27KG</t>
  </si>
  <si>
    <t>VF-111118</t>
  </si>
  <si>
    <t>Liebert Unit No 2</t>
  </si>
  <si>
    <t>R407c 26KG</t>
  </si>
  <si>
    <t>VF-111119</t>
  </si>
  <si>
    <t>Liebert Unit No 4</t>
  </si>
  <si>
    <t>R407c 25KG</t>
  </si>
  <si>
    <t>VF-111120</t>
  </si>
  <si>
    <t>Liebert Unit No 3</t>
  </si>
  <si>
    <t>R407c 31KG</t>
  </si>
  <si>
    <t>VF504008</t>
  </si>
  <si>
    <t>Air Handling Unit CU1</t>
  </si>
  <si>
    <t>Comms Room</t>
  </si>
  <si>
    <t>R417A 3.6KG</t>
  </si>
  <si>
    <t>VF504011</t>
  </si>
  <si>
    <t>Air Handling Unit SECURITY OFFICE</t>
  </si>
  <si>
    <t>Throughout</t>
  </si>
  <si>
    <t>VF-983854</t>
  </si>
  <si>
    <t>R410a 1.7KG</t>
  </si>
  <si>
    <t>LSSE</t>
  </si>
  <si>
    <t>Free cooling Unit chiller 1</t>
  </si>
  <si>
    <t>CLYMTX</t>
  </si>
  <si>
    <t>12.5KG OF R410A</t>
  </si>
  <si>
    <t>In Use</t>
  </si>
  <si>
    <t>Free cooling Unit chiller 2</t>
  </si>
  <si>
    <t>Free cooling Unit chiller 3</t>
  </si>
  <si>
    <t>Free cooling Unit chiller 4</t>
  </si>
  <si>
    <t>Free cooling Unit chiller 5</t>
  </si>
  <si>
    <t>Free cooling Unit chiller 6</t>
  </si>
  <si>
    <t>VF-119439</t>
  </si>
  <si>
    <t>5.4KG OF R407C</t>
  </si>
  <si>
    <t>VF-119440</t>
  </si>
  <si>
    <t>4KG OF R407C</t>
  </si>
  <si>
    <t>NW</t>
  </si>
  <si>
    <t>VF-120516</t>
  </si>
  <si>
    <t>Liebert AC 1</t>
  </si>
  <si>
    <t>CSLMTX</t>
  </si>
  <si>
    <t>R407 32KG</t>
  </si>
  <si>
    <t>VF-120517</t>
  </si>
  <si>
    <t>Liebert AC  2</t>
  </si>
  <si>
    <t>changing to Airedale 40 kw</t>
  </si>
  <si>
    <t>VF-120518</t>
  </si>
  <si>
    <t>Liebert AC 3</t>
  </si>
  <si>
    <t>VF-120519</t>
  </si>
  <si>
    <t>Liebert AC 4</t>
  </si>
  <si>
    <t>VF-120520</t>
  </si>
  <si>
    <t>Liebert AC 6</t>
  </si>
  <si>
    <t>VF-120521</t>
  </si>
  <si>
    <t>Liebert AC 5</t>
  </si>
  <si>
    <t>VF-120522</t>
  </si>
  <si>
    <t>A/C Offices &amp; Mess Room</t>
  </si>
  <si>
    <t>R407 7KG</t>
  </si>
  <si>
    <t>VF-120541</t>
  </si>
  <si>
    <t>AHU Supply - Office</t>
  </si>
  <si>
    <t>MTX ROOM</t>
  </si>
  <si>
    <t>CYNMTX</t>
  </si>
  <si>
    <t>10.5KG OF R410A</t>
  </si>
  <si>
    <t>Chiller 3</t>
  </si>
  <si>
    <t>38KG OF R410A</t>
  </si>
  <si>
    <t>Runs if temperature rise above a certain setpoint</t>
  </si>
  <si>
    <t>31.2KG OF R410A</t>
  </si>
  <si>
    <t>30KG OF R407C</t>
  </si>
  <si>
    <t>Unit 1</t>
  </si>
  <si>
    <t>Old Plantroom</t>
  </si>
  <si>
    <t>ESHMTX</t>
  </si>
  <si>
    <t>20KG OF R407C</t>
  </si>
  <si>
    <t>Vigilent controlled units</t>
  </si>
  <si>
    <t>Unit 2</t>
  </si>
  <si>
    <t>Unit 3</t>
  </si>
  <si>
    <t>Unit 4</t>
  </si>
  <si>
    <t>New Plant Room</t>
  </si>
  <si>
    <t>Unit 5</t>
  </si>
  <si>
    <t>Security office AC</t>
  </si>
  <si>
    <t>Security Office</t>
  </si>
  <si>
    <t>1.9KG OF R410A</t>
  </si>
  <si>
    <t>Used as and when required</t>
  </si>
  <si>
    <t>Unit 6</t>
  </si>
  <si>
    <t>Unit 7</t>
  </si>
  <si>
    <t>VF 504021</t>
  </si>
  <si>
    <t>GCRMTX</t>
  </si>
  <si>
    <t>R407c  12.5 KG</t>
  </si>
  <si>
    <t>VF 504022</t>
  </si>
  <si>
    <t>Liebert Unit No 5</t>
  </si>
  <si>
    <t>R407c 12.5 KG</t>
  </si>
  <si>
    <t>VF 504023</t>
  </si>
  <si>
    <t>Liebert Unit No 6</t>
  </si>
  <si>
    <t>R407c  12.5KG</t>
  </si>
  <si>
    <t>VF-119068</t>
  </si>
  <si>
    <t>Control Room multi split</t>
  </si>
  <si>
    <t>CONTROL ROOM</t>
  </si>
  <si>
    <t>VF504018</t>
  </si>
  <si>
    <t>VF504019</t>
  </si>
  <si>
    <t>R407c 12.KG</t>
  </si>
  <si>
    <t>VF504020</t>
  </si>
  <si>
    <t>SC</t>
  </si>
  <si>
    <t>VF - 120406</t>
  </si>
  <si>
    <t>Air Handling Unit No.1</t>
  </si>
  <si>
    <t>GLWMTX</t>
  </si>
  <si>
    <t>R407C 20.5Kg</t>
  </si>
  <si>
    <t>VF - 120407</t>
  </si>
  <si>
    <t>Air Handling Unit No.2</t>
  </si>
  <si>
    <t>R407C 24.0Kg</t>
  </si>
  <si>
    <t>VF - 120408</t>
  </si>
  <si>
    <t>Air Handling Unit No.3</t>
  </si>
  <si>
    <t>LNEA</t>
  </si>
  <si>
    <t>Security Office Split A/C Unit</t>
  </si>
  <si>
    <t>KCSMTX</t>
  </si>
  <si>
    <t>R410A 1.00kg</t>
  </si>
  <si>
    <t>VF510763</t>
  </si>
  <si>
    <t>Air Handling Unit F1</t>
  </si>
  <si>
    <t>MTX 2</t>
  </si>
  <si>
    <t>R410A 48.1kg</t>
  </si>
  <si>
    <t>VF510766</t>
  </si>
  <si>
    <t>Air Handling Unit F2</t>
  </si>
  <si>
    <t>R410A 49.6kg</t>
  </si>
  <si>
    <t>VF510769</t>
  </si>
  <si>
    <t>Air Handling Unit F3</t>
  </si>
  <si>
    <t>R410A 51.6kg</t>
  </si>
  <si>
    <t>VF510772</t>
  </si>
  <si>
    <t>Air Handling Unit F4</t>
  </si>
  <si>
    <t>R410A 51.5kg</t>
  </si>
  <si>
    <t>VF510775</t>
  </si>
  <si>
    <t>Air Handling Unit S1</t>
  </si>
  <si>
    <t>MTX 3</t>
  </si>
  <si>
    <t>R410A 48.3kg</t>
  </si>
  <si>
    <t>VF510778</t>
  </si>
  <si>
    <t>Air Handling Unit S2</t>
  </si>
  <si>
    <t>R410A 48.6kg</t>
  </si>
  <si>
    <t>VF510781</t>
  </si>
  <si>
    <t>Air Handling Unit S3</t>
  </si>
  <si>
    <t>R410A 45.2kg</t>
  </si>
  <si>
    <t>VF510784</t>
  </si>
  <si>
    <t>Air Handling Unit S4</t>
  </si>
  <si>
    <t>R410A 54.5kg</t>
  </si>
  <si>
    <t>VF510787</t>
  </si>
  <si>
    <t>Air Handling Unit T1</t>
  </si>
  <si>
    <t>MTX 4</t>
  </si>
  <si>
    <t>R410A 43.5kg</t>
  </si>
  <si>
    <t>VF510790</t>
  </si>
  <si>
    <t>Air Handling Unit T2</t>
  </si>
  <si>
    <t>R410A 42.7kg</t>
  </si>
  <si>
    <t>VF510793</t>
  </si>
  <si>
    <t>Air Handling Unit T3</t>
  </si>
  <si>
    <t>R410A 45kg</t>
  </si>
  <si>
    <t>VF510796</t>
  </si>
  <si>
    <t>Air Handling Unit T4</t>
  </si>
  <si>
    <t>R410A 48.5kg</t>
  </si>
  <si>
    <t>AHU -  VAX ROOM</t>
  </si>
  <si>
    <t>LCTMTX</t>
  </si>
  <si>
    <t>R410A - 1.7Kg</t>
  </si>
  <si>
    <t>CONDENSER - VAX ROOM</t>
  </si>
  <si>
    <t xml:space="preserve">EXTERNAL </t>
  </si>
  <si>
    <t>CON</t>
  </si>
  <si>
    <t>SEE ASSET 015468</t>
  </si>
  <si>
    <t>PLANT ROOM</t>
  </si>
  <si>
    <t>R407C - 25Kg  2x12.5</t>
  </si>
  <si>
    <t>R407C - 25Kg 2x12.5</t>
  </si>
  <si>
    <t>CONDENSER - AHU 1</t>
  </si>
  <si>
    <t>SEE ASSET 119207</t>
  </si>
  <si>
    <t>CONDENSER - AHU 2</t>
  </si>
  <si>
    <t>SEE ASSET 119208</t>
  </si>
  <si>
    <t>CONDENSER - AHU 3</t>
  </si>
  <si>
    <t>NE</t>
  </si>
  <si>
    <t>VF-122322</t>
  </si>
  <si>
    <t>ACU 1 (2 x 3.6kg R407c)</t>
  </si>
  <si>
    <t>EXTERNAL</t>
  </si>
  <si>
    <t>LDSMTX</t>
  </si>
  <si>
    <t>R407C/2 x 3.6kg</t>
  </si>
  <si>
    <t>VF-122323</t>
  </si>
  <si>
    <t>ACU 2 (2 x 3.6kg R407c)</t>
  </si>
  <si>
    <t>VF-122324</t>
  </si>
  <si>
    <t>ACU 3 (2 x 3.6kg R407c)</t>
  </si>
  <si>
    <t>VF-122325</t>
  </si>
  <si>
    <t>ACU 4 (2 x 3.6kg R407c)</t>
  </si>
  <si>
    <t>R407C/ 2 x 3.6</t>
  </si>
  <si>
    <t>DX Air Conditioning System</t>
  </si>
  <si>
    <t>Side Chiller compound</t>
  </si>
  <si>
    <t>LIVMTX</t>
  </si>
  <si>
    <t>R410A 1.0 Kg</t>
  </si>
  <si>
    <t>R410A 1.5 Kg</t>
  </si>
  <si>
    <t>R410A 1.7 Kg</t>
  </si>
  <si>
    <t>R407C 4.4 Kg</t>
  </si>
  <si>
    <t>R407C 3.2 Kg</t>
  </si>
  <si>
    <t>R410A 1.62 Kg</t>
  </si>
  <si>
    <t>R407C 4.0 Kg</t>
  </si>
  <si>
    <t>CW - 050933</t>
  </si>
  <si>
    <t>Main Equipment Room</t>
  </si>
  <si>
    <t>Chilled Water</t>
  </si>
  <si>
    <t>CW - 050936</t>
  </si>
  <si>
    <t>CW - 050937</t>
  </si>
  <si>
    <t>CW - 050938</t>
  </si>
  <si>
    <t>Air Handling Unit No.4</t>
  </si>
  <si>
    <t>CW - 050939</t>
  </si>
  <si>
    <t>Air Handling Unit No.5</t>
  </si>
  <si>
    <t>VF - 111304</t>
  </si>
  <si>
    <t>Air Handling Unit No.6</t>
  </si>
  <si>
    <t>Decommissioned</t>
  </si>
  <si>
    <t>VF-502065</t>
  </si>
  <si>
    <t xml:space="preserve">Switch room </t>
  </si>
  <si>
    <t>LLDMTX</t>
  </si>
  <si>
    <t>R410 10KG</t>
  </si>
  <si>
    <t>VF-502066</t>
  </si>
  <si>
    <t>VF-502067</t>
  </si>
  <si>
    <t>VF-502068</t>
  </si>
  <si>
    <t>VF-502069</t>
  </si>
  <si>
    <t>VF-502070</t>
  </si>
  <si>
    <t>VF-502071</t>
  </si>
  <si>
    <t>VF-502072</t>
  </si>
  <si>
    <t xml:space="preserve">R410 10KG </t>
  </si>
  <si>
    <t>VF-502073</t>
  </si>
  <si>
    <t xml:space="preserve">outside </t>
  </si>
  <si>
    <t>R410</t>
  </si>
  <si>
    <t>VF-502074</t>
  </si>
  <si>
    <t>VF-502075</t>
  </si>
  <si>
    <t>VF-502076</t>
  </si>
  <si>
    <t>Chiller 4</t>
  </si>
  <si>
    <t>VF-502077</t>
  </si>
  <si>
    <t>Chiller 5</t>
  </si>
  <si>
    <t>VF-502078</t>
  </si>
  <si>
    <t>Chiller 6</t>
  </si>
  <si>
    <t>VF-502079</t>
  </si>
  <si>
    <t>Chiller 7</t>
  </si>
  <si>
    <t>Chiller 8</t>
  </si>
  <si>
    <t>MKSMTX</t>
  </si>
  <si>
    <t>R407C - 12.5Kg</t>
  </si>
  <si>
    <t>VF510340</t>
  </si>
  <si>
    <t>CHILLER 9</t>
  </si>
  <si>
    <t>R410A - 12.5Kg</t>
  </si>
  <si>
    <t>VERTIV</t>
  </si>
  <si>
    <t>AHU 1A</t>
  </si>
  <si>
    <t>R407C - 5.8Kg</t>
  </si>
  <si>
    <t>AHU 1B</t>
  </si>
  <si>
    <t>R407C - 3.1Kg</t>
  </si>
  <si>
    <t>VF510339</t>
  </si>
  <si>
    <t>LIEBERT</t>
  </si>
  <si>
    <t>SEE ASSET 015389</t>
  </si>
  <si>
    <t>SEE ASSET 015387</t>
  </si>
  <si>
    <t>Fan Coil Unit No9</t>
  </si>
  <si>
    <t xml:space="preserve">R407C 54Kg </t>
  </si>
  <si>
    <t>VF515051</t>
  </si>
  <si>
    <t>Test Lab unit 2</t>
  </si>
  <si>
    <t xml:space="preserve"> CANAL TEST LAB</t>
  </si>
  <si>
    <t>NBYMTX</t>
  </si>
  <si>
    <t>4KG of R410A</t>
  </si>
  <si>
    <t>VF515053</t>
  </si>
  <si>
    <t>PABX AHU 3</t>
  </si>
  <si>
    <t>CANAL PABX ROOM</t>
  </si>
  <si>
    <t>4.9KG of R410A</t>
  </si>
  <si>
    <t>VF517549</t>
  </si>
  <si>
    <t>EXTRACT AHU INVERTOR TOP</t>
  </si>
  <si>
    <t>CANAL PLANT ROOM</t>
  </si>
  <si>
    <t>FAU</t>
  </si>
  <si>
    <t>inverter/removed</t>
  </si>
  <si>
    <t>VF517550</t>
  </si>
  <si>
    <t>EXTRACT AHU INVERTOR MIDDLE</t>
  </si>
  <si>
    <t>VF517551</t>
  </si>
  <si>
    <t>EXTRACT AHU INVERTOR BOTTOM</t>
  </si>
  <si>
    <t>VF517559</t>
  </si>
  <si>
    <t>SUPPLY INVERTOR</t>
  </si>
  <si>
    <t>VF517560</t>
  </si>
  <si>
    <t>VF517561</t>
  </si>
  <si>
    <t>VF517569</t>
  </si>
  <si>
    <t>AIR CONDITIONING PANEL COP/1</t>
  </si>
  <si>
    <t>DBD</t>
  </si>
  <si>
    <t>630 AMP ISOLATOR</t>
  </si>
  <si>
    <t>distribution board</t>
  </si>
  <si>
    <t>VF517599</t>
  </si>
  <si>
    <t>AHU EXTRACT</t>
  </si>
  <si>
    <t>CANAL LOADING BAY</t>
  </si>
  <si>
    <t>chilled water ahu/switched off</t>
  </si>
  <si>
    <t>VF517605</t>
  </si>
  <si>
    <t>AHU SUPPLY</t>
  </si>
  <si>
    <t>VF517656</t>
  </si>
  <si>
    <t>CANAL COMPUTER ROOM 1</t>
  </si>
  <si>
    <t>R407C/20KG</t>
  </si>
  <si>
    <t>VF517657</t>
  </si>
  <si>
    <t>VF517658</t>
  </si>
  <si>
    <t>R407C 20KG</t>
  </si>
  <si>
    <t>VF517660</t>
  </si>
  <si>
    <t>MTX CONTROL ROOM EXTRACT FAN</t>
  </si>
  <si>
    <t>CANAL MTX CONTROL ROOM</t>
  </si>
  <si>
    <t>6 AMP</t>
  </si>
  <si>
    <t>extract fan</t>
  </si>
  <si>
    <t>VF517663</t>
  </si>
  <si>
    <t>MR SLIM SPILT</t>
  </si>
  <si>
    <t>R407C/5KG</t>
  </si>
  <si>
    <t>VF517664</t>
  </si>
  <si>
    <t>Air Handling Unit</t>
  </si>
  <si>
    <t>VF517665</t>
  </si>
  <si>
    <t>AC UNIT 1 C1/C2</t>
  </si>
  <si>
    <t>CANAL SWITCH ROOM 2</t>
  </si>
  <si>
    <t>R407C 16.7KG/16.7KG</t>
  </si>
  <si>
    <t>VF517668</t>
  </si>
  <si>
    <t>MR SLIM CEILING MOUNTS AC/1</t>
  </si>
  <si>
    <t>R407C/4.9KG</t>
  </si>
  <si>
    <t>VF517670</t>
  </si>
  <si>
    <t>HITACHI</t>
  </si>
  <si>
    <t>CANAL PATCH ROOM</t>
  </si>
  <si>
    <t>R407C/2.8KG</t>
  </si>
  <si>
    <t>VF517674</t>
  </si>
  <si>
    <t>SANYO CEILING MOUNT</t>
  </si>
  <si>
    <t>R407C/4.5KG</t>
  </si>
  <si>
    <t>VF517675</t>
  </si>
  <si>
    <t>VF517683</t>
  </si>
  <si>
    <t>R407C/5.1KG</t>
  </si>
  <si>
    <t>VF517684</t>
  </si>
  <si>
    <t>OFFICE CHILLED WATER UNIT C1/C2</t>
  </si>
  <si>
    <t>CANAL OUTSIDE COMPOUND</t>
  </si>
  <si>
    <t>R407C/40KG X2</t>
  </si>
  <si>
    <t>non-operational</t>
  </si>
  <si>
    <t>VF517806</t>
  </si>
  <si>
    <t>Airedale Blucube AHU 2</t>
  </si>
  <si>
    <t>CANAL MTX RM</t>
  </si>
  <si>
    <t>R410A 16.5/16.8 KG</t>
  </si>
  <si>
    <t>VF517807</t>
  </si>
  <si>
    <t>Airedale Blucube AHU 1</t>
  </si>
  <si>
    <t>R410 17.5/17.5 KG</t>
  </si>
  <si>
    <t>VF-122241</t>
  </si>
  <si>
    <t>PLANT ROOM OUTSIDE COMPOUND</t>
  </si>
  <si>
    <t>NWCMTX</t>
  </si>
  <si>
    <t>R407C/44.5</t>
  </si>
  <si>
    <t>VF-122242</t>
  </si>
  <si>
    <t>R407C/38.6</t>
  </si>
  <si>
    <t>VF-122243</t>
  </si>
  <si>
    <t>R407C</t>
  </si>
  <si>
    <t>VF-122264</t>
  </si>
  <si>
    <t>Air Handling Unit 2</t>
  </si>
  <si>
    <t>SWITCH ROOM 2</t>
  </si>
  <si>
    <t>VF-122265</t>
  </si>
  <si>
    <t>Air Handling Unit 1</t>
  </si>
  <si>
    <t>VF-122266</t>
  </si>
  <si>
    <t>Air Handling Unit 3</t>
  </si>
  <si>
    <t>VF-122299</t>
  </si>
  <si>
    <t>VAX Room AHU</t>
  </si>
  <si>
    <t>VAX ROOM</t>
  </si>
  <si>
    <t>R407C/3.5</t>
  </si>
  <si>
    <t>VF-501523</t>
  </si>
  <si>
    <t>LIEBERT AHU 3</t>
  </si>
  <si>
    <t>SWITCH ROOM 3</t>
  </si>
  <si>
    <t>R410A/21</t>
  </si>
  <si>
    <t>VF-501524</t>
  </si>
  <si>
    <t>LIEBERT AHU 2</t>
  </si>
  <si>
    <t>R410A/18.5</t>
  </si>
  <si>
    <t>VF-501525</t>
  </si>
  <si>
    <t>LIEBERT AHU 1</t>
  </si>
  <si>
    <t>R410A/14.5</t>
  </si>
  <si>
    <t>VF-501533</t>
  </si>
  <si>
    <t>LIEBERT HBR99 Condenser AHU 1</t>
  </si>
  <si>
    <t>REAR COMPOUND</t>
  </si>
  <si>
    <t>VF-501534</t>
  </si>
  <si>
    <t>LIEBERT HBR99 Condenser AHU 2</t>
  </si>
  <si>
    <t>VF-501535</t>
  </si>
  <si>
    <t>LIEBERT HBR099 Condenser AHU 3</t>
  </si>
  <si>
    <t>VF-121204</t>
  </si>
  <si>
    <t>Chiller 10</t>
  </si>
  <si>
    <t>outside</t>
  </si>
  <si>
    <t>OLDMTX</t>
  </si>
  <si>
    <t>VF-121208</t>
  </si>
  <si>
    <t>VF-121209</t>
  </si>
  <si>
    <t>VF-121218</t>
  </si>
  <si>
    <t>Chiller 9</t>
  </si>
  <si>
    <t>VF-121219</t>
  </si>
  <si>
    <t>VF-121220</t>
  </si>
  <si>
    <t>Liebert DX Indoor Unit 7</t>
  </si>
  <si>
    <t>R407C 20.4KG</t>
  </si>
  <si>
    <t>VF-121221</t>
  </si>
  <si>
    <t>VF-121222</t>
  </si>
  <si>
    <t>Liebert DX Indoor Unit 5</t>
  </si>
  <si>
    <t>R407C 18.4KG</t>
  </si>
  <si>
    <t>VF-121223</t>
  </si>
  <si>
    <t>VF-121241</t>
  </si>
  <si>
    <t>VF-112474</t>
  </si>
  <si>
    <t>(OXFMTX) Liebert Unit No 4</t>
  </si>
  <si>
    <t>OXFMTX</t>
  </si>
  <si>
    <t>R407c 28KG</t>
  </si>
  <si>
    <t>IN STANDBY FOR ENERGY SAVING  - READY TO USE IF NEEDED</t>
  </si>
  <si>
    <t>VF-112475</t>
  </si>
  <si>
    <t>(OXFMTX) Liebert Unit No 5</t>
  </si>
  <si>
    <t>VF-112476</t>
  </si>
  <si>
    <t>(OXFMTX) Liebert Unit No 6</t>
  </si>
  <si>
    <t>VF-112502</t>
  </si>
  <si>
    <t>(OXFMTX) Liebert Unit No 13</t>
  </si>
  <si>
    <t>NO GAS-DECOMMISSION</t>
  </si>
  <si>
    <t>NO GAS-DECOMMISSION (IN MTX3 NOT MTX2)</t>
  </si>
  <si>
    <t>VF-112503</t>
  </si>
  <si>
    <t>(OXFMTX) Liebert Unit No 14</t>
  </si>
  <si>
    <t>RS44 8.5KG/8.9KG</t>
  </si>
  <si>
    <t>VF-112521</t>
  </si>
  <si>
    <t>(OXFMTX) MTX Supply Fan</t>
  </si>
  <si>
    <t>Plantroom</t>
  </si>
  <si>
    <t>VF-112526</t>
  </si>
  <si>
    <t>(OXFMTX) Plantroom Supply Fan</t>
  </si>
  <si>
    <t>VF112537</t>
  </si>
  <si>
    <t>(OXFMTX) General Supply Fan</t>
  </si>
  <si>
    <t>VF-112560</t>
  </si>
  <si>
    <t>(OXFMTX) Toilet Extract Fan</t>
  </si>
  <si>
    <t>SWITCHED OFF</t>
  </si>
  <si>
    <t>VF-112561</t>
  </si>
  <si>
    <t>(OXFMTX) Extract Fan</t>
  </si>
  <si>
    <t>VF-112562</t>
  </si>
  <si>
    <t>VF-515011</t>
  </si>
  <si>
    <t>(OXFMTX) Chiller unit No1 indoor unit</t>
  </si>
  <si>
    <t>MTX 1</t>
  </si>
  <si>
    <t>VF-515012</t>
  </si>
  <si>
    <t>(OXFMTX) Chiller unit No2 indoor unit</t>
  </si>
  <si>
    <t>VF-515013</t>
  </si>
  <si>
    <t>(OXFMTX) Chiller unit No3 indoor unit</t>
  </si>
  <si>
    <t>XOD Free cooling unit 1</t>
  </si>
  <si>
    <t>(OXFMTX) Emerson Free cooling  Unit chiller 1</t>
  </si>
  <si>
    <t>XOD Free Cooling Unit 2</t>
  </si>
  <si>
    <t>(OXFMTX) Emerson Free cooling  Unit chiller 2</t>
  </si>
  <si>
    <t>XOD Free Cooling Unit 3</t>
  </si>
  <si>
    <t>(OXFMTX) Emerson Free cooling  Unit chiller 3</t>
  </si>
  <si>
    <t>VF-501501</t>
  </si>
  <si>
    <t>AHU-FC:03</t>
  </si>
  <si>
    <t>MAINS POWER ROOM</t>
  </si>
  <si>
    <t>RHMMTX</t>
  </si>
  <si>
    <t>R410a/CHW</t>
  </si>
  <si>
    <t>VF-501502</t>
  </si>
  <si>
    <t>AHU-FC:02</t>
  </si>
  <si>
    <t>VF-501503</t>
  </si>
  <si>
    <t>AHU-FC:01</t>
  </si>
  <si>
    <t>VF-501504</t>
  </si>
  <si>
    <t>AHU-FC:06</t>
  </si>
  <si>
    <t>VF-501505</t>
  </si>
  <si>
    <t>AHU-FC:05</t>
  </si>
  <si>
    <t>VF-501506</t>
  </si>
  <si>
    <t>AHU-FC:04</t>
  </si>
  <si>
    <t>VF-501508</t>
  </si>
  <si>
    <t>CONDENSOR CH:01</t>
  </si>
  <si>
    <t>R410a/12.5</t>
  </si>
  <si>
    <t>VF-501509</t>
  </si>
  <si>
    <t>CONDENSOR CH:02</t>
  </si>
  <si>
    <t>VF-501510</t>
  </si>
  <si>
    <t>CONDENSOR CH:03</t>
  </si>
  <si>
    <t>VF-501517</t>
  </si>
  <si>
    <t>CONDENSOR CH:04</t>
  </si>
  <si>
    <t>VF-501518</t>
  </si>
  <si>
    <t>CONDENSOR CH:05</t>
  </si>
  <si>
    <t>VF-501519</t>
  </si>
  <si>
    <t>CONDENSOR CH:06</t>
  </si>
  <si>
    <t>VF112312</t>
  </si>
  <si>
    <t>Office area supply fan</t>
  </si>
  <si>
    <t>1st Floor Office area</t>
  </si>
  <si>
    <t>SHTMTX</t>
  </si>
  <si>
    <t>ventilation fan</t>
  </si>
  <si>
    <t>VF-112313</t>
  </si>
  <si>
    <t>Mtx Roof Void</t>
  </si>
  <si>
    <t>VF-515043</t>
  </si>
  <si>
    <t>(SHT MTX) AHU 4</t>
  </si>
  <si>
    <t>GND floor MTX room</t>
  </si>
  <si>
    <t>R410A 30KG</t>
  </si>
  <si>
    <t>VF-515044</t>
  </si>
  <si>
    <t>(SHT MTX) AHU 5</t>
  </si>
  <si>
    <t>VF-515045</t>
  </si>
  <si>
    <t>(SHT MTX) AHU 1</t>
  </si>
  <si>
    <t>R410A 18KG</t>
  </si>
  <si>
    <t>VF-515046</t>
  </si>
  <si>
    <t>(SHT MTX) AHU 2</t>
  </si>
  <si>
    <t>R410A 17KG</t>
  </si>
  <si>
    <t>VF-515047</t>
  </si>
  <si>
    <t>(SHT MTX) AHU 3</t>
  </si>
  <si>
    <t>XSY Free cooling unit 1</t>
  </si>
  <si>
    <t>SNYMTX</t>
  </si>
  <si>
    <t>XSY free cooling unit 2</t>
  </si>
  <si>
    <t>Emerson Free cooling Unit chiller 2</t>
  </si>
  <si>
    <t>XSY free cooling unit 3</t>
  </si>
  <si>
    <t>Emerson Free cooling Unit chiller 3</t>
  </si>
  <si>
    <t>XSY free cooling unit 4</t>
  </si>
  <si>
    <t>Emerson Free cooling Unit chiller 4</t>
  </si>
  <si>
    <t>XSY free cooling unit 5</t>
  </si>
  <si>
    <t>Emerson Free cooling Unit chiller 5</t>
  </si>
  <si>
    <t>XSY free cooling unit 6</t>
  </si>
  <si>
    <t>Emerson Free cooling Unit chiller 6</t>
  </si>
  <si>
    <t>STDMTX</t>
  </si>
  <si>
    <t>R410A - 17.6 +18.2Kg</t>
  </si>
  <si>
    <t>R410A - 14.5 + 13Kg</t>
  </si>
  <si>
    <t>R410A - 10.5Kg</t>
  </si>
  <si>
    <t>R407C - 35Kg</t>
  </si>
  <si>
    <t>R407C - 35kg</t>
  </si>
  <si>
    <t>SITE GENERAL</t>
  </si>
  <si>
    <t>WBYMTX</t>
  </si>
  <si>
    <t>R407C - 4.8kg</t>
  </si>
  <si>
    <t>Site closed</t>
  </si>
  <si>
    <t>VF-WTN 00001</t>
  </si>
  <si>
    <t>A/c no1</t>
  </si>
  <si>
    <t>WTNMTX</t>
  </si>
  <si>
    <t>R410 12.5KG</t>
  </si>
  <si>
    <t>VF-WTN 00002</t>
  </si>
  <si>
    <t>A/c no2</t>
  </si>
  <si>
    <t>VF-WTN 00003</t>
  </si>
  <si>
    <t>A/c no3</t>
  </si>
  <si>
    <t>Element Type</t>
  </si>
  <si>
    <t>DC Load/Instance (kW)</t>
  </si>
  <si>
    <t>Total Network Load (kW)</t>
  </si>
  <si>
    <t>% of Type A Acutal Usage</t>
  </si>
  <si>
    <t>Type A Total DC Design Capability (kW)</t>
  </si>
  <si>
    <t>NGVM Core</t>
  </si>
  <si>
    <t>BBNS</t>
  </si>
  <si>
    <t>Type A Actual DC Usage (kW)</t>
  </si>
  <si>
    <t>RNC's</t>
  </si>
  <si>
    <t>BSC's</t>
  </si>
  <si>
    <t>Type A % of DC used to Support Dual Running Compared to Actual DC Usage</t>
  </si>
  <si>
    <t>SMS</t>
  </si>
  <si>
    <t>Legacy IN</t>
  </si>
  <si>
    <t>Dual Running as % of Design Load</t>
  </si>
  <si>
    <t>CHE</t>
  </si>
  <si>
    <t>VML</t>
  </si>
  <si>
    <t>CPN</t>
  </si>
  <si>
    <t>Total Per Site (kW)</t>
  </si>
  <si>
    <t>Overall Site Load (KW)</t>
  </si>
  <si>
    <t xml:space="preserve"> % of Total Site Load</t>
  </si>
  <si>
    <t>Dual Running (kW)</t>
  </si>
  <si>
    <t>Site Load</t>
  </si>
  <si>
    <t>Site Load (kW)</t>
  </si>
  <si>
    <t>Type A Graph data for 12 month Tech Load</t>
  </si>
  <si>
    <t>Graphing Figs</t>
  </si>
  <si>
    <t>Technology Load (kW) July 16</t>
  </si>
  <si>
    <t>Technology Load (kW) July 17</t>
  </si>
  <si>
    <t>Increase (kW)</t>
  </si>
  <si>
    <t>Decrease (kW)</t>
  </si>
  <si>
    <t xml:space="preserve">Difference (kW) </t>
  </si>
  <si>
    <t>Total x9</t>
  </si>
  <si>
    <t>Total x5</t>
  </si>
  <si>
    <t>Type A Graph data for 12 month AC</t>
  </si>
  <si>
    <t>AC Load (kW) Mar 14</t>
  </si>
  <si>
    <t>AC Load (kW) Mar 15</t>
  </si>
  <si>
    <t>Difference (kW)</t>
  </si>
  <si>
    <t>Total x8</t>
  </si>
  <si>
    <t>Total x6</t>
  </si>
  <si>
    <t>Type B and C Graph data for 12 month DC</t>
  </si>
  <si>
    <t>DC Load for the site (kW) Dec 12</t>
  </si>
  <si>
    <t>DC Load for the site (kW) Dec 13</t>
  </si>
  <si>
    <t>Migrations (kW)</t>
  </si>
  <si>
    <t>XHN</t>
  </si>
  <si>
    <t>Type B and C Graph data for 12 month AC</t>
  </si>
  <si>
    <r>
      <t xml:space="preserve">AC load for the site (kW) </t>
    </r>
    <r>
      <rPr>
        <sz val="8"/>
        <color indexed="10"/>
        <rFont val="Arial"/>
        <family val="2"/>
      </rPr>
      <t>Jun 12</t>
    </r>
  </si>
  <si>
    <r>
      <t xml:space="preserve">AC load for the site (kW) </t>
    </r>
    <r>
      <rPr>
        <sz val="8"/>
        <color indexed="10"/>
        <rFont val="Arial"/>
        <family val="2"/>
      </rPr>
      <t>July 13</t>
    </r>
  </si>
  <si>
    <t>No data for XCF, XOD</t>
  </si>
  <si>
    <t>Rectiifer Utilisation</t>
  </si>
  <si>
    <t>Rectifier Utilisation</t>
  </si>
  <si>
    <t>RectCap(A)</t>
  </si>
  <si>
    <t>RecOutput (A)</t>
  </si>
  <si>
    <t>ReqRect</t>
  </si>
  <si>
    <t>ActCap (A)</t>
  </si>
  <si>
    <t>SwitchOn</t>
  </si>
  <si>
    <t>SwitchOff</t>
  </si>
  <si>
    <t>MinRedundancy (%)</t>
  </si>
  <si>
    <t>MaxRedundancy (%)</t>
  </si>
  <si>
    <t>Load (A)</t>
  </si>
  <si>
    <t>Physical Rectifier Count</t>
  </si>
  <si>
    <t>Load per Rectifier (A)</t>
  </si>
  <si>
    <t>Power Output Per Rectifier (W)</t>
  </si>
  <si>
    <t>NetSure Rectifier Effiency (%)</t>
  </si>
  <si>
    <t>Total Load on Building (kW)</t>
  </si>
  <si>
    <t>NetSure (with ECO) Theoretical Best (kW)</t>
  </si>
  <si>
    <t>NetSure Delta (kW) - With ECO</t>
  </si>
  <si>
    <t>NetSure (With ECO) Financial Saving</t>
  </si>
  <si>
    <t>eSure Rectifier Efficency (%) -No ECO</t>
  </si>
  <si>
    <t>eSure Load on building (kW) - No Eco</t>
  </si>
  <si>
    <t>NetSure to eSure Delta (kW) - No ECO</t>
  </si>
  <si>
    <t>eSure (no ECO) Financial Saving</t>
  </si>
  <si>
    <t>eSure Theoretical Best (kW)</t>
  </si>
  <si>
    <t>NetSure to eSure Delta (kW) - With ECO</t>
  </si>
  <si>
    <t>eSure (with ECO) Financial Saving</t>
  </si>
  <si>
    <t>Vout（V)</t>
  </si>
  <si>
    <t>Iout(A)</t>
  </si>
  <si>
    <t>Pin(W)</t>
  </si>
  <si>
    <t>Pout(W)</t>
  </si>
  <si>
    <t>Efficiency(%)</t>
  </si>
  <si>
    <t>Electrical unit Price (pkWh)</t>
  </si>
  <si>
    <t>Type A (NetSure with ECO)</t>
  </si>
  <si>
    <t>Theoretical best (kW)</t>
  </si>
  <si>
    <t>Delta (kW)</t>
  </si>
  <si>
    <t>Financial Saving</t>
  </si>
  <si>
    <t>Type A (eSure with ECO)</t>
  </si>
  <si>
    <t>Type A (eSure without ECO)</t>
  </si>
  <si>
    <t>kWh Saving</t>
  </si>
  <si>
    <t>Totals</t>
  </si>
  <si>
    <t>Completed under MTX FY13/14</t>
  </si>
  <si>
    <t>Saving with ECO only on eSure</t>
  </si>
  <si>
    <t>eSure (with ECO) Theoretical Best (kW)</t>
  </si>
  <si>
    <t>eSure Delta (kW) - With ECO</t>
  </si>
  <si>
    <t>eSure (With ECO) Financial Saving</t>
  </si>
  <si>
    <t>Pout (W)</t>
  </si>
  <si>
    <t>Effiency (%)</t>
  </si>
  <si>
    <t>Site kW</t>
  </si>
  <si>
    <t>Forecast +Current</t>
  </si>
  <si>
    <t>PEALD</t>
  </si>
  <si>
    <t>PEBLD</t>
  </si>
  <si>
    <t>PECLD</t>
  </si>
  <si>
    <t>PEDLD</t>
  </si>
  <si>
    <t>PEELD</t>
  </si>
  <si>
    <t>PEFLD</t>
  </si>
  <si>
    <t>System Load May (A)</t>
  </si>
  <si>
    <t>System Load May (kW)</t>
  </si>
  <si>
    <t>Load per inverter</t>
  </si>
  <si>
    <t>IC7LD</t>
  </si>
  <si>
    <t>IC8LD</t>
  </si>
  <si>
    <t>IC9LD</t>
  </si>
  <si>
    <t>IC10LD</t>
  </si>
  <si>
    <t>Inverter Load on Plant</t>
  </si>
  <si>
    <t>Revised Plant Load</t>
  </si>
  <si>
    <t>Number of ccts on plant</t>
  </si>
  <si>
    <t>TSI Load</t>
  </si>
  <si>
    <t>Plant Total with TSI</t>
  </si>
  <si>
    <t>Delta</t>
  </si>
  <si>
    <t>Total Load (kW)</t>
  </si>
  <si>
    <t>Load Per Module (A)</t>
  </si>
  <si>
    <t xml:space="preserve">Max load per module </t>
  </si>
  <si>
    <t>PEAGL</t>
  </si>
  <si>
    <t>PEBGL</t>
  </si>
  <si>
    <t>PECGL</t>
  </si>
  <si>
    <t>PEDGL</t>
  </si>
  <si>
    <t>PEEGL</t>
  </si>
  <si>
    <t>PEFGL</t>
  </si>
  <si>
    <t>IC9GL</t>
  </si>
  <si>
    <t>IC10GL</t>
  </si>
  <si>
    <t>IC11GL</t>
  </si>
  <si>
    <t>IC12GL</t>
  </si>
  <si>
    <t>Max load per module</t>
  </si>
  <si>
    <t>IC6MS</t>
  </si>
  <si>
    <t>IC7MS</t>
  </si>
  <si>
    <t>IC8MS</t>
  </si>
  <si>
    <t>IC10BE</t>
  </si>
  <si>
    <t>IC11BE</t>
  </si>
  <si>
    <t>IC12BE</t>
  </si>
  <si>
    <t>IC13BE</t>
  </si>
  <si>
    <t>IC14BE</t>
  </si>
  <si>
    <t>IC31aBe</t>
  </si>
  <si>
    <t>Building Load (kW)</t>
  </si>
  <si>
    <t>Building Load Correction (from BMS)</t>
  </si>
  <si>
    <t>PUE</t>
  </si>
  <si>
    <t>Jan PUE</t>
  </si>
  <si>
    <t>Feb PUE</t>
  </si>
  <si>
    <t>Mar PUE</t>
  </si>
  <si>
    <t>Apr PUE</t>
  </si>
  <si>
    <t>May PUE</t>
  </si>
  <si>
    <t>June PUE</t>
  </si>
  <si>
    <t>July PUE</t>
  </si>
  <si>
    <t>Aug PUE</t>
  </si>
  <si>
    <t>Sep PUE</t>
  </si>
  <si>
    <t>Was no correction</t>
  </si>
  <si>
    <t>Correction was 5</t>
  </si>
  <si>
    <t>1.40</t>
  </si>
  <si>
    <t>1.50</t>
  </si>
  <si>
    <t>Correction was 40</t>
  </si>
  <si>
    <t>Same</t>
  </si>
  <si>
    <t>1.80</t>
  </si>
  <si>
    <t>Updated correction figs as of 24/07/13</t>
  </si>
  <si>
    <t>Air flow mgmt completed</t>
  </si>
  <si>
    <t>Free air cooling completed</t>
  </si>
  <si>
    <t>GRAPHING FIGS</t>
  </si>
  <si>
    <t>July 16 PUE</t>
  </si>
  <si>
    <t>July 17 PUE</t>
  </si>
  <si>
    <t>For latest PUE figs, from Sept 2017, see \team\Team Presentations\PUE Presentations 2017</t>
  </si>
  <si>
    <t>Building load</t>
  </si>
  <si>
    <t>A</t>
  </si>
  <si>
    <t>Side A</t>
  </si>
  <si>
    <t>Jun PUE</t>
  </si>
  <si>
    <t>Jul PUE</t>
  </si>
  <si>
    <t>Oct PUE</t>
  </si>
  <si>
    <t>Nov PUE</t>
  </si>
  <si>
    <t>Dec PUE</t>
  </si>
  <si>
    <t>Side B</t>
  </si>
  <si>
    <t>March PUE</t>
  </si>
  <si>
    <t>April PUE</t>
  </si>
  <si>
    <t>Building Load Correction (do not modify)</t>
  </si>
  <si>
    <t>NIR Date</t>
  </si>
  <si>
    <t>Plant(s)/Site(s)</t>
  </si>
  <si>
    <t>Request ref (VFPTSP no)</t>
  </si>
  <si>
    <t>XLD &amp; XMS</t>
  </si>
  <si>
    <t>Request for 5A AC rejected at XLD and XMS due to a no of DC plants being at &gt;90%, XBE approved as decomms planned for PEFBE</t>
  </si>
  <si>
    <t>XGL &amp; XOM</t>
  </si>
  <si>
    <t xml:space="preserve">Request for M-PE expansion, plants not yet at &lt;90%. Rejected due to prospective power requirement from NFV for next FY. Project to be asked for alternative site options  </t>
  </si>
  <si>
    <t>XMS and XEH</t>
  </si>
  <si>
    <t>XEH rejected due to power plants at capacity, XMS on hold pending investigation into why increase of approx 40A on PEDMS (may be due to possible PECMS controller failure) and possible power downs on PEDMS</t>
  </si>
  <si>
    <t>Request for x2 ISNG probes for 5G probing into empty Geoprobe cab 4 approved (10A per plant) as unlikely the RMS allocations of 206-230A on A,B and C are going to reach that</t>
  </si>
  <si>
    <t>22027 &amp; 22010</t>
  </si>
  <si>
    <t>Request for VoiP Future probes and Secure Net blades approved as 7A allocation doesn't alter the 92% load (inc forecast and res'd figs, running load 83%) for PEDMS. NFV res'd load for PEDMS to be checked and DGWMS4 (on D and F) to be powered off in new year</t>
  </si>
  <si>
    <t>Request for NFV C7000 enclosures to be powered on approved on PEIBE (running load 78%, forecast &amp; res'd takes it to 90%) as DSR to be powered off in new year (on E &amp; I)</t>
  </si>
  <si>
    <t>Request for x11 RMS servers and switches, Allaister reported that Andy had approval from Lee which takes plants PECGR + PEDGR to 93%, site to 91% utilised</t>
  </si>
  <si>
    <t>XBE and XMS</t>
  </si>
  <si>
    <t>Request for NFV TSR approved as will be gettting back approx 7kW per plant when Gen 9s powered down, overall approx 10kW per site increase</t>
  </si>
  <si>
    <t>XBEand XMS</t>
  </si>
  <si>
    <t>Request for Fortinet servers approved as will be power returned at each site when TSRs installed and Gen 9s powered down</t>
  </si>
  <si>
    <t>23027 + 23028</t>
  </si>
  <si>
    <t>x4 ISNG probes required, apporved to go into Geoprobe Cab 5, remove 20A reserved NFV load from plants C,E and F, as it is for NFV probing. IPAR cab (AC powered) required for Security, approved due to large reserved load for NFV</t>
  </si>
  <si>
    <t>Inverter system</t>
  </si>
  <si>
    <t>Inverter Numbering</t>
  </si>
  <si>
    <t>Comment</t>
  </si>
  <si>
    <t>Inv1</t>
  </si>
  <si>
    <t>Inv2</t>
  </si>
  <si>
    <t>Inv3</t>
  </si>
  <si>
    <t>Inv4</t>
  </si>
  <si>
    <t>Inv5</t>
  </si>
  <si>
    <t>Inv10</t>
  </si>
  <si>
    <t>Inv11</t>
  </si>
  <si>
    <t>Inv12</t>
  </si>
  <si>
    <t>Inv13</t>
  </si>
  <si>
    <t>Inv14</t>
  </si>
  <si>
    <t>Inv18</t>
  </si>
  <si>
    <t>Inv19</t>
  </si>
  <si>
    <t>Inv20</t>
  </si>
  <si>
    <t>Inv21</t>
  </si>
  <si>
    <t>Inv22</t>
  </si>
  <si>
    <t>Inv23</t>
  </si>
  <si>
    <t>Inv24</t>
  </si>
  <si>
    <t>Inv25</t>
  </si>
  <si>
    <t>Inv26</t>
  </si>
  <si>
    <t>Inv6</t>
  </si>
  <si>
    <t>Inv7</t>
  </si>
  <si>
    <t>Inv8</t>
  </si>
  <si>
    <t>Inv9</t>
  </si>
  <si>
    <t>Inv17</t>
  </si>
  <si>
    <t>DC switched off</t>
  </si>
  <si>
    <t>Inv15</t>
  </si>
  <si>
    <t>Inv16</t>
  </si>
  <si>
    <t>Inv27</t>
  </si>
  <si>
    <t>Inv28</t>
  </si>
  <si>
    <t>Inv29</t>
  </si>
  <si>
    <t>Inv30</t>
  </si>
  <si>
    <t>Inverter off</t>
  </si>
  <si>
    <t>DC Connected by not used</t>
  </si>
  <si>
    <t>Distributed DC feed</t>
  </si>
  <si>
    <t>Current details</t>
  </si>
  <si>
    <t>Room capablility (kW)</t>
  </si>
  <si>
    <t xml:space="preserve">XGL001 </t>
  </si>
  <si>
    <t>AC iPDUs - limited to 150kW per grouped pair. Max total limited to UPS output of 600kW</t>
  </si>
  <si>
    <t>PDU %age RAG</t>
  </si>
  <si>
    <t>PDU 1C</t>
  </si>
  <si>
    <t>PDU 1D</t>
  </si>
  <si>
    <t>PDU 2C</t>
  </si>
  <si>
    <t>PDU 2D</t>
  </si>
  <si>
    <t>PDU 3C</t>
  </si>
  <si>
    <t xml:space="preserve">PDU3D </t>
  </si>
  <si>
    <t xml:space="preserve">PDU 4C </t>
  </si>
  <si>
    <t xml:space="preserve">PDU 4D </t>
  </si>
  <si>
    <t xml:space="preserve">PDU 6C </t>
  </si>
  <si>
    <t xml:space="preserve">PDU 6D </t>
  </si>
  <si>
    <t xml:space="preserve">PDU 8C </t>
  </si>
  <si>
    <t>PDU 8D</t>
  </si>
  <si>
    <t>%age</t>
  </si>
  <si>
    <t>Bottom Figure</t>
  </si>
  <si>
    <t>Top Figure</t>
  </si>
  <si>
    <t xml:space="preserve">Amps Allocated </t>
  </si>
  <si>
    <t xml:space="preserve">kW Allocated </t>
  </si>
  <si>
    <t xml:space="preserve">PER Phase Allocated </t>
  </si>
  <si>
    <t>L1</t>
  </si>
  <si>
    <t>L2</t>
  </si>
  <si>
    <t>L3</t>
  </si>
  <si>
    <t xml:space="preserve">Amps Measured </t>
  </si>
  <si>
    <t xml:space="preserve">kW Measured  </t>
  </si>
  <si>
    <t xml:space="preserve">PER Phase Measured </t>
  </si>
  <si>
    <t>The AC supply has been intentionally limited to 220A/3-phase (c150kW) per iPDU
The room is designed to support 8no. 150kW HACs (each with a diverse pair of iPDUs)</t>
  </si>
  <si>
    <t>250kw modules installed</t>
  </si>
  <si>
    <t>N+1 (failover) (kW)</t>
  </si>
  <si>
    <t>Normal running (kW)</t>
  </si>
  <si>
    <t>UPS limit kW @ 90%</t>
  </si>
  <si>
    <t>UPS A</t>
  </si>
  <si>
    <t>UPS B</t>
  </si>
  <si>
    <t xml:space="preserve">Note the site capacity is limited to 600kW
</t>
  </si>
  <si>
    <t xml:space="preserve">Air Conditioning </t>
  </si>
  <si>
    <t xml:space="preserve">The Technology area currently supports cooling capacity of </t>
  </si>
  <si>
    <t>600kW</t>
  </si>
  <si>
    <t xml:space="preserve">BKLN06 </t>
  </si>
  <si>
    <t>AC iPDUs - limited to 150kW per grouped pair. Max total limited to UPS output of 200kW</t>
  </si>
  <si>
    <t>PDU6C</t>
  </si>
  <si>
    <t>PDU6D</t>
  </si>
  <si>
    <t>PDU7C</t>
  </si>
  <si>
    <t>PDU7D</t>
  </si>
  <si>
    <t xml:space="preserve">Totals </t>
  </si>
  <si>
    <t xml:space="preserve">Amps Measured  </t>
  </si>
  <si>
    <t>The AC supply has been intentionally limited to 220A/3-phase (c150kW) per iPDU
The room is designed to support 4no. 250kW CACs (each with a diverse pair of iPDUs)</t>
  </si>
  <si>
    <t xml:space="preserve">Note the site capacity is limited to 200kW
600kW upgrade ongoing </t>
  </si>
  <si>
    <t>200kW</t>
  </si>
  <si>
    <t xml:space="preserve">Note capacity upgrade to 600kW on going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</si>
</sst>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quot;£&quot;#,##0.00;\-&quot;£&quot;#,##0.00"/>
    <numFmt numFmtId="165" formatCode="_-&quot;£&quot;* #,##0.00_-;\-&quot;£&quot;* #,##0.00_-;_-&quot;£&quot;* &quot;-&quot;??_-;_-@_-"/>
    <numFmt numFmtId="166" formatCode="&quot;£&quot;#,##0.00_);\(&quot;£&quot;#,##0.00\)"/>
    <numFmt numFmtId="167" formatCode="0.0"/>
    <numFmt numFmtId="168" formatCode="[$-F800]dddd\,\ mmmm\ dd\,\ yyyy"/>
    <numFmt numFmtId="169" formatCode="0.000"/>
    <numFmt numFmtId="170" formatCode="&quot;£&quot;#,##0.00"/>
    <numFmt numFmtId="171" formatCode="0.00_ "/>
    <numFmt numFmtId="172" formatCode="#,##0.00_ ;\-#,##0.00\ "/>
    <numFmt numFmtId="173" formatCode="#,##0_ ;\-#,##0\ "/>
    <numFmt numFmtId="174" formatCode="_-&quot;£&quot;* #,##0.0000_-;\-&quot;£&quot;* #,##0.0000_-;_-&quot;£&quot;* &quot;-&quot;????_-;_-@_-"/>
    <numFmt numFmtId="175" formatCode="0.00_ ;[Red]\-0.00\ "/>
    <numFmt numFmtId="176" formatCode="0;[Red]0"/>
    <numFmt numFmtId="177" formatCode="0.0\k\W"/>
    <numFmt numFmtId="178" formatCode="0_ ;[Red]\-0\ "/>
    <numFmt numFmtId="179" formatCode="0.0_ ;[Red]\-0.0\ "/>
    <numFmt numFmtId="180" formatCode="dd/mm/yy;@"/>
    <numFmt numFmtId="181" formatCode="0.0%"/>
  </numFmts>
  <fonts count="116">
    <font>
      <sz val="8"/>
      <name val="Arial"/>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8"/>
      <name val="Arial"/>
      <family val="2"/>
    </font>
    <font>
      <sz val="8"/>
      <name val="Arial"/>
      <family val="2"/>
    </font>
    <font>
      <b/>
      <sz val="8"/>
      <name val="Arial"/>
      <family val="2"/>
    </font>
    <font>
      <sz val="8"/>
      <color indexed="8"/>
      <name val="Times New Roman"/>
      <family val="1"/>
    </font>
    <font>
      <sz val="10"/>
      <name val="Arial"/>
      <family val="2"/>
    </font>
    <font>
      <b/>
      <sz val="10"/>
      <name val="Arial"/>
      <family val="2"/>
    </font>
    <font>
      <b/>
      <u/>
      <sz val="10"/>
      <name val="Arial"/>
      <family val="2"/>
    </font>
    <font>
      <u/>
      <sz val="8"/>
      <name val="Arial"/>
      <family val="2"/>
    </font>
    <font>
      <sz val="8"/>
      <color indexed="10"/>
      <name val="Arial"/>
      <family val="2"/>
    </font>
    <font>
      <b/>
      <vertAlign val="superscript"/>
      <sz val="10"/>
      <name val="Arial"/>
      <family val="2"/>
    </font>
    <font>
      <sz val="20"/>
      <name val="Vodafone Lt"/>
      <family val="2"/>
    </font>
    <font>
      <u/>
      <sz val="12"/>
      <name val="Arial"/>
      <family val="2"/>
    </font>
    <font>
      <sz val="8"/>
      <name val="Arial"/>
      <family val="2"/>
    </font>
    <font>
      <sz val="12"/>
      <name val="Arial"/>
      <family val="2"/>
    </font>
    <font>
      <sz val="20"/>
      <name val="Arial"/>
      <family val="2"/>
    </font>
    <font>
      <sz val="8"/>
      <name val="Arial"/>
      <family val="2"/>
    </font>
    <font>
      <sz val="8"/>
      <name val="Arial"/>
      <family val="2"/>
    </font>
    <font>
      <sz val="8"/>
      <name val="Arial"/>
      <family val="2"/>
    </font>
    <font>
      <b/>
      <u/>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b/>
      <sz val="11"/>
      <color theme="1"/>
      <name val="Calibri"/>
      <family val="2"/>
    </font>
    <font>
      <sz val="12"/>
      <color rgb="FFFF0000"/>
      <name val="Arial"/>
      <family val="2"/>
    </font>
    <font>
      <b/>
      <sz val="10"/>
      <color rgb="FFFF0000"/>
      <name val="Arial"/>
      <family val="2"/>
    </font>
    <font>
      <sz val="10"/>
      <color rgb="FFFF0000"/>
      <name val="Arial"/>
      <family val="2"/>
    </font>
    <font>
      <sz val="11"/>
      <color rgb="FFFF0000"/>
      <name val="Calibri"/>
      <family val="2"/>
    </font>
    <font>
      <b/>
      <sz val="8"/>
      <color rgb="FFFF0000"/>
      <name val="Arial"/>
      <family val="2"/>
    </font>
    <font>
      <sz val="8"/>
      <color rgb="FFFF0000"/>
      <name val="Arial"/>
      <family val="2"/>
    </font>
    <font>
      <b/>
      <sz val="8"/>
      <color theme="0" tint="-0.499984740745262"/>
      <name val="Arial"/>
      <family val="2"/>
    </font>
    <font>
      <u/>
      <sz val="8"/>
      <color theme="0" tint="-0.499984740745262"/>
      <name val="Arial"/>
      <family val="2"/>
    </font>
    <font>
      <sz val="8"/>
      <color theme="0" tint="-0.499984740745262"/>
      <name val="Arial"/>
      <family val="2"/>
    </font>
    <font>
      <sz val="20"/>
      <color rgb="FF000000"/>
      <name val="Vodafone Lt"/>
      <family val="2"/>
    </font>
    <font>
      <sz val="20"/>
      <color rgb="FFFF0000"/>
      <name val="Vodafone Lt"/>
      <family val="2"/>
    </font>
    <font>
      <sz val="18"/>
      <color rgb="FF000000"/>
      <name val="Vodafone Lt"/>
      <family val="2"/>
    </font>
    <font>
      <sz val="10"/>
      <name val="Vodafone Rg"/>
      <family val="2"/>
    </font>
    <font>
      <b/>
      <sz val="10"/>
      <name val="Vodafone Rg"/>
      <family val="2"/>
    </font>
    <font>
      <sz val="10"/>
      <color indexed="10"/>
      <name val="Vodafone Rg"/>
      <family val="2"/>
    </font>
    <font>
      <sz val="10"/>
      <color indexed="8"/>
      <name val="Vodafone Rg"/>
      <family val="2"/>
    </font>
    <font>
      <sz val="10"/>
      <color theme="3" tint="0.39997558519241921"/>
      <name val="Vodafone Rg"/>
      <family val="2"/>
    </font>
    <font>
      <sz val="10"/>
      <color rgb="FFFF0000"/>
      <name val="Vodafone Rg"/>
      <family val="2"/>
    </font>
    <font>
      <b/>
      <sz val="10"/>
      <color theme="0" tint="-0.34998626667073579"/>
      <name val="Vodafone Rg"/>
      <family val="2"/>
    </font>
    <font>
      <sz val="10"/>
      <color theme="0" tint="-0.34998626667073579"/>
      <name val="Vodafone Rg"/>
      <family val="2"/>
    </font>
    <font>
      <b/>
      <sz val="10"/>
      <color rgb="FFFF0000"/>
      <name val="Vodafone Rg"/>
      <family val="2"/>
    </font>
    <font>
      <sz val="8"/>
      <name val="Arial"/>
      <family val="2"/>
    </font>
    <font>
      <sz val="8"/>
      <name val="Arial"/>
      <family val="2"/>
    </font>
    <font>
      <vertAlign val="superscript"/>
      <sz val="8"/>
      <name val="Arial"/>
      <family val="2"/>
    </font>
    <font>
      <u/>
      <vertAlign val="superscript"/>
      <sz val="8"/>
      <name val="Arial"/>
      <family val="2"/>
    </font>
    <font>
      <sz val="8"/>
      <name val="Arial"/>
      <family val="2"/>
    </font>
    <font>
      <sz val="8"/>
      <name val="Arial"/>
      <family val="2"/>
    </font>
    <font>
      <sz val="8"/>
      <name val="Arial"/>
      <family val="2"/>
    </font>
    <font>
      <b/>
      <u/>
      <sz val="10"/>
      <name val="Vodafone Rg"/>
      <family val="2"/>
    </font>
    <font>
      <sz val="8"/>
      <name val="Arial"/>
      <family val="2"/>
    </font>
    <font>
      <b/>
      <sz val="11"/>
      <name val="Vodafone Rg"/>
      <family val="2"/>
    </font>
    <font>
      <sz val="11"/>
      <name val="Vodafone Rg"/>
      <family val="2"/>
    </font>
    <font>
      <sz val="11"/>
      <color indexed="8"/>
      <name val="Vodafone Rg"/>
      <family val="2"/>
    </font>
    <font>
      <sz val="12"/>
      <color rgb="FFFF0000"/>
      <name val="Vodafone Rg"/>
      <family val="2"/>
    </font>
    <font>
      <sz val="10"/>
      <color theme="1"/>
      <name val="Vodafone Rg"/>
      <family val="2"/>
    </font>
    <font>
      <sz val="10"/>
      <color rgb="FF558ED5"/>
      <name val="Vodafone Rg"/>
      <family val="2"/>
    </font>
    <font>
      <sz val="10"/>
      <color rgb="FF000000"/>
      <name val="Arial"/>
      <family val="2"/>
    </font>
    <font>
      <sz val="11"/>
      <color rgb="FFFF0000"/>
      <name val="Calibri"/>
      <family val="2"/>
      <scheme val="minor"/>
    </font>
    <font>
      <sz val="8"/>
      <color theme="1"/>
      <name val="Calibri"/>
      <family val="2"/>
      <scheme val="minor"/>
    </font>
    <font>
      <sz val="10"/>
      <color rgb="FF000000"/>
      <name val="Arial"/>
      <family val="2"/>
    </font>
    <font>
      <sz val="10"/>
      <color rgb="FF000000"/>
      <name val="Arial"/>
      <family val="2"/>
    </font>
    <font>
      <sz val="10"/>
      <color rgb="FF000000"/>
      <name val="Arial"/>
      <family val="2"/>
    </font>
    <font>
      <b/>
      <sz val="10"/>
      <color theme="1"/>
      <name val="Arial"/>
      <family val="2"/>
    </font>
    <font>
      <sz val="10"/>
      <color rgb="FF000000"/>
      <name val="Arial"/>
      <family val="2"/>
    </font>
    <font>
      <sz val="10"/>
      <color rgb="FF000000"/>
      <name val="Arial"/>
      <family val="2"/>
    </font>
    <font>
      <sz val="10"/>
      <color rgb="FF0070C0"/>
      <name val="Vodafone Rg"/>
      <family val="2"/>
    </font>
    <font>
      <sz val="10"/>
      <color rgb="FF000000"/>
      <name val="Vodafone Rg"/>
      <family val="2"/>
    </font>
    <font>
      <sz val="10"/>
      <color rgb="FF000000"/>
      <name val="Arial"/>
      <family val="2"/>
    </font>
    <font>
      <sz val="10"/>
      <color rgb="FF000000"/>
      <name val="Arial"/>
      <family val="2"/>
    </font>
    <font>
      <sz val="12"/>
      <name val="Vodafone Rg"/>
      <family val="2"/>
    </font>
    <font>
      <sz val="10"/>
      <color rgb="FFFFFFFF"/>
      <name val="Vodafone Rg"/>
      <family val="2"/>
    </font>
    <font>
      <b/>
      <sz val="12"/>
      <name val="Vodafone Rg"/>
      <family val="2"/>
    </font>
    <font>
      <b/>
      <sz val="20"/>
      <name val="Arial"/>
      <family val="2"/>
    </font>
    <font>
      <sz val="11"/>
      <color theme="0" tint="-0.34998626667073579"/>
      <name val="Calibri"/>
      <family val="2"/>
      <scheme val="minor"/>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5B9BD5"/>
      <name val="Vodafone Rg"/>
      <family val="2"/>
    </font>
    <font>
      <b/>
      <sz val="11"/>
      <color theme="1"/>
      <name val="Vodafone Rg"/>
      <family val="2"/>
    </font>
    <font>
      <sz val="11"/>
      <color theme="1"/>
      <name val="Vodafone Rg"/>
      <family val="2"/>
    </font>
    <font>
      <sz val="11"/>
      <name val="Arial"/>
      <family val="2"/>
    </font>
    <font>
      <sz val="11"/>
      <name val="Arial"/>
      <family val="2"/>
    </font>
    <font>
      <sz val="9"/>
      <color indexed="81"/>
      <name val="Tahoma"/>
      <family val="2"/>
    </font>
    <font>
      <b/>
      <sz val="9"/>
      <color indexed="81"/>
      <name val="Tahoma"/>
      <family val="2"/>
    </font>
    <font>
      <b/>
      <sz val="11"/>
      <color rgb="FFFFFFFF"/>
      <name val="Arial"/>
      <family val="2"/>
    </font>
    <font>
      <sz val="11"/>
      <color rgb="FF000000"/>
      <name val="Vodafone Rg"/>
      <family val="2"/>
    </font>
    <font>
      <sz val="11"/>
      <color rgb="FF000000"/>
      <name val="Calibri"/>
      <family val="2"/>
    </font>
    <font>
      <b/>
      <sz val="11"/>
      <color rgb="FF000000"/>
      <name val="Calibri"/>
      <family val="2"/>
    </font>
    <font>
      <sz val="11.5"/>
      <color rgb="FF000000"/>
      <name val="Calibri"/>
      <family val="2"/>
    </font>
    <font>
      <sz val="11"/>
      <color theme="1"/>
      <name val="Calibri"/>
      <family val="2"/>
      <charset val="1"/>
    </font>
    <font>
      <sz val="10"/>
      <color rgb="FF333333"/>
      <name val="Vodafone Rg"/>
      <family val="2"/>
    </font>
    <font>
      <b/>
      <sz val="11"/>
      <color theme="1"/>
      <name val="Calibri"/>
      <family val="2"/>
      <scheme val="minor"/>
    </font>
    <font>
      <b/>
      <sz val="14"/>
      <color rgb="FFFF0000"/>
      <name val="Calibri"/>
      <family val="2"/>
      <scheme val="minor"/>
    </font>
    <font>
      <b/>
      <sz val="11"/>
      <color rgb="FF000000"/>
      <name val="Calibri"/>
      <family val="2"/>
      <scheme val="minor"/>
    </font>
    <font>
      <b/>
      <sz val="11"/>
      <color rgb="FFFF0000"/>
      <name val="Calibri"/>
      <family val="2"/>
      <scheme val="minor"/>
    </font>
    <font>
      <b/>
      <sz val="11"/>
      <name val="Calibri"/>
      <family val="2"/>
      <scheme val="minor"/>
    </font>
    <font>
      <sz val="8"/>
      <color theme="0"/>
      <name val="Arial"/>
      <family val="2"/>
    </font>
    <font>
      <b/>
      <sz val="8"/>
      <color theme="0"/>
      <name val="Arial"/>
      <family val="2"/>
    </font>
    <font>
      <b/>
      <sz val="10"/>
      <color rgb="FFFFFFFF"/>
      <name val="Arial"/>
      <family val="2"/>
    </font>
    <font>
      <sz val="10"/>
      <color rgb="FFFFFFFF"/>
      <name val="Arial"/>
      <family val="2"/>
    </font>
  </fonts>
  <fills count="67">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22"/>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rgb="FFFFFF00"/>
        <bgColor indexed="64"/>
      </patternFill>
    </fill>
    <fill>
      <patternFill patternType="solid">
        <fgColor rgb="FFCCFFFF"/>
        <bgColor indexed="64"/>
      </patternFill>
    </fill>
    <fill>
      <patternFill patternType="solid">
        <fgColor rgb="FFFFCC99"/>
        <bgColor indexed="64"/>
      </patternFill>
    </fill>
    <fill>
      <patternFill patternType="solid">
        <fgColor rgb="FFFFFF9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bgColor indexed="64"/>
      </patternFill>
    </fill>
    <fill>
      <patternFill patternType="solid">
        <fgColor theme="0"/>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E6E0EC"/>
        <bgColor indexed="64"/>
      </patternFill>
    </fill>
    <fill>
      <patternFill patternType="solid">
        <fgColor theme="0" tint="-0.249977111117893"/>
        <bgColor indexed="64"/>
      </patternFill>
    </fill>
    <fill>
      <patternFill patternType="solid">
        <fgColor theme="1"/>
        <bgColor indexed="64"/>
      </patternFill>
    </fill>
    <fill>
      <patternFill patternType="solid">
        <fgColor rgb="FF92D050"/>
        <bgColor indexed="64"/>
      </patternFill>
    </fill>
    <fill>
      <patternFill patternType="solid">
        <fgColor rgb="FF92D050"/>
        <bgColor rgb="FF000000"/>
      </patternFill>
    </fill>
    <fill>
      <patternFill patternType="solid">
        <fgColor rgb="FFE4DFEC"/>
        <bgColor rgb="FF000000"/>
      </patternFill>
    </fill>
    <fill>
      <patternFill patternType="solid">
        <fgColor rgb="FFE6B8B7"/>
        <bgColor rgb="FF000000"/>
      </patternFill>
    </fill>
    <fill>
      <patternFill patternType="solid">
        <fgColor rgb="FF7030A0"/>
        <bgColor indexed="64"/>
      </patternFill>
    </fill>
    <fill>
      <patternFill patternType="solid">
        <fgColor rgb="FFC4D79B"/>
        <bgColor rgb="FF000000"/>
      </patternFill>
    </fill>
    <fill>
      <patternFill patternType="solid">
        <fgColor rgb="FFB1A0C7"/>
        <bgColor rgb="FF000000"/>
      </patternFill>
    </fill>
    <fill>
      <patternFill patternType="solid">
        <fgColor rgb="FFFFFF99"/>
        <bgColor rgb="FF000000"/>
      </patternFill>
    </fill>
    <fill>
      <patternFill patternType="solid">
        <fgColor rgb="FFFFC000"/>
        <bgColor rgb="FF000000"/>
      </patternFill>
    </fill>
    <fill>
      <patternFill patternType="solid">
        <fgColor rgb="FFFF0000"/>
        <bgColor rgb="FF000000"/>
      </patternFill>
    </fill>
    <fill>
      <patternFill patternType="solid">
        <fgColor rgb="FF000000"/>
        <bgColor rgb="FF000000"/>
      </patternFill>
    </fill>
    <fill>
      <patternFill patternType="solid">
        <fgColor rgb="FFD9D9D9"/>
        <bgColor indexed="64"/>
      </patternFill>
    </fill>
    <fill>
      <patternFill patternType="solid">
        <fgColor rgb="FFBFBFBF"/>
        <bgColor indexed="64"/>
      </patternFill>
    </fill>
    <fill>
      <patternFill patternType="solid">
        <fgColor rgb="FF000000"/>
        <bgColor indexed="64"/>
      </patternFill>
    </fill>
    <fill>
      <patternFill patternType="solid">
        <fgColor rgb="FF00B0F0"/>
        <bgColor rgb="FF000000"/>
      </patternFill>
    </fill>
    <fill>
      <patternFill patternType="solid">
        <fgColor rgb="FFBF8F00"/>
        <bgColor indexed="64"/>
      </patternFill>
    </fill>
    <fill>
      <patternFill patternType="solid">
        <fgColor rgb="FFCC9900"/>
        <bgColor indexed="64"/>
      </patternFill>
    </fill>
    <fill>
      <patternFill patternType="solid">
        <fgColor rgb="FFF8FBFC"/>
        <bgColor rgb="FFFFFFFF"/>
      </patternFill>
    </fill>
    <fill>
      <patternFill patternType="solid">
        <fgColor rgb="FFFFFFFF"/>
        <bgColor rgb="FFFFFFFF"/>
      </patternFill>
    </fill>
    <fill>
      <patternFill patternType="solid">
        <fgColor theme="2"/>
        <bgColor indexed="64"/>
      </patternFill>
    </fill>
    <fill>
      <patternFill patternType="solid">
        <fgColor rgb="FFF8CBAD"/>
        <bgColor indexed="64"/>
      </patternFill>
    </fill>
    <fill>
      <patternFill patternType="solid">
        <fgColor rgb="FFC6E0B4"/>
        <bgColor indexed="64"/>
      </patternFill>
    </fill>
    <fill>
      <patternFill patternType="solid">
        <fgColor theme="0" tint="-0.14999847407452621"/>
        <bgColor indexed="64"/>
      </patternFill>
    </fill>
    <fill>
      <patternFill patternType="solid">
        <fgColor rgb="FFF2DCDB"/>
        <bgColor rgb="FF000000"/>
      </patternFill>
    </fill>
    <fill>
      <patternFill patternType="solid">
        <fgColor rgb="FF4472C4"/>
        <bgColor rgb="FF4472C4"/>
      </patternFill>
    </fill>
    <fill>
      <patternFill patternType="solid">
        <fgColor rgb="FFD9E1F2"/>
        <bgColor rgb="FFD9E1F2"/>
      </patternFill>
    </fill>
    <fill>
      <patternFill patternType="solid">
        <fgColor rgb="FFFFFF00"/>
        <bgColor rgb="FF000000"/>
      </patternFill>
    </fill>
  </fills>
  <borders count="1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indexed="64"/>
      </left>
      <right/>
      <top/>
      <bottom style="medium">
        <color indexed="64"/>
      </bottom>
      <diagonal/>
    </border>
    <border>
      <left style="thin">
        <color indexed="64"/>
      </left>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medium">
        <color rgb="FF000000"/>
      </bottom>
      <diagonal/>
    </border>
    <border>
      <left style="thin">
        <color indexed="64"/>
      </left>
      <right style="thin">
        <color indexed="64"/>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indexed="64"/>
      </top>
      <bottom style="medium">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bottom style="thin">
        <color indexed="64"/>
      </bottom>
      <diagonal/>
    </border>
    <border>
      <left style="thin">
        <color indexed="64"/>
      </left>
      <right style="thin">
        <color indexed="64"/>
      </right>
      <top/>
      <bottom style="medium">
        <color rgb="FF000000"/>
      </bottom>
      <diagonal/>
    </border>
    <border>
      <left/>
      <right style="thin">
        <color indexed="64"/>
      </right>
      <top style="medium">
        <color indexed="64"/>
      </top>
      <bottom/>
      <diagonal/>
    </border>
    <border>
      <left/>
      <right style="thin">
        <color indexed="64"/>
      </right>
      <top/>
      <bottom style="medium">
        <color indexed="64"/>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medium">
        <color indexed="64"/>
      </right>
      <top/>
      <bottom style="medium">
        <color rgb="FF000000"/>
      </bottom>
      <diagonal/>
    </border>
    <border>
      <left style="thin">
        <color indexed="64"/>
      </left>
      <right style="medium">
        <color indexed="64"/>
      </right>
      <top/>
      <bottom/>
      <diagonal/>
    </border>
    <border>
      <left style="medium">
        <color rgb="FF000000"/>
      </left>
      <right style="thin">
        <color indexed="64"/>
      </right>
      <top/>
      <bottom style="thin">
        <color indexed="64"/>
      </bottom>
      <diagonal/>
    </border>
    <border>
      <left style="medium">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medium">
        <color indexed="64"/>
      </left>
      <right style="medium">
        <color indexed="64"/>
      </right>
      <top style="thin">
        <color indexed="64"/>
      </top>
      <bottom style="thin">
        <color rgb="FF000000"/>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rgb="FF000000"/>
      </bottom>
      <diagonal/>
    </border>
    <border>
      <left style="thin">
        <color rgb="FF000000"/>
      </left>
      <right style="thin">
        <color indexed="64"/>
      </right>
      <top/>
      <bottom style="medium">
        <color indexed="64"/>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medium">
        <color indexed="64"/>
      </top>
      <bottom style="medium">
        <color indexed="64"/>
      </bottom>
      <diagonal/>
    </border>
    <border>
      <left style="thin">
        <color indexed="64"/>
      </left>
      <right style="thin">
        <color rgb="FF000000"/>
      </right>
      <top style="thin">
        <color indexed="64"/>
      </top>
      <bottom/>
      <diagonal/>
    </border>
    <border>
      <left/>
      <right style="thin">
        <color indexed="64"/>
      </right>
      <top style="thin">
        <color indexed="64"/>
      </top>
      <bottom style="medium">
        <color indexed="64"/>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thin">
        <color rgb="FF000000"/>
      </right>
      <top style="thin">
        <color indexed="64"/>
      </top>
      <bottom/>
      <diagonal/>
    </border>
  </borders>
  <cellStyleXfs count="142">
    <xf numFmtId="0" fontId="0" fillId="0" borderId="0"/>
    <xf numFmtId="165" fontId="5"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9" fillId="0" borderId="0" applyFont="0" applyFill="0" applyBorder="0" applyAlignment="0" applyProtection="0"/>
    <xf numFmtId="165" fontId="30" fillId="0" borderId="0" applyFont="0" applyFill="0" applyBorder="0" applyAlignment="0" applyProtection="0"/>
    <xf numFmtId="165" fontId="31" fillId="0" borderId="0" applyFont="0" applyFill="0" applyBorder="0" applyAlignment="0" applyProtection="0"/>
    <xf numFmtId="165" fontId="32" fillId="0" borderId="0" applyFont="0" applyFill="0" applyBorder="0" applyAlignment="0" applyProtection="0"/>
    <xf numFmtId="165" fontId="33" fillId="0" borderId="0" applyFont="0" applyFill="0" applyBorder="0" applyAlignment="0" applyProtection="0"/>
    <xf numFmtId="165" fontId="6" fillId="0" borderId="0" applyFont="0" applyFill="0" applyBorder="0" applyAlignment="0" applyProtection="0"/>
    <xf numFmtId="165" fontId="17" fillId="0" borderId="0" applyFont="0" applyFill="0" applyBorder="0" applyAlignment="0" applyProtection="0"/>
    <xf numFmtId="165" fontId="6" fillId="0" borderId="0" applyFont="0" applyFill="0" applyBorder="0" applyAlignment="0" applyProtection="0"/>
    <xf numFmtId="165" fontId="20"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24" fillId="0" borderId="0" applyFont="0" applyFill="0" applyBorder="0" applyAlignment="0" applyProtection="0"/>
    <xf numFmtId="165" fontId="6" fillId="0" borderId="0" applyFont="0" applyFill="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26" fillId="0" borderId="0" applyFont="0" applyFill="0" applyBorder="0" applyAlignment="0" applyProtection="0"/>
    <xf numFmtId="165" fontId="6" fillId="0" borderId="0" applyFont="0" applyFill="0" applyBorder="0" applyAlignment="0" applyProtection="0"/>
    <xf numFmtId="0" fontId="6" fillId="0" borderId="0"/>
    <xf numFmtId="9" fontId="5" fillId="0" borderId="0" applyFont="0" applyFill="0" applyBorder="0" applyAlignment="0" applyProtection="0"/>
    <xf numFmtId="9" fontId="29"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6"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6"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6"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9" fontId="5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 fillId="0" borderId="0" applyFont="0" applyFill="0" applyBorder="0" applyAlignment="0" applyProtection="0"/>
    <xf numFmtId="9" fontId="57"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9" fontId="60"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165" fontId="5" fillId="0" borderId="0" applyFont="0" applyFill="0" applyBorder="0" applyAlignment="0" applyProtection="0"/>
    <xf numFmtId="9" fontId="61"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9" fontId="61" fillId="0" borderId="0" applyFont="0" applyFill="0" applyBorder="0" applyAlignment="0" applyProtection="0"/>
    <xf numFmtId="165" fontId="62" fillId="0" borderId="0" applyFont="0" applyFill="0" applyBorder="0" applyAlignment="0" applyProtection="0"/>
    <xf numFmtId="165"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64" fillId="0" borderId="0" applyFont="0" applyFill="0" applyBorder="0" applyAlignment="0" applyProtection="0"/>
    <xf numFmtId="9" fontId="6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0" fontId="4" fillId="0" borderId="0"/>
    <xf numFmtId="0" fontId="3" fillId="0" borderId="0"/>
    <xf numFmtId="0" fontId="71" fillId="0" borderId="0"/>
    <xf numFmtId="0" fontId="2" fillId="0" borderId="0"/>
    <xf numFmtId="0" fontId="74" fillId="0" borderId="0"/>
    <xf numFmtId="0" fontId="75" fillId="0" borderId="0"/>
    <xf numFmtId="0" fontId="76" fillId="0" borderId="0"/>
    <xf numFmtId="0" fontId="78" fillId="0" borderId="0"/>
    <xf numFmtId="0" fontId="79" fillId="0" borderId="0"/>
    <xf numFmtId="0" fontId="82" fillId="0" borderId="0"/>
    <xf numFmtId="0" fontId="83" fillId="0" borderId="0"/>
    <xf numFmtId="0" fontId="1" fillId="0" borderId="0"/>
    <xf numFmtId="0" fontId="89" fillId="0" borderId="0"/>
    <xf numFmtId="0" fontId="90" fillId="0" borderId="0"/>
    <xf numFmtId="0" fontId="92" fillId="0" borderId="0"/>
  </cellStyleXfs>
  <cellXfs count="1461">
    <xf numFmtId="0" fontId="0" fillId="0" borderId="0" xfId="0"/>
    <xf numFmtId="0" fontId="6" fillId="0" borderId="0" xfId="0" applyFont="1"/>
    <xf numFmtId="0" fontId="10" fillId="0" borderId="0" xfId="0" applyFont="1"/>
    <xf numFmtId="0" fontId="10"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169" fontId="0" fillId="0" borderId="0" xfId="0" applyNumberFormat="1"/>
    <xf numFmtId="0" fontId="11" fillId="0" borderId="0" xfId="0" applyFont="1"/>
    <xf numFmtId="0" fontId="12" fillId="0" borderId="0" xfId="0" applyFont="1" applyAlignment="1">
      <alignment horizontal="center"/>
    </xf>
    <xf numFmtId="1" fontId="0" fillId="0" borderId="0" xfId="0" applyNumberFormat="1" applyAlignment="1">
      <alignment horizontal="center"/>
    </xf>
    <xf numFmtId="17" fontId="0" fillId="0" borderId="0" xfId="0" applyNumberFormat="1"/>
    <xf numFmtId="167" fontId="0" fillId="0" borderId="0" xfId="0" applyNumberFormat="1"/>
    <xf numFmtId="1" fontId="13" fillId="0" borderId="0" xfId="0" applyNumberFormat="1" applyFont="1"/>
    <xf numFmtId="0" fontId="7" fillId="0" borderId="0" xfId="0" applyFont="1"/>
    <xf numFmtId="0" fontId="35" fillId="0" borderId="0" xfId="0" applyFont="1" applyAlignment="1">
      <alignment horizontal="left" vertical="center" readingOrder="1"/>
    </xf>
    <xf numFmtId="0" fontId="0" fillId="0" borderId="0" xfId="0" applyAlignment="1">
      <alignment vertical="top"/>
    </xf>
    <xf numFmtId="2" fontId="0" fillId="0" borderId="0" xfId="0" applyNumberFormat="1" applyAlignment="1">
      <alignment horizontal="center"/>
    </xf>
    <xf numFmtId="0" fontId="0" fillId="0" borderId="0" xfId="0" quotePrefix="1" applyAlignment="1">
      <alignment horizontal="center"/>
    </xf>
    <xf numFmtId="1" fontId="0" fillId="0" borderId="0" xfId="0" quotePrefix="1" applyNumberFormat="1" applyAlignment="1">
      <alignment horizontal="center"/>
    </xf>
    <xf numFmtId="0" fontId="0" fillId="0" borderId="0" xfId="0" quotePrefix="1" applyAlignment="1">
      <alignment horizontal="left"/>
    </xf>
    <xf numFmtId="2" fontId="9" fillId="0" borderId="0" xfId="0" applyNumberFormat="1" applyFont="1" applyAlignment="1">
      <alignment horizontal="center"/>
    </xf>
    <xf numFmtId="0" fontId="10" fillId="0" borderId="0" xfId="0" applyFont="1" applyAlignment="1">
      <alignment horizontal="left"/>
    </xf>
    <xf numFmtId="0" fontId="0" fillId="0" borderId="0" xfId="0" applyAlignment="1">
      <alignment horizontal="left"/>
    </xf>
    <xf numFmtId="0" fontId="36" fillId="0" borderId="0" xfId="0" applyFont="1"/>
    <xf numFmtId="0" fontId="36" fillId="0" borderId="0" xfId="0" applyFont="1" applyAlignment="1">
      <alignment horizontal="left"/>
    </xf>
    <xf numFmtId="0" fontId="37" fillId="0" borderId="0" xfId="0" applyFont="1" applyAlignment="1">
      <alignment horizontal="center"/>
    </xf>
    <xf numFmtId="0" fontId="36" fillId="0" borderId="0" xfId="0" applyFont="1" applyAlignment="1">
      <alignment horizontal="center"/>
    </xf>
    <xf numFmtId="0" fontId="10" fillId="0" borderId="0" xfId="0" applyFont="1" applyAlignment="1">
      <alignment wrapText="1"/>
    </xf>
    <xf numFmtId="0" fontId="39" fillId="0" borderId="0" xfId="0" applyFont="1"/>
    <xf numFmtId="0" fontId="15" fillId="0" borderId="0" xfId="0" applyFont="1"/>
    <xf numFmtId="0" fontId="0" fillId="0" borderId="10" xfId="0" applyBorder="1" applyAlignment="1">
      <alignment horizontal="center"/>
    </xf>
    <xf numFmtId="0" fontId="0" fillId="0" borderId="19" xfId="0" applyBorder="1" applyAlignment="1">
      <alignment horizontal="center"/>
    </xf>
    <xf numFmtId="0" fontId="34" fillId="0" borderId="3" xfId="0" applyFont="1" applyBorder="1" applyAlignment="1">
      <alignment horizontal="center"/>
    </xf>
    <xf numFmtId="0" fontId="0" fillId="0" borderId="26" xfId="0" applyBorder="1" applyAlignment="1">
      <alignment horizontal="center"/>
    </xf>
    <xf numFmtId="0" fontId="7" fillId="0" borderId="0" xfId="0" applyFont="1" applyAlignment="1">
      <alignment horizontal="center" wrapText="1"/>
    </xf>
    <xf numFmtId="170" fontId="0" fillId="0" borderId="0" xfId="0" applyNumberFormat="1"/>
    <xf numFmtId="0" fontId="7" fillId="0" borderId="2" xfId="0" applyFont="1" applyBorder="1" applyAlignment="1">
      <alignment horizontal="left"/>
    </xf>
    <xf numFmtId="0" fontId="7" fillId="0" borderId="27" xfId="0" applyFont="1" applyBorder="1" applyAlignment="1">
      <alignment horizontal="left"/>
    </xf>
    <xf numFmtId="0" fontId="7" fillId="0" borderId="9" xfId="0" applyFont="1" applyBorder="1" applyAlignment="1">
      <alignment horizontal="left"/>
    </xf>
    <xf numFmtId="170" fontId="0" fillId="0" borderId="0" xfId="1" applyNumberFormat="1" applyFont="1"/>
    <xf numFmtId="164" fontId="0" fillId="0" borderId="0" xfId="1" applyNumberFormat="1" applyFont="1" applyAlignment="1">
      <alignment horizontal="center"/>
    </xf>
    <xf numFmtId="0" fontId="7" fillId="0" borderId="0" xfId="0" applyFont="1" applyAlignment="1">
      <alignment horizontal="right"/>
    </xf>
    <xf numFmtId="167" fontId="0" fillId="0" borderId="0" xfId="0" applyNumberFormat="1" applyAlignment="1">
      <alignment horizontal="center"/>
    </xf>
    <xf numFmtId="2" fontId="0" fillId="0" borderId="0" xfId="0" applyNumberFormat="1"/>
    <xf numFmtId="1" fontId="0" fillId="0" borderId="1" xfId="0" applyNumberFormat="1" applyBorder="1" applyAlignment="1">
      <alignment horizontal="center"/>
    </xf>
    <xf numFmtId="0" fontId="36" fillId="0" borderId="0" xfId="0" applyFont="1" applyAlignment="1">
      <alignment wrapText="1"/>
    </xf>
    <xf numFmtId="0" fontId="16" fillId="0" borderId="0" xfId="0" applyFont="1"/>
    <xf numFmtId="0" fontId="7" fillId="0" borderId="0" xfId="0" applyFont="1" applyAlignment="1">
      <alignment horizontal="left"/>
    </xf>
    <xf numFmtId="164" fontId="0" fillId="0" borderId="0" xfId="0" applyNumberFormat="1"/>
    <xf numFmtId="9" fontId="7" fillId="0" borderId="0" xfId="29" applyFont="1" applyAlignment="1">
      <alignment horizontal="center"/>
    </xf>
    <xf numFmtId="0" fontId="0" fillId="0" borderId="1" xfId="0" applyBorder="1"/>
    <xf numFmtId="0" fontId="7" fillId="0" borderId="1" xfId="0" applyFont="1" applyBorder="1"/>
    <xf numFmtId="0" fontId="40" fillId="0" borderId="0" xfId="0" applyFont="1"/>
    <xf numFmtId="0" fontId="19" fillId="0" borderId="0" xfId="0" applyFont="1" applyAlignment="1">
      <alignment horizontal="left" vertical="center" indent="2"/>
    </xf>
    <xf numFmtId="0" fontId="10" fillId="0" borderId="1" xfId="0" applyFont="1" applyBorder="1"/>
    <xf numFmtId="0" fontId="10" fillId="0" borderId="1" xfId="0" applyFont="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0" fontId="10" fillId="0" borderId="1" xfId="0" applyFont="1" applyBorder="1" applyAlignment="1">
      <alignment horizontal="center" wrapText="1"/>
    </xf>
    <xf numFmtId="0" fontId="41" fillId="0" borderId="0" xfId="0" applyFont="1"/>
    <xf numFmtId="1" fontId="42" fillId="0" borderId="0" xfId="0" applyNumberFormat="1" applyFont="1" applyAlignment="1">
      <alignment horizontal="center"/>
    </xf>
    <xf numFmtId="0" fontId="42" fillId="0" borderId="0" xfId="0" applyFont="1" applyAlignment="1">
      <alignment horizontal="center"/>
    </xf>
    <xf numFmtId="1" fontId="43" fillId="0" borderId="0" xfId="0" applyNumberFormat="1" applyFont="1" applyAlignment="1">
      <alignment horizontal="center"/>
    </xf>
    <xf numFmtId="17" fontId="12" fillId="0" borderId="0" xfId="0" applyNumberFormat="1" applyFont="1"/>
    <xf numFmtId="171" fontId="0" fillId="0" borderId="1" xfId="0" applyNumberFormat="1" applyBorder="1"/>
    <xf numFmtId="0" fontId="0" fillId="20" borderId="0" xfId="0" applyFill="1" applyAlignment="1">
      <alignment horizontal="center"/>
    </xf>
    <xf numFmtId="1" fontId="0" fillId="20" borderId="0" xfId="0" applyNumberFormat="1" applyFill="1" applyAlignment="1">
      <alignment horizontal="center"/>
    </xf>
    <xf numFmtId="2" fontId="0" fillId="20" borderId="0" xfId="0" applyNumberFormat="1" applyFill="1" applyAlignment="1">
      <alignment horizontal="center"/>
    </xf>
    <xf numFmtId="0" fontId="0" fillId="20" borderId="0" xfId="0" applyFill="1"/>
    <xf numFmtId="165" fontId="0" fillId="0" borderId="0" xfId="1" applyFont="1"/>
    <xf numFmtId="165" fontId="7" fillId="0" borderId="0" xfId="0" applyNumberFormat="1" applyFont="1"/>
    <xf numFmtId="0" fontId="10" fillId="0" borderId="0" xfId="0" applyFont="1" applyAlignment="1">
      <alignment horizontal="left" vertical="center"/>
    </xf>
    <xf numFmtId="0" fontId="23" fillId="0" borderId="0" xfId="0" applyFont="1"/>
    <xf numFmtId="2" fontId="7" fillId="0" borderId="0" xfId="0" applyNumberFormat="1" applyFont="1" applyAlignment="1">
      <alignment horizontal="center" wrapText="1"/>
    </xf>
    <xf numFmtId="0" fontId="7" fillId="21" borderId="0" xfId="0" applyFont="1" applyFill="1" applyAlignment="1">
      <alignment horizontal="center" wrapText="1"/>
    </xf>
    <xf numFmtId="0" fontId="0" fillId="21" borderId="0" xfId="0" applyFill="1"/>
    <xf numFmtId="0" fontId="7" fillId="16" borderId="0" xfId="0" applyFont="1" applyFill="1" applyAlignment="1">
      <alignment horizontal="center" wrapText="1"/>
    </xf>
    <xf numFmtId="2" fontId="0" fillId="16" borderId="0" xfId="0" applyNumberFormat="1" applyFill="1" applyAlignment="1">
      <alignment horizontal="center"/>
    </xf>
    <xf numFmtId="0" fontId="0" fillId="16" borderId="0" xfId="0" applyFill="1"/>
    <xf numFmtId="0" fontId="7" fillId="22" borderId="0" xfId="0" applyFont="1" applyFill="1" applyAlignment="1">
      <alignment horizontal="center" wrapText="1"/>
    </xf>
    <xf numFmtId="0" fontId="0" fillId="22" borderId="0" xfId="0" applyFill="1"/>
    <xf numFmtId="165" fontId="7" fillId="22" borderId="0" xfId="0" applyNumberFormat="1" applyFont="1" applyFill="1"/>
    <xf numFmtId="1" fontId="7" fillId="0" borderId="0" xfId="0" applyNumberFormat="1" applyFont="1"/>
    <xf numFmtId="0" fontId="7" fillId="0" borderId="27" xfId="0" applyFont="1" applyBorder="1"/>
    <xf numFmtId="1" fontId="39" fillId="0" borderId="0" xfId="0" applyNumberFormat="1" applyFont="1"/>
    <xf numFmtId="0" fontId="39" fillId="0" borderId="27" xfId="0" applyFont="1" applyBorder="1"/>
    <xf numFmtId="1" fontId="7" fillId="0" borderId="0" xfId="0" applyNumberFormat="1" applyFont="1" applyAlignment="1">
      <alignment horizontal="center" vertical="center"/>
    </xf>
    <xf numFmtId="0" fontId="7" fillId="22" borderId="1" xfId="0" applyFont="1" applyFill="1" applyBorder="1" applyAlignment="1">
      <alignment horizontal="center" wrapText="1"/>
    </xf>
    <xf numFmtId="0" fontId="7" fillId="16" borderId="1" xfId="0" applyFont="1" applyFill="1" applyBorder="1" applyAlignment="1">
      <alignment horizontal="center" wrapText="1"/>
    </xf>
    <xf numFmtId="0" fontId="7" fillId="21" borderId="1" xfId="0" applyFont="1" applyFill="1" applyBorder="1" applyAlignment="1">
      <alignment horizontal="center" wrapText="1"/>
    </xf>
    <xf numFmtId="165" fontId="0" fillId="0" borderId="1" xfId="0" applyNumberFormat="1" applyBorder="1"/>
    <xf numFmtId="0" fontId="7" fillId="23" borderId="1" xfId="0" applyFont="1" applyFill="1" applyBorder="1" applyAlignment="1">
      <alignment horizontal="center" wrapText="1"/>
    </xf>
    <xf numFmtId="173" fontId="0" fillId="0" borderId="1" xfId="0" applyNumberFormat="1" applyBorder="1" applyAlignment="1">
      <alignment horizontal="center"/>
    </xf>
    <xf numFmtId="173" fontId="7" fillId="0" borderId="0" xfId="0" applyNumberFormat="1" applyFont="1" applyAlignment="1">
      <alignment horizontal="center"/>
    </xf>
    <xf numFmtId="17" fontId="0" fillId="15" borderId="0" xfId="0" applyNumberFormat="1" applyFill="1" applyAlignment="1">
      <alignment horizontal="center"/>
    </xf>
    <xf numFmtId="17" fontId="0" fillId="21" borderId="0" xfId="0" applyNumberFormat="1" applyFill="1" applyAlignment="1">
      <alignment horizontal="center"/>
    </xf>
    <xf numFmtId="0" fontId="0" fillId="24" borderId="0" xfId="0" applyFill="1"/>
    <xf numFmtId="2" fontId="0" fillId="24" borderId="0" xfId="0" applyNumberFormat="1" applyFill="1" applyAlignment="1">
      <alignment horizontal="center"/>
    </xf>
    <xf numFmtId="0" fontId="0" fillId="24" borderId="0" xfId="0" applyFill="1" applyAlignment="1">
      <alignment horizontal="center"/>
    </xf>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1" fontId="23" fillId="0" borderId="0" xfId="28" applyNumberFormat="1" applyFont="1" applyAlignment="1">
      <alignment horizontal="center"/>
    </xf>
    <xf numFmtId="0" fontId="23" fillId="0" borderId="0" xfId="28" applyFont="1"/>
    <xf numFmtId="0" fontId="43" fillId="0" borderId="0" xfId="0" applyFont="1"/>
    <xf numFmtId="0" fontId="43" fillId="0" borderId="0" xfId="0" applyFont="1" applyAlignment="1">
      <alignment horizontal="center"/>
    </xf>
    <xf numFmtId="0" fontId="40" fillId="0" borderId="1" xfId="0" applyFont="1" applyBorder="1"/>
    <xf numFmtId="0" fontId="0" fillId="26" borderId="0" xfId="0" applyFill="1"/>
    <xf numFmtId="165" fontId="0" fillId="0" borderId="0" xfId="1" applyFont="1" applyAlignment="1">
      <alignment horizontal="center"/>
    </xf>
    <xf numFmtId="0" fontId="0" fillId="26" borderId="0" xfId="0" applyFill="1" applyAlignment="1">
      <alignment horizontal="center"/>
    </xf>
    <xf numFmtId="172" fontId="0" fillId="0" borderId="1" xfId="0" applyNumberFormat="1" applyBorder="1" applyAlignment="1">
      <alignment horizontal="center"/>
    </xf>
    <xf numFmtId="172" fontId="7" fillId="0" borderId="0" xfId="0" applyNumberFormat="1" applyFont="1" applyAlignment="1">
      <alignment horizontal="center"/>
    </xf>
    <xf numFmtId="174" fontId="0" fillId="0" borderId="0" xfId="1" applyNumberFormat="1" applyFont="1"/>
    <xf numFmtId="0" fontId="7" fillId="27" borderId="1" xfId="0" applyFont="1" applyFill="1" applyBorder="1" applyAlignment="1">
      <alignment horizontal="center" wrapText="1"/>
    </xf>
    <xf numFmtId="9" fontId="0" fillId="0" borderId="0" xfId="29" applyFont="1" applyAlignment="1">
      <alignment horizontal="center"/>
    </xf>
    <xf numFmtId="1" fontId="0" fillId="0" borderId="0" xfId="29" applyNumberFormat="1" applyFont="1" applyAlignment="1">
      <alignment horizontal="center"/>
    </xf>
    <xf numFmtId="1" fontId="40" fillId="0" borderId="1" xfId="28" applyNumberFormat="1" applyFont="1" applyBorder="1"/>
    <xf numFmtId="0" fontId="0" fillId="9" borderId="0" xfId="0" applyFill="1"/>
    <xf numFmtId="0" fontId="0" fillId="9" borderId="0" xfId="0" applyFill="1" applyAlignment="1">
      <alignment horizontal="center"/>
    </xf>
    <xf numFmtId="1" fontId="0" fillId="9" borderId="0" xfId="0" applyNumberFormat="1" applyFill="1" applyAlignment="1">
      <alignment horizontal="center"/>
    </xf>
    <xf numFmtId="0" fontId="19" fillId="0" borderId="0" xfId="0" applyFont="1" applyAlignment="1">
      <alignment horizontal="left" vertical="center" indent="4"/>
    </xf>
    <xf numFmtId="0" fontId="44" fillId="0" borderId="0" xfId="0" applyFont="1"/>
    <xf numFmtId="1" fontId="6" fillId="0" borderId="1" xfId="28" applyNumberFormat="1" applyBorder="1"/>
    <xf numFmtId="0" fontId="0" fillId="29" borderId="0" xfId="0" applyFill="1" applyAlignment="1">
      <alignment horizontal="center" vertical="center" wrapText="1"/>
    </xf>
    <xf numFmtId="1" fontId="0" fillId="29" borderId="0" xfId="0" applyNumberFormat="1" applyFill="1" applyAlignment="1">
      <alignment horizontal="center"/>
    </xf>
    <xf numFmtId="0" fontId="45" fillId="0" borderId="0" xfId="0" applyFont="1"/>
    <xf numFmtId="0" fontId="10" fillId="21" borderId="37" xfId="0" applyFont="1" applyFill="1" applyBorder="1"/>
    <xf numFmtId="0" fontId="0" fillId="21" borderId="13" xfId="0" applyFill="1" applyBorder="1"/>
    <xf numFmtId="0" fontId="0" fillId="21" borderId="41" xfId="0" applyFill="1" applyBorder="1"/>
    <xf numFmtId="0" fontId="10" fillId="17" borderId="37" xfId="0" applyFont="1" applyFill="1" applyBorder="1" applyAlignment="1">
      <alignment horizontal="center" wrapText="1"/>
    </xf>
    <xf numFmtId="0" fontId="9" fillId="17" borderId="13" xfId="0" applyFont="1" applyFill="1" applyBorder="1" applyAlignment="1">
      <alignment horizontal="center"/>
    </xf>
    <xf numFmtId="1" fontId="9" fillId="17" borderId="13" xfId="0" applyNumberFormat="1" applyFont="1" applyFill="1" applyBorder="1" applyAlignment="1">
      <alignment horizontal="center"/>
    </xf>
    <xf numFmtId="1" fontId="9" fillId="17" borderId="41" xfId="0" applyNumberFormat="1" applyFont="1" applyFill="1" applyBorder="1" applyAlignment="1">
      <alignment horizontal="center"/>
    </xf>
    <xf numFmtId="0" fontId="10" fillId="17" borderId="38" xfId="0" applyFont="1" applyFill="1" applyBorder="1" applyAlignment="1">
      <alignment horizontal="center"/>
    </xf>
    <xf numFmtId="0" fontId="10" fillId="17" borderId="0" xfId="0" applyFont="1" applyFill="1" applyAlignment="1">
      <alignment horizontal="center"/>
    </xf>
    <xf numFmtId="1" fontId="10" fillId="17" borderId="0" xfId="0" applyNumberFormat="1" applyFont="1" applyFill="1" applyAlignment="1">
      <alignment horizontal="center"/>
    </xf>
    <xf numFmtId="1" fontId="10" fillId="17" borderId="39" xfId="0" applyNumberFormat="1" applyFont="1" applyFill="1" applyBorder="1" applyAlignment="1">
      <alignment horizontal="center"/>
    </xf>
    <xf numFmtId="1" fontId="9" fillId="17" borderId="39" xfId="0" applyNumberFormat="1" applyFont="1" applyFill="1" applyBorder="1" applyAlignment="1">
      <alignment horizontal="center"/>
    </xf>
    <xf numFmtId="0" fontId="10" fillId="17" borderId="40" xfId="0" applyFont="1" applyFill="1" applyBorder="1" applyAlignment="1">
      <alignment horizontal="center"/>
    </xf>
    <xf numFmtId="1" fontId="9" fillId="17" borderId="14" xfId="0" applyNumberFormat="1" applyFont="1" applyFill="1" applyBorder="1" applyAlignment="1">
      <alignment horizontal="center"/>
    </xf>
    <xf numFmtId="1" fontId="9" fillId="17" borderId="17" xfId="0" applyNumberFormat="1" applyFont="1" applyFill="1" applyBorder="1" applyAlignment="1">
      <alignment horizontal="center"/>
    </xf>
    <xf numFmtId="0" fontId="10" fillId="17" borderId="13" xfId="0" applyFont="1" applyFill="1" applyBorder="1"/>
    <xf numFmtId="0" fontId="10" fillId="17" borderId="13" xfId="0" applyFont="1" applyFill="1" applyBorder="1" applyAlignment="1">
      <alignment horizontal="center"/>
    </xf>
    <xf numFmtId="0" fontId="10" fillId="30" borderId="37" xfId="0" applyFont="1" applyFill="1" applyBorder="1"/>
    <xf numFmtId="0" fontId="10" fillId="30" borderId="13" xfId="0" applyFont="1" applyFill="1" applyBorder="1"/>
    <xf numFmtId="0" fontId="10" fillId="30" borderId="13" xfId="0" applyFont="1" applyFill="1" applyBorder="1" applyAlignment="1">
      <alignment horizontal="center"/>
    </xf>
    <xf numFmtId="0" fontId="10" fillId="30" borderId="41" xfId="0" applyFont="1" applyFill="1" applyBorder="1"/>
    <xf numFmtId="0" fontId="10" fillId="30" borderId="38" xfId="0" applyFont="1" applyFill="1" applyBorder="1" applyAlignment="1">
      <alignment horizontal="center"/>
    </xf>
    <xf numFmtId="1" fontId="9" fillId="30" borderId="0" xfId="0" applyNumberFormat="1" applyFont="1" applyFill="1" applyAlignment="1">
      <alignment horizontal="center"/>
    </xf>
    <xf numFmtId="167" fontId="9" fillId="30" borderId="0" xfId="0" applyNumberFormat="1" applyFont="1" applyFill="1" applyAlignment="1">
      <alignment horizontal="center"/>
    </xf>
    <xf numFmtId="167" fontId="9" fillId="30" borderId="39" xfId="0" applyNumberFormat="1" applyFont="1" applyFill="1" applyBorder="1" applyAlignment="1">
      <alignment horizontal="center"/>
    </xf>
    <xf numFmtId="0" fontId="10" fillId="30" borderId="38" xfId="0" applyFont="1" applyFill="1" applyBorder="1" applyAlignment="1">
      <alignment horizontal="center" wrapText="1"/>
    </xf>
    <xf numFmtId="0" fontId="10" fillId="31" borderId="37" xfId="0" applyFont="1" applyFill="1" applyBorder="1"/>
    <xf numFmtId="0" fontId="0" fillId="31" borderId="13" xfId="0" applyFill="1" applyBorder="1"/>
    <xf numFmtId="0" fontId="0" fillId="31" borderId="41" xfId="0" applyFill="1" applyBorder="1"/>
    <xf numFmtId="0" fontId="10" fillId="31" borderId="38" xfId="0" applyFont="1" applyFill="1" applyBorder="1"/>
    <xf numFmtId="0" fontId="10" fillId="31" borderId="0" xfId="0" applyFont="1" applyFill="1"/>
    <xf numFmtId="0" fontId="10" fillId="31" borderId="0" xfId="0" applyFont="1" applyFill="1" applyAlignment="1">
      <alignment horizontal="center"/>
    </xf>
    <xf numFmtId="0" fontId="10" fillId="31" borderId="39" xfId="0" applyFont="1" applyFill="1" applyBorder="1" applyAlignment="1">
      <alignment horizontal="center"/>
    </xf>
    <xf numFmtId="0" fontId="10" fillId="31" borderId="38" xfId="0" applyFont="1" applyFill="1" applyBorder="1" applyAlignment="1">
      <alignment horizontal="center"/>
    </xf>
    <xf numFmtId="1" fontId="9" fillId="31" borderId="0" xfId="0" applyNumberFormat="1" applyFont="1" applyFill="1" applyAlignment="1">
      <alignment horizontal="center"/>
    </xf>
    <xf numFmtId="1" fontId="9" fillId="31" borderId="39" xfId="0" applyNumberFormat="1" applyFont="1" applyFill="1" applyBorder="1" applyAlignment="1">
      <alignment horizontal="center"/>
    </xf>
    <xf numFmtId="2" fontId="9" fillId="31" borderId="0" xfId="0" applyNumberFormat="1" applyFont="1" applyFill="1" applyAlignment="1">
      <alignment horizontal="center"/>
    </xf>
    <xf numFmtId="0" fontId="10" fillId="17" borderId="37" xfId="0" applyFont="1" applyFill="1" applyBorder="1" applyAlignment="1">
      <alignment horizontal="center"/>
    </xf>
    <xf numFmtId="0" fontId="10" fillId="17" borderId="41" xfId="0" applyFont="1" applyFill="1" applyBorder="1" applyAlignment="1">
      <alignment horizontal="center"/>
    </xf>
    <xf numFmtId="1" fontId="7" fillId="0" borderId="0" xfId="28" applyNumberFormat="1" applyFont="1" applyAlignment="1">
      <alignment horizontal="right"/>
    </xf>
    <xf numFmtId="0" fontId="46" fillId="0" borderId="0" xfId="0" applyFont="1"/>
    <xf numFmtId="0" fontId="7" fillId="0" borderId="1" xfId="0" applyFont="1" applyBorder="1" applyAlignment="1">
      <alignment horizontal="center" wrapText="1"/>
    </xf>
    <xf numFmtId="0" fontId="38" fillId="0" borderId="0" xfId="0" applyFont="1" applyAlignment="1">
      <alignment horizontal="left" vertical="center"/>
    </xf>
    <xf numFmtId="0" fontId="36" fillId="0" borderId="0" xfId="0" applyFont="1" applyAlignment="1">
      <alignment horizontal="left" wrapText="1"/>
    </xf>
    <xf numFmtId="1" fontId="8" fillId="29" borderId="0" xfId="0" applyNumberFormat="1" applyFont="1" applyFill="1" applyAlignment="1">
      <alignment horizontal="center"/>
    </xf>
    <xf numFmtId="0" fontId="11" fillId="31" borderId="37" xfId="0" applyFont="1" applyFill="1" applyBorder="1" applyAlignment="1">
      <alignment horizontal="left"/>
    </xf>
    <xf numFmtId="0" fontId="0" fillId="31" borderId="38" xfId="0" applyFill="1" applyBorder="1"/>
    <xf numFmtId="0" fontId="12" fillId="31" borderId="0" xfId="0" applyFont="1" applyFill="1" applyAlignment="1">
      <alignment horizontal="center"/>
    </xf>
    <xf numFmtId="0" fontId="12" fillId="31" borderId="39" xfId="0" applyFont="1" applyFill="1" applyBorder="1" applyAlignment="1">
      <alignment horizontal="center"/>
    </xf>
    <xf numFmtId="0" fontId="0" fillId="31" borderId="38" xfId="0" applyFill="1" applyBorder="1" applyAlignment="1">
      <alignment horizontal="right"/>
    </xf>
    <xf numFmtId="167" fontId="0" fillId="31" borderId="0" xfId="0" applyNumberFormat="1" applyFill="1" applyAlignment="1">
      <alignment horizontal="center"/>
    </xf>
    <xf numFmtId="0" fontId="0" fillId="31" borderId="0" xfId="0" applyFill="1" applyAlignment="1">
      <alignment horizontal="center"/>
    </xf>
    <xf numFmtId="167" fontId="0" fillId="31" borderId="39" xfId="0" applyNumberFormat="1" applyFill="1" applyBorder="1" applyAlignment="1">
      <alignment horizontal="center"/>
    </xf>
    <xf numFmtId="167" fontId="0" fillId="31" borderId="14" xfId="0" applyNumberFormat="1" applyFill="1" applyBorder="1" applyAlignment="1">
      <alignment horizontal="center"/>
    </xf>
    <xf numFmtId="0" fontId="0" fillId="31" borderId="14" xfId="0" applyFill="1" applyBorder="1" applyAlignment="1">
      <alignment horizontal="center"/>
    </xf>
    <xf numFmtId="167" fontId="0" fillId="31" borderId="17" xfId="0" applyNumberFormat="1" applyFill="1" applyBorder="1" applyAlignment="1">
      <alignment horizontal="center"/>
    </xf>
    <xf numFmtId="0" fontId="11" fillId="32" borderId="37" xfId="0" applyFont="1" applyFill="1" applyBorder="1"/>
    <xf numFmtId="0" fontId="0" fillId="32" borderId="13" xfId="0" applyFill="1" applyBorder="1"/>
    <xf numFmtId="0" fontId="12" fillId="32" borderId="13" xfId="0" applyFont="1" applyFill="1" applyBorder="1" applyAlignment="1">
      <alignment horizontal="center"/>
    </xf>
    <xf numFmtId="0" fontId="0" fillId="32" borderId="41" xfId="0" applyFill="1" applyBorder="1"/>
    <xf numFmtId="0" fontId="0" fillId="32" borderId="38" xfId="0" applyFill="1" applyBorder="1"/>
    <xf numFmtId="0" fontId="12" fillId="32" borderId="0" xfId="0" applyFont="1" applyFill="1" applyAlignment="1">
      <alignment horizontal="center"/>
    </xf>
    <xf numFmtId="0" fontId="12" fillId="32" borderId="39" xfId="0" applyFont="1" applyFill="1" applyBorder="1" applyAlignment="1">
      <alignment horizontal="center"/>
    </xf>
    <xf numFmtId="0" fontId="0" fillId="32" borderId="38" xfId="0" applyFill="1" applyBorder="1" applyAlignment="1">
      <alignment horizontal="center"/>
    </xf>
    <xf numFmtId="167" fontId="0" fillId="32" borderId="0" xfId="0" applyNumberFormat="1" applyFill="1" applyAlignment="1">
      <alignment horizontal="center"/>
    </xf>
    <xf numFmtId="0" fontId="0" fillId="32" borderId="0" xfId="0" applyFill="1" applyAlignment="1">
      <alignment horizontal="center"/>
    </xf>
    <xf numFmtId="167" fontId="0" fillId="32" borderId="39" xfId="0" applyNumberFormat="1" applyFill="1" applyBorder="1" applyAlignment="1">
      <alignment horizontal="center"/>
    </xf>
    <xf numFmtId="0" fontId="0" fillId="32" borderId="40" xfId="0" applyFill="1" applyBorder="1" applyAlignment="1">
      <alignment horizontal="center"/>
    </xf>
    <xf numFmtId="167" fontId="0" fillId="32" borderId="14" xfId="0" applyNumberFormat="1" applyFill="1" applyBorder="1" applyAlignment="1">
      <alignment horizontal="center"/>
    </xf>
    <xf numFmtId="0" fontId="0" fillId="32" borderId="14" xfId="0" applyFill="1" applyBorder="1" applyAlignment="1">
      <alignment horizontal="center"/>
    </xf>
    <xf numFmtId="167" fontId="0" fillId="32" borderId="17" xfId="0" applyNumberFormat="1" applyFill="1" applyBorder="1" applyAlignment="1">
      <alignment horizontal="center"/>
    </xf>
    <xf numFmtId="0" fontId="23" fillId="0" borderId="0" xfId="0" applyFont="1" applyAlignment="1">
      <alignment horizontal="center"/>
    </xf>
    <xf numFmtId="0" fontId="7" fillId="0" borderId="38" xfId="0" applyFont="1" applyBorder="1" applyAlignment="1">
      <alignment horizontal="center" wrapText="1"/>
    </xf>
    <xf numFmtId="0" fontId="7" fillId="0" borderId="39" xfId="0" applyFont="1" applyBorder="1" applyAlignment="1">
      <alignment horizontal="center" wrapText="1"/>
    </xf>
    <xf numFmtId="0" fontId="0" fillId="0" borderId="38" xfId="0" applyBorder="1" applyAlignment="1">
      <alignment horizontal="center"/>
    </xf>
    <xf numFmtId="0" fontId="0" fillId="24" borderId="39" xfId="0" applyFill="1" applyBorder="1"/>
    <xf numFmtId="0" fontId="0" fillId="25" borderId="39" xfId="0" applyFill="1" applyBorder="1"/>
    <xf numFmtId="0" fontId="47" fillId="0" borderId="0" xfId="0" applyFont="1" applyAlignment="1">
      <alignment horizontal="center"/>
    </xf>
    <xf numFmtId="0" fontId="47" fillId="0" borderId="0" xfId="0" applyFont="1"/>
    <xf numFmtId="0" fontId="47" fillId="12" borderId="1" xfId="0" applyFont="1" applyFill="1" applyBorder="1"/>
    <xf numFmtId="0" fontId="47" fillId="12" borderId="1" xfId="0" applyFont="1" applyFill="1" applyBorder="1" applyAlignment="1">
      <alignment horizontal="center" wrapText="1"/>
    </xf>
    <xf numFmtId="0" fontId="47" fillId="10" borderId="1" xfId="0" applyFont="1" applyFill="1" applyBorder="1" applyAlignment="1">
      <alignment horizontal="center" wrapText="1"/>
    </xf>
    <xf numFmtId="1" fontId="47" fillId="11" borderId="1" xfId="0" applyNumberFormat="1" applyFont="1" applyFill="1" applyBorder="1" applyAlignment="1">
      <alignment horizontal="center" wrapText="1"/>
    </xf>
    <xf numFmtId="0" fontId="48" fillId="12" borderId="1" xfId="0" applyFont="1" applyFill="1" applyBorder="1" applyAlignment="1">
      <alignment horizontal="center" wrapText="1"/>
    </xf>
    <xf numFmtId="0" fontId="47" fillId="12" borderId="0" xfId="0" applyFont="1" applyFill="1" applyAlignment="1">
      <alignment horizontal="center" wrapText="1"/>
    </xf>
    <xf numFmtId="0" fontId="47" fillId="18" borderId="21" xfId="0" applyFont="1" applyFill="1" applyBorder="1" applyAlignment="1">
      <alignment horizontal="center" vertical="center" textRotation="90" wrapText="1"/>
    </xf>
    <xf numFmtId="0" fontId="47" fillId="17" borderId="21" xfId="0" applyFont="1" applyFill="1" applyBorder="1" applyAlignment="1">
      <alignment wrapText="1"/>
    </xf>
    <xf numFmtId="0" fontId="47" fillId="18" borderId="46" xfId="0" applyFont="1" applyFill="1" applyBorder="1" applyAlignment="1">
      <alignment horizontal="center" vertical="center" textRotation="90" wrapText="1"/>
    </xf>
    <xf numFmtId="0" fontId="47" fillId="0" borderId="2" xfId="0" applyFont="1" applyBorder="1"/>
    <xf numFmtId="0" fontId="47" fillId="0" borderId="2" xfId="0" applyFont="1" applyBorder="1" applyAlignment="1">
      <alignment horizontal="center" wrapText="1"/>
    </xf>
    <xf numFmtId="1" fontId="47" fillId="0" borderId="2" xfId="0" applyNumberFormat="1" applyFont="1" applyBorder="1" applyAlignment="1">
      <alignment horizontal="center"/>
    </xf>
    <xf numFmtId="0" fontId="47" fillId="0" borderId="2" xfId="0" applyFont="1" applyBorder="1" applyAlignment="1">
      <alignment horizontal="center"/>
    </xf>
    <xf numFmtId="0" fontId="47" fillId="0" borderId="1" xfId="0" applyFont="1" applyBorder="1"/>
    <xf numFmtId="9" fontId="47" fillId="0" borderId="0" xfId="0" applyNumberFormat="1" applyFont="1"/>
    <xf numFmtId="10" fontId="47" fillId="0" borderId="0" xfId="0" applyNumberFormat="1" applyFont="1"/>
    <xf numFmtId="0" fontId="47" fillId="0" borderId="5" xfId="0" applyFont="1" applyBorder="1" applyAlignment="1">
      <alignment horizontal="center"/>
    </xf>
    <xf numFmtId="0" fontId="47" fillId="3" borderId="5" xfId="0" applyFont="1" applyFill="1" applyBorder="1" applyAlignment="1">
      <alignment horizontal="center"/>
    </xf>
    <xf numFmtId="1" fontId="50" fillId="0" borderId="5" xfId="0" applyNumberFormat="1" applyFont="1" applyBorder="1" applyAlignment="1">
      <alignment horizontal="center"/>
    </xf>
    <xf numFmtId="167" fontId="50" fillId="0" borderId="5" xfId="0" applyNumberFormat="1" applyFont="1" applyBorder="1" applyAlignment="1">
      <alignment horizontal="center"/>
    </xf>
    <xf numFmtId="1" fontId="47" fillId="0" borderId="5" xfId="0" applyNumberFormat="1" applyFont="1" applyBorder="1" applyAlignment="1">
      <alignment horizontal="center"/>
    </xf>
    <xf numFmtId="9" fontId="50" fillId="0" borderId="28" xfId="0" applyNumberFormat="1" applyFont="1" applyBorder="1" applyAlignment="1">
      <alignment horizontal="center"/>
    </xf>
    <xf numFmtId="0" fontId="47" fillId="18" borderId="13" xfId="0" applyFont="1" applyFill="1" applyBorder="1" applyAlignment="1">
      <alignment horizontal="center" wrapText="1"/>
    </xf>
    <xf numFmtId="0" fontId="47" fillId="17" borderId="13" xfId="0" applyFont="1" applyFill="1" applyBorder="1" applyAlignment="1">
      <alignment wrapText="1"/>
    </xf>
    <xf numFmtId="0" fontId="47" fillId="18" borderId="41" xfId="0" applyFont="1" applyFill="1" applyBorder="1" applyAlignment="1">
      <alignment horizontal="center" wrapText="1"/>
    </xf>
    <xf numFmtId="2" fontId="47" fillId="0" borderId="0" xfId="0" applyNumberFormat="1" applyFont="1"/>
    <xf numFmtId="0" fontId="47" fillId="0" borderId="16" xfId="0" applyFont="1" applyBorder="1"/>
    <xf numFmtId="0" fontId="47" fillId="0" borderId="1" xfId="0" applyFont="1" applyBorder="1" applyAlignment="1">
      <alignment horizontal="center"/>
    </xf>
    <xf numFmtId="0" fontId="47" fillId="3" borderId="1" xfId="0" applyFont="1" applyFill="1" applyBorder="1" applyAlignment="1">
      <alignment horizontal="center"/>
    </xf>
    <xf numFmtId="1" fontId="50" fillId="0" borderId="1" xfId="0" applyNumberFormat="1" applyFont="1" applyBorder="1" applyAlignment="1">
      <alignment horizontal="center"/>
    </xf>
    <xf numFmtId="167" fontId="50" fillId="0" borderId="1" xfId="0" applyNumberFormat="1" applyFont="1" applyBorder="1" applyAlignment="1">
      <alignment horizontal="center"/>
    </xf>
    <xf numFmtId="1" fontId="47" fillId="0" borderId="1" xfId="0" applyNumberFormat="1" applyFont="1" applyBorder="1" applyAlignment="1">
      <alignment horizontal="center"/>
    </xf>
    <xf numFmtId="9" fontId="50" fillId="0" borderId="29" xfId="0" applyNumberFormat="1" applyFont="1" applyBorder="1" applyAlignment="1">
      <alignment horizontal="center"/>
    </xf>
    <xf numFmtId="0" fontId="47" fillId="18" borderId="0" xfId="0" applyFont="1" applyFill="1" applyAlignment="1">
      <alignment horizontal="center" wrapText="1"/>
    </xf>
    <xf numFmtId="0" fontId="47" fillId="17" borderId="0" xfId="0" applyFont="1" applyFill="1" applyAlignment="1">
      <alignment wrapText="1"/>
    </xf>
    <xf numFmtId="0" fontId="47" fillId="18" borderId="39" xfId="0" applyFont="1" applyFill="1" applyBorder="1" applyAlignment="1">
      <alignment horizontal="center" wrapText="1"/>
    </xf>
    <xf numFmtId="0" fontId="47" fillId="0" borderId="15" xfId="0" applyFont="1" applyBorder="1"/>
    <xf numFmtId="0" fontId="47" fillId="17" borderId="0" xfId="0" applyFont="1" applyFill="1"/>
    <xf numFmtId="0" fontId="47" fillId="3" borderId="2" xfId="0" applyFont="1" applyFill="1" applyBorder="1" applyAlignment="1">
      <alignment horizontal="center"/>
    </xf>
    <xf numFmtId="1" fontId="50" fillId="0" borderId="2" xfId="0" applyNumberFormat="1" applyFont="1" applyBorder="1" applyAlignment="1">
      <alignment horizontal="center"/>
    </xf>
    <xf numFmtId="167" fontId="50" fillId="0" borderId="2" xfId="0" applyNumberFormat="1" applyFont="1" applyBorder="1" applyAlignment="1">
      <alignment horizontal="center"/>
    </xf>
    <xf numFmtId="9" fontId="50" fillId="0" borderId="32" xfId="0" applyNumberFormat="1" applyFont="1" applyBorder="1" applyAlignment="1">
      <alignment horizontal="center"/>
    </xf>
    <xf numFmtId="0" fontId="47" fillId="18" borderId="14" xfId="0" applyFont="1" applyFill="1" applyBorder="1" applyAlignment="1">
      <alignment horizontal="center" wrapText="1"/>
    </xf>
    <xf numFmtId="0" fontId="47" fillId="17" borderId="14" xfId="0" applyFont="1" applyFill="1" applyBorder="1" applyAlignment="1">
      <alignment wrapText="1"/>
    </xf>
    <xf numFmtId="0" fontId="47" fillId="18" borderId="17" xfId="0" applyFont="1" applyFill="1" applyBorder="1" applyAlignment="1">
      <alignment horizontal="center" wrapText="1"/>
    </xf>
    <xf numFmtId="0" fontId="47" fillId="0" borderId="4" xfId="0" applyFont="1" applyBorder="1"/>
    <xf numFmtId="0" fontId="47" fillId="0" borderId="13" xfId="0" applyFont="1" applyBorder="1"/>
    <xf numFmtId="0" fontId="47" fillId="0" borderId="6" xfId="0" applyFont="1" applyBorder="1"/>
    <xf numFmtId="0" fontId="47" fillId="0" borderId="33" xfId="0" applyFont="1" applyBorder="1"/>
    <xf numFmtId="0" fontId="47" fillId="9" borderId="1" xfId="0" applyFont="1" applyFill="1" applyBorder="1" applyAlignment="1">
      <alignment horizontal="center"/>
    </xf>
    <xf numFmtId="0" fontId="47" fillId="0" borderId="7" xfId="0" applyFont="1" applyBorder="1"/>
    <xf numFmtId="0" fontId="47" fillId="3" borderId="8" xfId="0" applyFont="1" applyFill="1" applyBorder="1" applyAlignment="1">
      <alignment horizontal="center"/>
    </xf>
    <xf numFmtId="1" fontId="50" fillId="0" borderId="8" xfId="0" applyNumberFormat="1" applyFont="1" applyBorder="1" applyAlignment="1">
      <alignment horizontal="center"/>
    </xf>
    <xf numFmtId="167" fontId="50" fillId="0" borderId="8" xfId="0" applyNumberFormat="1" applyFont="1" applyBorder="1" applyAlignment="1">
      <alignment horizontal="center"/>
    </xf>
    <xf numFmtId="0" fontId="47" fillId="0" borderId="8" xfId="0" applyFont="1" applyBorder="1" applyAlignment="1">
      <alignment horizontal="center"/>
    </xf>
    <xf numFmtId="1" fontId="47" fillId="0" borderId="8" xfId="0" applyNumberFormat="1" applyFont="1" applyBorder="1" applyAlignment="1">
      <alignment horizontal="center"/>
    </xf>
    <xf numFmtId="9" fontId="50" fillId="0" borderId="30" xfId="0" applyNumberFormat="1" applyFont="1" applyBorder="1" applyAlignment="1">
      <alignment horizontal="center"/>
    </xf>
    <xf numFmtId="0" fontId="47" fillId="0" borderId="14" xfId="0" applyFont="1" applyBorder="1"/>
    <xf numFmtId="0" fontId="47" fillId="0" borderId="12" xfId="0" applyFont="1" applyBorder="1"/>
    <xf numFmtId="0" fontId="47" fillId="5" borderId="0" xfId="0" applyFont="1" applyFill="1"/>
    <xf numFmtId="0" fontId="47" fillId="6" borderId="7" xfId="0" applyFont="1" applyFill="1" applyBorder="1"/>
    <xf numFmtId="9" fontId="47" fillId="0" borderId="30" xfId="0" applyNumberFormat="1" applyFont="1" applyBorder="1" applyAlignment="1">
      <alignment horizontal="center"/>
    </xf>
    <xf numFmtId="0" fontId="47" fillId="9" borderId="2" xfId="0" applyFont="1" applyFill="1" applyBorder="1" applyAlignment="1">
      <alignment horizontal="center"/>
    </xf>
    <xf numFmtId="0" fontId="47" fillId="9" borderId="8" xfId="0" applyFont="1" applyFill="1" applyBorder="1" applyAlignment="1">
      <alignment horizontal="center"/>
    </xf>
    <xf numFmtId="0" fontId="47" fillId="0" borderId="24" xfId="0" applyFont="1" applyBorder="1" applyAlignment="1">
      <alignment horizontal="center"/>
    </xf>
    <xf numFmtId="0" fontId="47" fillId="0" borderId="45" xfId="0" applyFont="1" applyBorder="1" applyAlignment="1">
      <alignment horizontal="center"/>
    </xf>
    <xf numFmtId="0" fontId="47" fillId="0" borderId="47" xfId="0" applyFont="1" applyBorder="1" applyAlignment="1">
      <alignment horizontal="center"/>
    </xf>
    <xf numFmtId="0" fontId="47" fillId="0" borderId="9" xfId="0" applyFont="1" applyBorder="1" applyAlignment="1">
      <alignment horizontal="center"/>
    </xf>
    <xf numFmtId="0" fontId="47" fillId="3" borderId="9" xfId="0" applyFont="1" applyFill="1" applyBorder="1" applyAlignment="1">
      <alignment horizontal="center"/>
    </xf>
    <xf numFmtId="1" fontId="50" fillId="0" borderId="9" xfId="0" applyNumberFormat="1" applyFont="1" applyBorder="1" applyAlignment="1">
      <alignment horizontal="center"/>
    </xf>
    <xf numFmtId="167" fontId="50" fillId="0" borderId="9" xfId="0" applyNumberFormat="1" applyFont="1" applyBorder="1" applyAlignment="1">
      <alignment horizontal="center"/>
    </xf>
    <xf numFmtId="9" fontId="50" fillId="0" borderId="31" xfId="0" applyNumberFormat="1" applyFont="1" applyBorder="1" applyAlignment="1">
      <alignment horizontal="center"/>
    </xf>
    <xf numFmtId="0" fontId="47" fillId="0" borderId="11" xfId="0" applyFont="1" applyBorder="1"/>
    <xf numFmtId="0" fontId="49" fillId="0" borderId="0" xfId="0" applyFont="1"/>
    <xf numFmtId="0" fontId="49" fillId="0" borderId="14" xfId="0" applyFont="1" applyBorder="1"/>
    <xf numFmtId="0" fontId="47" fillId="0" borderId="43" xfId="0" applyFont="1" applyBorder="1"/>
    <xf numFmtId="0" fontId="47" fillId="0" borderId="21" xfId="0" applyFont="1" applyBorder="1"/>
    <xf numFmtId="0" fontId="47" fillId="0" borderId="22" xfId="0" applyFont="1" applyBorder="1"/>
    <xf numFmtId="0" fontId="49" fillId="0" borderId="43" xfId="0" applyFont="1" applyBorder="1"/>
    <xf numFmtId="0" fontId="49" fillId="0" borderId="21" xfId="0" applyFont="1" applyBorder="1"/>
    <xf numFmtId="1" fontId="47" fillId="0" borderId="9" xfId="0" applyNumberFormat="1" applyFont="1" applyBorder="1" applyAlignment="1">
      <alignment horizontal="center"/>
    </xf>
    <xf numFmtId="0" fontId="49" fillId="0" borderId="19" xfId="0" applyFont="1" applyBorder="1"/>
    <xf numFmtId="0" fontId="49" fillId="0" borderId="22" xfId="0" applyFont="1" applyBorder="1"/>
    <xf numFmtId="0" fontId="49" fillId="0" borderId="18" xfId="0" applyFont="1" applyBorder="1"/>
    <xf numFmtId="0" fontId="49" fillId="0" borderId="11" xfId="0" applyFont="1" applyBorder="1"/>
    <xf numFmtId="9" fontId="50" fillId="5" borderId="31" xfId="0" applyNumberFormat="1" applyFont="1" applyFill="1" applyBorder="1" applyAlignment="1">
      <alignment horizontal="center"/>
    </xf>
    <xf numFmtId="0" fontId="49" fillId="0" borderId="23" xfId="0" applyFont="1" applyBorder="1"/>
    <xf numFmtId="1" fontId="47" fillId="0" borderId="0" xfId="0" applyNumberFormat="1" applyFont="1" applyAlignment="1">
      <alignment horizontal="center"/>
    </xf>
    <xf numFmtId="0" fontId="47" fillId="0" borderId="34" xfId="0" applyFont="1" applyBorder="1" applyAlignment="1">
      <alignment horizontal="center" wrapText="1"/>
    </xf>
    <xf numFmtId="0" fontId="47" fillId="0" borderId="10" xfId="0" applyFont="1" applyBorder="1" applyAlignment="1">
      <alignment horizontal="center"/>
    </xf>
    <xf numFmtId="0" fontId="47" fillId="13" borderId="1" xfId="0" applyFont="1" applyFill="1" applyBorder="1" applyAlignment="1">
      <alignment horizontal="center" vertical="center" wrapText="1"/>
    </xf>
    <xf numFmtId="0" fontId="47" fillId="13" borderId="1" xfId="0" applyFont="1" applyFill="1" applyBorder="1" applyAlignment="1">
      <alignment horizontal="center" vertical="center"/>
    </xf>
    <xf numFmtId="0" fontId="47" fillId="13" borderId="1" xfId="0" applyFont="1" applyFill="1" applyBorder="1" applyAlignment="1">
      <alignment vertical="center" wrapText="1"/>
    </xf>
    <xf numFmtId="9" fontId="47" fillId="13" borderId="1" xfId="29" applyFont="1" applyFill="1" applyBorder="1" applyAlignment="1">
      <alignment horizontal="center" vertical="center"/>
    </xf>
    <xf numFmtId="0" fontId="47" fillId="13" borderId="1" xfId="0" applyFont="1" applyFill="1" applyBorder="1" applyAlignment="1">
      <alignment vertical="center"/>
    </xf>
    <xf numFmtId="0" fontId="47" fillId="13" borderId="1" xfId="0" applyFont="1" applyFill="1" applyBorder="1" applyAlignment="1">
      <alignment horizontal="center"/>
    </xf>
    <xf numFmtId="0" fontId="48" fillId="0" borderId="0" xfId="0" applyFont="1"/>
    <xf numFmtId="0" fontId="47" fillId="2" borderId="1" xfId="0" applyFont="1" applyFill="1" applyBorder="1"/>
    <xf numFmtId="0" fontId="47" fillId="2" borderId="1" xfId="0" applyFont="1" applyFill="1" applyBorder="1" applyAlignment="1">
      <alignment horizontal="center" wrapText="1"/>
    </xf>
    <xf numFmtId="0" fontId="47" fillId="4" borderId="1" xfId="0" applyFont="1" applyFill="1" applyBorder="1" applyAlignment="1">
      <alignment horizontal="center" wrapText="1"/>
    </xf>
    <xf numFmtId="0" fontId="48" fillId="2" borderId="1" xfId="0" applyFont="1" applyFill="1" applyBorder="1" applyAlignment="1">
      <alignment horizontal="center" wrapText="1"/>
    </xf>
    <xf numFmtId="168" fontId="48" fillId="0" borderId="0" xfId="0" applyNumberFormat="1" applyFont="1" applyAlignment="1">
      <alignment horizontal="center" wrapText="1"/>
    </xf>
    <xf numFmtId="2" fontId="47" fillId="0" borderId="0" xfId="0" applyNumberFormat="1" applyFont="1" applyAlignment="1">
      <alignment horizontal="center"/>
    </xf>
    <xf numFmtId="0" fontId="47" fillId="2" borderId="1" xfId="0" applyFont="1" applyFill="1" applyBorder="1" applyAlignment="1">
      <alignment horizontal="center"/>
    </xf>
    <xf numFmtId="0" fontId="48" fillId="0" borderId="2" xfId="0" applyFont="1" applyBorder="1"/>
    <xf numFmtId="0" fontId="48" fillId="0" borderId="1" xfId="0" applyFont="1" applyBorder="1"/>
    <xf numFmtId="0" fontId="53" fillId="0" borderId="1" xfId="0" applyFont="1" applyBorder="1" applyAlignment="1">
      <alignment horizontal="center"/>
    </xf>
    <xf numFmtId="2" fontId="48" fillId="0" borderId="1" xfId="0" applyNumberFormat="1" applyFont="1" applyBorder="1" applyAlignment="1">
      <alignment horizontal="center"/>
    </xf>
    <xf numFmtId="1" fontId="47" fillId="0" borderId="46" xfId="0" applyNumberFormat="1" applyFont="1" applyBorder="1" applyAlignment="1">
      <alignment horizontal="center"/>
    </xf>
    <xf numFmtId="2" fontId="54" fillId="0" borderId="1" xfId="0" applyNumberFormat="1" applyFont="1" applyBorder="1" applyAlignment="1">
      <alignment horizontal="center"/>
    </xf>
    <xf numFmtId="2" fontId="47" fillId="0" borderId="1" xfId="0" applyNumberFormat="1" applyFont="1" applyBorder="1" applyAlignment="1">
      <alignment horizontal="center"/>
    </xf>
    <xf numFmtId="2" fontId="47" fillId="0" borderId="45" xfId="0" applyNumberFormat="1" applyFont="1" applyBorder="1" applyAlignment="1">
      <alignment horizontal="center"/>
    </xf>
    <xf numFmtId="0" fontId="55" fillId="0" borderId="49" xfId="0" applyFont="1" applyBorder="1" applyAlignment="1">
      <alignment horizontal="center" wrapText="1"/>
    </xf>
    <xf numFmtId="0" fontId="55" fillId="9" borderId="49" xfId="0" applyFont="1" applyFill="1" applyBorder="1" applyAlignment="1">
      <alignment horizontal="center"/>
    </xf>
    <xf numFmtId="0" fontId="52" fillId="0" borderId="1" xfId="0" applyFont="1" applyBorder="1" applyAlignment="1">
      <alignment horizontal="center"/>
    </xf>
    <xf numFmtId="17" fontId="47" fillId="9" borderId="0" xfId="0" applyNumberFormat="1" applyFont="1" applyFill="1"/>
    <xf numFmtId="0" fontId="47" fillId="9" borderId="0" xfId="0" applyFont="1" applyFill="1"/>
    <xf numFmtId="0" fontId="47" fillId="0" borderId="1" xfId="0" applyFont="1" applyBorder="1" applyAlignment="1">
      <alignment horizontal="right"/>
    </xf>
    <xf numFmtId="0" fontId="48" fillId="0" borderId="1" xfId="0" applyFont="1" applyBorder="1" applyAlignment="1">
      <alignment horizontal="center" wrapText="1"/>
    </xf>
    <xf numFmtId="17" fontId="47" fillId="0" borderId="0" xfId="0" applyNumberFormat="1" applyFont="1" applyAlignment="1">
      <alignment horizontal="center"/>
    </xf>
    <xf numFmtId="0" fontId="5" fillId="0" borderId="1" xfId="0" applyFont="1" applyBorder="1"/>
    <xf numFmtId="1" fontId="5" fillId="0" borderId="0" xfId="0" applyNumberFormat="1" applyFont="1" applyAlignment="1">
      <alignment wrapText="1"/>
    </xf>
    <xf numFmtId="0" fontId="5" fillId="0" borderId="0" xfId="0" applyFont="1" applyAlignment="1">
      <alignment wrapText="1"/>
    </xf>
    <xf numFmtId="1" fontId="7" fillId="0" borderId="1" xfId="0" applyNumberFormat="1" applyFont="1" applyBorder="1"/>
    <xf numFmtId="0" fontId="55" fillId="9" borderId="50" xfId="0" applyFont="1" applyFill="1" applyBorder="1" applyAlignment="1">
      <alignment horizontal="center"/>
    </xf>
    <xf numFmtId="0" fontId="55" fillId="9" borderId="48" xfId="0" applyFont="1" applyFill="1" applyBorder="1" applyAlignment="1">
      <alignment horizontal="center"/>
    </xf>
    <xf numFmtId="0" fontId="5" fillId="0" borderId="1" xfId="0" applyFont="1" applyBorder="1" applyAlignment="1">
      <alignment horizontal="center"/>
    </xf>
    <xf numFmtId="0" fontId="47" fillId="18" borderId="0" xfId="0" applyFont="1" applyFill="1" applyAlignment="1">
      <alignment horizontal="center"/>
    </xf>
    <xf numFmtId="0" fontId="49" fillId="0" borderId="33" xfId="0" applyFont="1" applyBorder="1"/>
    <xf numFmtId="0" fontId="55" fillId="9" borderId="29" xfId="0" applyFont="1" applyFill="1" applyBorder="1" applyAlignment="1">
      <alignment horizontal="center"/>
    </xf>
    <xf numFmtId="0" fontId="48" fillId="9" borderId="29" xfId="0" applyFont="1" applyFill="1" applyBorder="1" applyAlignment="1">
      <alignment horizontal="center"/>
    </xf>
    <xf numFmtId="0" fontId="55" fillId="0" borderId="1" xfId="0" applyFont="1" applyBorder="1" applyAlignment="1">
      <alignment horizontal="center"/>
    </xf>
    <xf numFmtId="0" fontId="48" fillId="9" borderId="1" xfId="0" applyFont="1" applyFill="1" applyBorder="1" applyAlignment="1">
      <alignment horizontal="center"/>
    </xf>
    <xf numFmtId="0" fontId="47" fillId="0" borderId="27" xfId="0" applyFont="1" applyBorder="1" applyAlignment="1">
      <alignment horizontal="center"/>
    </xf>
    <xf numFmtId="2" fontId="47" fillId="0" borderId="2" xfId="0" applyNumberFormat="1" applyFont="1" applyBorder="1" applyAlignment="1">
      <alignment horizontal="center"/>
    </xf>
    <xf numFmtId="0" fontId="51" fillId="17" borderId="14" xfId="0" applyFont="1" applyFill="1" applyBorder="1" applyAlignment="1">
      <alignment wrapText="1"/>
    </xf>
    <xf numFmtId="0" fontId="51" fillId="18" borderId="14" xfId="0" applyFont="1" applyFill="1" applyBorder="1" applyAlignment="1">
      <alignment horizontal="center" wrapText="1"/>
    </xf>
    <xf numFmtId="0" fontId="51" fillId="17" borderId="14" xfId="0" applyFont="1" applyFill="1" applyBorder="1"/>
    <xf numFmtId="0" fontId="47" fillId="18" borderId="0" xfId="0" applyFont="1" applyFill="1" applyAlignment="1">
      <alignment horizontal="center" vertical="center"/>
    </xf>
    <xf numFmtId="2" fontId="47" fillId="0" borderId="27" xfId="0" applyNumberFormat="1" applyFont="1" applyBorder="1" applyAlignment="1">
      <alignment horizontal="center"/>
    </xf>
    <xf numFmtId="2" fontId="47" fillId="0" borderId="9" xfId="0" applyNumberFormat="1" applyFont="1" applyBorder="1" applyAlignment="1">
      <alignment horizontal="center"/>
    </xf>
    <xf numFmtId="0" fontId="5" fillId="0" borderId="0" xfId="0" applyFont="1"/>
    <xf numFmtId="9" fontId="0" fillId="0" borderId="0" xfId="29" applyFont="1"/>
    <xf numFmtId="1" fontId="5" fillId="0" borderId="0" xfId="0" applyNumberFormat="1" applyFont="1" applyAlignment="1">
      <alignment horizontal="center"/>
    </xf>
    <xf numFmtId="0" fontId="11" fillId="0" borderId="0" xfId="0" applyFont="1" applyAlignment="1">
      <alignment horizontal="center" wrapText="1"/>
    </xf>
    <xf numFmtId="17" fontId="0" fillId="0" borderId="0" xfId="0" applyNumberFormat="1" applyAlignment="1">
      <alignment horizontal="center"/>
    </xf>
    <xf numFmtId="17" fontId="0" fillId="34" borderId="0" xfId="0" applyNumberFormat="1" applyFill="1" applyAlignment="1">
      <alignment horizontal="center"/>
    </xf>
    <xf numFmtId="0" fontId="63" fillId="0" borderId="0" xfId="0" applyFont="1"/>
    <xf numFmtId="1" fontId="0" fillId="0" borderId="0" xfId="0" applyNumberFormat="1"/>
    <xf numFmtId="0" fontId="47" fillId="6" borderId="5" xfId="0" applyFont="1" applyFill="1" applyBorder="1" applyAlignment="1">
      <alignment horizontal="center"/>
    </xf>
    <xf numFmtId="0" fontId="47" fillId="6" borderId="1" xfId="0" applyFont="1" applyFill="1" applyBorder="1" applyAlignment="1">
      <alignment horizontal="center"/>
    </xf>
    <xf numFmtId="0" fontId="47" fillId="6" borderId="8" xfId="0" applyFont="1" applyFill="1" applyBorder="1" applyAlignment="1">
      <alignment horizontal="center"/>
    </xf>
    <xf numFmtId="0" fontId="0" fillId="0" borderId="37" xfId="0" applyBorder="1"/>
    <xf numFmtId="0" fontId="47" fillId="0" borderId="13" xfId="0" applyFont="1" applyBorder="1" applyAlignment="1">
      <alignment horizontal="center"/>
    </xf>
    <xf numFmtId="0" fontId="5" fillId="0" borderId="38" xfId="0" applyFont="1" applyBorder="1"/>
    <xf numFmtId="0" fontId="0" fillId="0" borderId="39" xfId="0" applyBorder="1"/>
    <xf numFmtId="0" fontId="5" fillId="0" borderId="40" xfId="0" applyFont="1" applyBorder="1"/>
    <xf numFmtId="0" fontId="0" fillId="0" borderId="14" xfId="0" applyBorder="1"/>
    <xf numFmtId="0" fontId="0" fillId="0" borderId="17" xfId="0" applyBorder="1"/>
    <xf numFmtId="0" fontId="47" fillId="0" borderId="41" xfId="0" applyFont="1" applyBorder="1" applyAlignment="1">
      <alignment horizontal="center"/>
    </xf>
    <xf numFmtId="1" fontId="0" fillId="0" borderId="33" xfId="0" applyNumberFormat="1" applyBorder="1" applyAlignment="1">
      <alignment horizontal="center"/>
    </xf>
    <xf numFmtId="1" fontId="0" fillId="0" borderId="52" xfId="0" applyNumberFormat="1" applyBorder="1" applyAlignment="1">
      <alignment horizontal="center"/>
    </xf>
    <xf numFmtId="0" fontId="0" fillId="0" borderId="33" xfId="0" applyBorder="1" applyAlignment="1">
      <alignment horizontal="center"/>
    </xf>
    <xf numFmtId="0" fontId="0" fillId="0" borderId="52" xfId="0" applyBorder="1" applyAlignment="1">
      <alignment horizontal="center"/>
    </xf>
    <xf numFmtId="175" fontId="0" fillId="0" borderId="33" xfId="0" applyNumberFormat="1" applyBorder="1" applyAlignment="1">
      <alignment horizontal="center"/>
    </xf>
    <xf numFmtId="175" fontId="0" fillId="0" borderId="52" xfId="0" applyNumberFormat="1" applyBorder="1" applyAlignment="1">
      <alignment horizontal="center"/>
    </xf>
    <xf numFmtId="0" fontId="0" fillId="0" borderId="39"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41" xfId="0" applyBorder="1" applyAlignment="1">
      <alignment horizontal="center"/>
    </xf>
    <xf numFmtId="0" fontId="65" fillId="0" borderId="0" xfId="0" applyFont="1"/>
    <xf numFmtId="0" fontId="66" fillId="0" borderId="0" xfId="0" applyFont="1"/>
    <xf numFmtId="0" fontId="66" fillId="0" borderId="4" xfId="0" applyFont="1" applyBorder="1"/>
    <xf numFmtId="0" fontId="66" fillId="0" borderId="5" xfId="0" applyFont="1" applyBorder="1" applyAlignment="1">
      <alignment horizontal="center"/>
    </xf>
    <xf numFmtId="0" fontId="66" fillId="6" borderId="5" xfId="0" applyFont="1" applyFill="1" applyBorder="1" applyAlignment="1">
      <alignment horizontal="center"/>
    </xf>
    <xf numFmtId="0" fontId="66" fillId="0" borderId="36" xfId="0" applyFont="1" applyBorder="1" applyAlignment="1">
      <alignment horizontal="center"/>
    </xf>
    <xf numFmtId="1" fontId="66" fillId="0" borderId="5" xfId="0" applyNumberFormat="1" applyFont="1" applyBorder="1" applyAlignment="1">
      <alignment horizontal="center"/>
    </xf>
    <xf numFmtId="9" fontId="67" fillId="0" borderId="28" xfId="0" applyNumberFormat="1" applyFont="1" applyBorder="1" applyAlignment="1">
      <alignment horizontal="center"/>
    </xf>
    <xf numFmtId="0" fontId="66" fillId="0" borderId="6" xfId="0" applyFont="1" applyBorder="1"/>
    <xf numFmtId="0" fontId="66" fillId="0" borderId="1" xfId="0" applyFont="1" applyBorder="1" applyAlignment="1">
      <alignment horizontal="center"/>
    </xf>
    <xf numFmtId="0" fontId="66" fillId="6" borderId="1" xfId="0" applyFont="1" applyFill="1" applyBorder="1" applyAlignment="1">
      <alignment horizontal="center"/>
    </xf>
    <xf numFmtId="1" fontId="66" fillId="0" borderId="1" xfId="0" applyNumberFormat="1" applyFont="1" applyBorder="1" applyAlignment="1">
      <alignment horizontal="center"/>
    </xf>
    <xf numFmtId="9" fontId="67" fillId="0" borderId="29" xfId="0" applyNumberFormat="1" applyFont="1" applyBorder="1" applyAlignment="1">
      <alignment horizontal="center"/>
    </xf>
    <xf numFmtId="0" fontId="66" fillId="0" borderId="7" xfId="0" applyFont="1" applyBorder="1"/>
    <xf numFmtId="0" fontId="66" fillId="0" borderId="8" xfId="0" applyFont="1" applyBorder="1" applyAlignment="1">
      <alignment horizontal="center"/>
    </xf>
    <xf numFmtId="0" fontId="66" fillId="6" borderId="8" xfId="0" applyFont="1" applyFill="1" applyBorder="1" applyAlignment="1">
      <alignment horizontal="center"/>
    </xf>
    <xf numFmtId="1" fontId="66" fillId="0" borderId="8" xfId="0" applyNumberFormat="1" applyFont="1" applyBorder="1" applyAlignment="1">
      <alignment horizontal="center"/>
    </xf>
    <xf numFmtId="9" fontId="67" fillId="0" borderId="30" xfId="0" applyNumberFormat="1" applyFont="1" applyBorder="1" applyAlignment="1">
      <alignment horizontal="center"/>
    </xf>
    <xf numFmtId="0" fontId="66" fillId="2" borderId="1" xfId="0" applyFont="1" applyFill="1" applyBorder="1" applyAlignment="1">
      <alignment horizontal="center"/>
    </xf>
    <xf numFmtId="0" fontId="66" fillId="2" borderId="1" xfId="0" applyFont="1" applyFill="1" applyBorder="1" applyAlignment="1">
      <alignment horizontal="center" wrapText="1"/>
    </xf>
    <xf numFmtId="0" fontId="66" fillId="4" borderId="1" xfId="0" applyFont="1" applyFill="1" applyBorder="1" applyAlignment="1">
      <alignment horizontal="center" wrapText="1"/>
    </xf>
    <xf numFmtId="0" fontId="66" fillId="0" borderId="0" xfId="0" applyFont="1" applyAlignment="1">
      <alignment horizontal="center"/>
    </xf>
    <xf numFmtId="0" fontId="66" fillId="0" borderId="37" xfId="0" applyFont="1" applyBorder="1"/>
    <xf numFmtId="0" fontId="66" fillId="0" borderId="13" xfId="0" applyFont="1" applyBorder="1" applyAlignment="1">
      <alignment horizontal="center"/>
    </xf>
    <xf numFmtId="0" fontId="66" fillId="0" borderId="41" xfId="0" applyFont="1" applyBorder="1" applyAlignment="1">
      <alignment horizontal="center"/>
    </xf>
    <xf numFmtId="0" fontId="66" fillId="0" borderId="51" xfId="0" applyFont="1" applyBorder="1" applyAlignment="1">
      <alignment horizontal="center"/>
    </xf>
    <xf numFmtId="0" fontId="66" fillId="0" borderId="38" xfId="0" applyFont="1" applyBorder="1"/>
    <xf numFmtId="0" fontId="66" fillId="0" borderId="39" xfId="0" applyFont="1" applyBorder="1"/>
    <xf numFmtId="1" fontId="66" fillId="0" borderId="33" xfId="0" applyNumberFormat="1" applyFont="1" applyBorder="1" applyAlignment="1">
      <alignment horizontal="center"/>
    </xf>
    <xf numFmtId="0" fontId="66" fillId="0" borderId="33" xfId="0" applyFont="1" applyBorder="1" applyAlignment="1">
      <alignment horizontal="center"/>
    </xf>
    <xf numFmtId="175" fontId="66" fillId="0" borderId="33" xfId="0" applyNumberFormat="1" applyFont="1" applyBorder="1" applyAlignment="1">
      <alignment horizontal="center"/>
    </xf>
    <xf numFmtId="0" fontId="66" fillId="0" borderId="40" xfId="0" applyFont="1" applyBorder="1"/>
    <xf numFmtId="0" fontId="66" fillId="0" borderId="14" xfId="0" applyFont="1" applyBorder="1"/>
    <xf numFmtId="0" fontId="66" fillId="0" borderId="17" xfId="0" applyFont="1" applyBorder="1"/>
    <xf numFmtId="1" fontId="66" fillId="0" borderId="52" xfId="0" applyNumberFormat="1" applyFont="1" applyBorder="1" applyAlignment="1">
      <alignment horizontal="center"/>
    </xf>
    <xf numFmtId="0" fontId="66" fillId="0" borderId="52" xfId="0" applyFont="1" applyBorder="1" applyAlignment="1">
      <alignment horizontal="center"/>
    </xf>
    <xf numFmtId="175" fontId="66" fillId="0" borderId="52" xfId="0" applyNumberFormat="1" applyFont="1" applyBorder="1" applyAlignment="1">
      <alignment horizontal="center"/>
    </xf>
    <xf numFmtId="0" fontId="66" fillId="0" borderId="39" xfId="0" applyFont="1" applyBorder="1" applyAlignment="1">
      <alignment horizontal="center"/>
    </xf>
    <xf numFmtId="0" fontId="66" fillId="0" borderId="14" xfId="0" applyFont="1" applyBorder="1" applyAlignment="1">
      <alignment horizontal="center"/>
    </xf>
    <xf numFmtId="0" fontId="66" fillId="0" borderId="17" xfId="0" applyFont="1" applyBorder="1" applyAlignment="1">
      <alignment horizontal="center"/>
    </xf>
    <xf numFmtId="0" fontId="66" fillId="0" borderId="37" xfId="0" applyFont="1" applyBorder="1" applyAlignment="1">
      <alignment horizontal="center"/>
    </xf>
    <xf numFmtId="1" fontId="66" fillId="0" borderId="38" xfId="0" applyNumberFormat="1" applyFont="1" applyBorder="1" applyAlignment="1">
      <alignment horizontal="center"/>
    </xf>
    <xf numFmtId="1" fontId="66" fillId="0" borderId="40" xfId="0" applyNumberFormat="1" applyFont="1" applyBorder="1" applyAlignment="1">
      <alignment horizontal="center"/>
    </xf>
    <xf numFmtId="0" fontId="66" fillId="0" borderId="38" xfId="0" applyFont="1" applyBorder="1" applyAlignment="1">
      <alignment horizontal="center"/>
    </xf>
    <xf numFmtId="0" fontId="66" fillId="0" borderId="40" xfId="0" applyFont="1" applyBorder="1" applyAlignment="1">
      <alignment horizontal="center"/>
    </xf>
    <xf numFmtId="0" fontId="52" fillId="0" borderId="0" xfId="0" applyFont="1"/>
    <xf numFmtId="0" fontId="52" fillId="0" borderId="0" xfId="0" applyFont="1" applyAlignment="1">
      <alignment horizontal="center"/>
    </xf>
    <xf numFmtId="0" fontId="47" fillId="35" borderId="38" xfId="0" applyFont="1" applyFill="1" applyBorder="1" applyAlignment="1">
      <alignment wrapText="1"/>
    </xf>
    <xf numFmtId="0" fontId="47" fillId="35" borderId="40" xfId="0" applyFont="1" applyFill="1" applyBorder="1" applyAlignment="1">
      <alignment wrapText="1"/>
    </xf>
    <xf numFmtId="0" fontId="47" fillId="35" borderId="37" xfId="0" applyFont="1" applyFill="1" applyBorder="1" applyAlignment="1">
      <alignment wrapText="1"/>
    </xf>
    <xf numFmtId="0" fontId="47" fillId="35" borderId="0" xfId="0" applyFont="1" applyFill="1" applyAlignment="1">
      <alignment wrapText="1"/>
    </xf>
    <xf numFmtId="0" fontId="47" fillId="35" borderId="13" xfId="0" applyFont="1" applyFill="1" applyBorder="1" applyAlignment="1">
      <alignment wrapText="1"/>
    </xf>
    <xf numFmtId="0" fontId="47" fillId="35" borderId="14" xfId="0" applyFont="1" applyFill="1" applyBorder="1" applyAlignment="1">
      <alignment wrapText="1"/>
    </xf>
    <xf numFmtId="0" fontId="47" fillId="36" borderId="21" xfId="0" applyFont="1" applyFill="1" applyBorder="1" applyAlignment="1">
      <alignment horizontal="center" vertical="center" textRotation="90" wrapText="1"/>
    </xf>
    <xf numFmtId="0" fontId="47" fillId="36" borderId="0" xfId="0" applyFont="1" applyFill="1" applyAlignment="1">
      <alignment horizontal="center" wrapText="1"/>
    </xf>
    <xf numFmtId="0" fontId="47" fillId="36" borderId="14" xfId="0" applyFont="1" applyFill="1" applyBorder="1" applyAlignment="1">
      <alignment horizontal="center" wrapText="1"/>
    </xf>
    <xf numFmtId="0" fontId="47" fillId="36" borderId="13" xfId="0" applyFont="1" applyFill="1" applyBorder="1" applyAlignment="1">
      <alignment horizontal="center" wrapText="1"/>
    </xf>
    <xf numFmtId="1" fontId="47" fillId="36" borderId="13" xfId="0" applyNumberFormat="1" applyFont="1" applyFill="1" applyBorder="1" applyAlignment="1">
      <alignment horizontal="center" wrapText="1"/>
    </xf>
    <xf numFmtId="0" fontId="5" fillId="29" borderId="0" xfId="0" applyFont="1" applyFill="1" applyAlignment="1">
      <alignment horizontal="center" vertical="center" wrapText="1"/>
    </xf>
    <xf numFmtId="0" fontId="0" fillId="0" borderId="1" xfId="0" applyBorder="1" applyAlignment="1">
      <alignment horizontal="center"/>
    </xf>
    <xf numFmtId="0" fontId="0" fillId="0" borderId="42" xfId="0" applyBorder="1"/>
    <xf numFmtId="1" fontId="40" fillId="0" borderId="0" xfId="0" applyNumberFormat="1" applyFont="1" applyAlignment="1">
      <alignment horizontal="center"/>
    </xf>
    <xf numFmtId="1" fontId="39" fillId="0" borderId="0" xfId="28" applyNumberFormat="1" applyFont="1" applyAlignment="1">
      <alignment horizontal="right"/>
    </xf>
    <xf numFmtId="176" fontId="40" fillId="0" borderId="1" xfId="0" applyNumberFormat="1" applyFont="1" applyBorder="1"/>
    <xf numFmtId="176" fontId="5" fillId="0" borderId="1" xfId="0" applyNumberFormat="1" applyFont="1" applyBorder="1"/>
    <xf numFmtId="1" fontId="5" fillId="0" borderId="1" xfId="0" applyNumberFormat="1" applyFont="1" applyBorder="1"/>
    <xf numFmtId="49" fontId="47" fillId="0" borderId="1" xfId="0" applyNumberFormat="1" applyFont="1" applyBorder="1" applyAlignment="1">
      <alignment horizontal="center"/>
    </xf>
    <xf numFmtId="0" fontId="47" fillId="12" borderId="1" xfId="0" applyFont="1" applyFill="1" applyBorder="1" applyAlignment="1">
      <alignment horizontal="center"/>
    </xf>
    <xf numFmtId="0" fontId="5" fillId="0" borderId="1" xfId="0" applyFont="1" applyBorder="1" applyAlignment="1">
      <alignment horizontal="right"/>
    </xf>
    <xf numFmtId="1" fontId="0" fillId="0" borderId="1" xfId="0" applyNumberFormat="1" applyBorder="1"/>
    <xf numFmtId="1" fontId="40" fillId="0" borderId="1" xfId="0" applyNumberFormat="1" applyFont="1" applyBorder="1"/>
    <xf numFmtId="0" fontId="48" fillId="0" borderId="1" xfId="0" applyFont="1" applyBorder="1" applyAlignment="1">
      <alignment horizontal="center" vertical="center"/>
    </xf>
    <xf numFmtId="0" fontId="47" fillId="0" borderId="1" xfId="0" applyFont="1" applyBorder="1" applyAlignment="1">
      <alignment horizontal="center" vertical="center"/>
    </xf>
    <xf numFmtId="1" fontId="5" fillId="0" borderId="0" xfId="0" applyNumberFormat="1" applyFont="1"/>
    <xf numFmtId="0" fontId="0" fillId="0" borderId="0" xfId="0" applyAlignment="1">
      <alignment vertical="center"/>
    </xf>
    <xf numFmtId="0" fontId="0" fillId="0" borderId="13" xfId="0" applyBorder="1"/>
    <xf numFmtId="0" fontId="5" fillId="0" borderId="13" xfId="0" applyFont="1" applyBorder="1"/>
    <xf numFmtId="0" fontId="5" fillId="0" borderId="41" xfId="0" applyFont="1" applyBorder="1"/>
    <xf numFmtId="17" fontId="0" fillId="0" borderId="14" xfId="0" applyNumberFormat="1" applyBorder="1"/>
    <xf numFmtId="1" fontId="9" fillId="0" borderId="0" xfId="0" applyNumberFormat="1" applyFont="1" applyAlignment="1">
      <alignment horizontal="center" vertical="center"/>
    </xf>
    <xf numFmtId="1" fontId="0" fillId="0" borderId="39" xfId="0" applyNumberFormat="1" applyBorder="1"/>
    <xf numFmtId="1" fontId="0" fillId="0" borderId="17" xfId="0" applyNumberFormat="1" applyBorder="1"/>
    <xf numFmtId="1" fontId="0" fillId="0" borderId="14" xfId="0" applyNumberFormat="1" applyBorder="1"/>
    <xf numFmtId="1" fontId="5" fillId="0" borderId="39" xfId="0" applyNumberFormat="1" applyFont="1" applyBorder="1"/>
    <xf numFmtId="2" fontId="47" fillId="9" borderId="1" xfId="0" applyNumberFormat="1" applyFont="1" applyFill="1" applyBorder="1" applyAlignment="1">
      <alignment horizontal="center"/>
    </xf>
    <xf numFmtId="0" fontId="51" fillId="17" borderId="0" xfId="0" applyFont="1" applyFill="1" applyAlignment="1">
      <alignment wrapText="1"/>
    </xf>
    <xf numFmtId="0" fontId="48" fillId="2" borderId="1" xfId="0" applyFont="1" applyFill="1" applyBorder="1" applyAlignment="1">
      <alignment horizontal="center" vertical="center" wrapText="1"/>
    </xf>
    <xf numFmtId="9" fontId="47" fillId="0" borderId="1" xfId="29" applyFont="1" applyBorder="1" applyAlignment="1">
      <alignment horizontal="center"/>
    </xf>
    <xf numFmtId="0" fontId="52" fillId="0" borderId="1" xfId="0" applyFont="1" applyBorder="1"/>
    <xf numFmtId="0" fontId="51" fillId="18" borderId="0" xfId="0" applyFont="1" applyFill="1" applyAlignment="1">
      <alignment horizontal="center" wrapText="1"/>
    </xf>
    <xf numFmtId="0" fontId="69" fillId="17" borderId="0" xfId="0" applyFont="1" applyFill="1" applyAlignment="1">
      <alignment wrapText="1"/>
    </xf>
    <xf numFmtId="0" fontId="69" fillId="18" borderId="0" xfId="0" applyFont="1" applyFill="1" applyAlignment="1">
      <alignment horizontal="center" wrapText="1"/>
    </xf>
    <xf numFmtId="0" fontId="5" fillId="0" borderId="0" xfId="64"/>
    <xf numFmtId="0" fontId="5" fillId="0" borderId="0" xfId="64" applyAlignment="1">
      <alignment horizontal="center"/>
    </xf>
    <xf numFmtId="0" fontId="7" fillId="0" borderId="0" xfId="64" applyFont="1" applyAlignment="1">
      <alignment horizontal="center"/>
    </xf>
    <xf numFmtId="0" fontId="7" fillId="38" borderId="0" xfId="64" applyFont="1" applyFill="1" applyAlignment="1">
      <alignment horizontal="center"/>
    </xf>
    <xf numFmtId="9" fontId="5" fillId="0" borderId="0" xfId="64" applyNumberFormat="1" applyAlignment="1">
      <alignment horizontal="center"/>
    </xf>
    <xf numFmtId="0" fontId="7" fillId="38" borderId="0" xfId="64" applyFont="1" applyFill="1" applyAlignment="1">
      <alignment horizontal="center" wrapText="1"/>
    </xf>
    <xf numFmtId="0" fontId="5" fillId="0" borderId="0" xfId="64" applyAlignment="1">
      <alignment horizontal="center" wrapText="1"/>
    </xf>
    <xf numFmtId="9" fontId="5" fillId="0" borderId="0" xfId="29" applyFont="1" applyAlignment="1">
      <alignment horizontal="center"/>
    </xf>
    <xf numFmtId="1" fontId="7" fillId="0" borderId="0" xfId="64" applyNumberFormat="1" applyFont="1" applyAlignment="1">
      <alignment horizontal="center"/>
    </xf>
    <xf numFmtId="0" fontId="7" fillId="0" borderId="0" xfId="64" applyFont="1" applyAlignment="1">
      <alignment horizontal="center" wrapText="1"/>
    </xf>
    <xf numFmtId="9" fontId="7" fillId="0" borderId="0" xfId="64" applyNumberFormat="1" applyFont="1" applyAlignment="1">
      <alignment horizontal="center"/>
    </xf>
    <xf numFmtId="0" fontId="7" fillId="0" borderId="0" xfId="64" applyFont="1" applyAlignment="1">
      <alignment horizontal="right"/>
    </xf>
    <xf numFmtId="1" fontId="5" fillId="0" borderId="0" xfId="64" applyNumberFormat="1" applyAlignment="1">
      <alignment horizontal="center"/>
    </xf>
    <xf numFmtId="0" fontId="5" fillId="0" borderId="1" xfId="0" applyFont="1" applyBorder="1" applyAlignment="1">
      <alignment horizontal="center" vertical="center"/>
    </xf>
    <xf numFmtId="0" fontId="47" fillId="9" borderId="27" xfId="0" applyFont="1" applyFill="1" applyBorder="1" applyAlignment="1">
      <alignment horizontal="center"/>
    </xf>
    <xf numFmtId="1" fontId="50" fillId="0" borderId="55" xfId="0" applyNumberFormat="1" applyFont="1" applyBorder="1" applyAlignment="1">
      <alignment horizontal="center"/>
    </xf>
    <xf numFmtId="1" fontId="50" fillId="0" borderId="46" xfId="0" applyNumberFormat="1" applyFont="1" applyBorder="1" applyAlignment="1">
      <alignment horizontal="center"/>
    </xf>
    <xf numFmtId="1" fontId="50" fillId="0" borderId="10" xfId="0" applyNumberFormat="1" applyFont="1" applyBorder="1" applyAlignment="1">
      <alignment horizontal="center"/>
    </xf>
    <xf numFmtId="0" fontId="47" fillId="0" borderId="0" xfId="0" applyFont="1" applyAlignment="1">
      <alignment horizontal="center" wrapText="1"/>
    </xf>
    <xf numFmtId="0" fontId="69" fillId="17" borderId="13" xfId="0" applyFont="1" applyFill="1" applyBorder="1" applyAlignment="1">
      <alignment wrapText="1"/>
    </xf>
    <xf numFmtId="0" fontId="69" fillId="18" borderId="13" xfId="0" applyFont="1" applyFill="1" applyBorder="1" applyAlignment="1">
      <alignment horizontal="center" wrapText="1"/>
    </xf>
    <xf numFmtId="0" fontId="69" fillId="17" borderId="14" xfId="0" applyFont="1" applyFill="1" applyBorder="1" applyAlignment="1">
      <alignment wrapText="1"/>
    </xf>
    <xf numFmtId="0" fontId="69" fillId="18" borderId="14" xfId="0" applyFont="1" applyFill="1" applyBorder="1" applyAlignment="1">
      <alignment horizontal="center" wrapText="1"/>
    </xf>
    <xf numFmtId="167" fontId="47" fillId="0" borderId="0" xfId="0" applyNumberFormat="1" applyFont="1" applyAlignment="1">
      <alignment horizontal="center"/>
    </xf>
    <xf numFmtId="9" fontId="47" fillId="0" borderId="0" xfId="0" applyNumberFormat="1" applyFont="1" applyAlignment="1">
      <alignment horizontal="center"/>
    </xf>
    <xf numFmtId="9" fontId="50" fillId="34" borderId="29" xfId="0" applyNumberFormat="1" applyFont="1" applyFill="1" applyBorder="1" applyAlignment="1">
      <alignment horizontal="center"/>
    </xf>
    <xf numFmtId="1" fontId="8" fillId="0" borderId="0" xfId="0" applyNumberFormat="1" applyFont="1" applyAlignment="1">
      <alignment horizontal="center"/>
    </xf>
    <xf numFmtId="1" fontId="0" fillId="29" borderId="0" xfId="0" applyNumberFormat="1" applyFill="1" applyAlignment="1">
      <alignment horizontal="center" wrapText="1"/>
    </xf>
    <xf numFmtId="0" fontId="70" fillId="17" borderId="0" xfId="0" applyFont="1" applyFill="1" applyAlignment="1">
      <alignment wrapText="1"/>
    </xf>
    <xf numFmtId="0" fontId="70" fillId="17" borderId="13" xfId="0" applyFont="1" applyFill="1" applyBorder="1" applyAlignment="1">
      <alignment wrapText="1"/>
    </xf>
    <xf numFmtId="0" fontId="70" fillId="18" borderId="0" xfId="0" applyFont="1" applyFill="1" applyAlignment="1">
      <alignment horizontal="center" wrapText="1"/>
    </xf>
    <xf numFmtId="0" fontId="70" fillId="18" borderId="13" xfId="0" applyFont="1" applyFill="1" applyBorder="1" applyAlignment="1">
      <alignment horizontal="center" wrapText="1"/>
    </xf>
    <xf numFmtId="0" fontId="72" fillId="9" borderId="0" xfId="130" applyFont="1" applyFill="1"/>
    <xf numFmtId="1" fontId="47" fillId="6" borderId="1" xfId="0" applyNumberFormat="1" applyFont="1" applyFill="1" applyBorder="1" applyAlignment="1">
      <alignment horizontal="center"/>
    </xf>
    <xf numFmtId="2" fontId="47" fillId="0" borderId="1" xfId="0" applyNumberFormat="1" applyFont="1" applyBorder="1"/>
    <xf numFmtId="2" fontId="47" fillId="34" borderId="1" xfId="0" applyNumberFormat="1" applyFont="1" applyFill="1" applyBorder="1"/>
    <xf numFmtId="49" fontId="47" fillId="0" borderId="1" xfId="0" applyNumberFormat="1" applyFont="1" applyBorder="1"/>
    <xf numFmtId="2" fontId="47" fillId="20" borderId="1" xfId="0" applyNumberFormat="1" applyFont="1" applyFill="1" applyBorder="1"/>
    <xf numFmtId="2" fontId="47" fillId="39" borderId="1" xfId="0" applyNumberFormat="1" applyFont="1" applyFill="1" applyBorder="1"/>
    <xf numFmtId="2" fontId="47" fillId="40" borderId="9" xfId="0" applyNumberFormat="1" applyFont="1" applyFill="1" applyBorder="1"/>
    <xf numFmtId="0" fontId="70" fillId="17" borderId="14" xfId="0" applyFont="1" applyFill="1" applyBorder="1" applyAlignment="1">
      <alignment wrapText="1"/>
    </xf>
    <xf numFmtId="0" fontId="70" fillId="18" borderId="14" xfId="0" applyFont="1" applyFill="1" applyBorder="1" applyAlignment="1">
      <alignment horizontal="center" wrapText="1"/>
    </xf>
    <xf numFmtId="0" fontId="5" fillId="31" borderId="40" xfId="0" applyFont="1" applyFill="1" applyBorder="1" applyAlignment="1">
      <alignment horizontal="right"/>
    </xf>
    <xf numFmtId="9" fontId="5" fillId="0" borderId="0" xfId="0" applyNumberFormat="1" applyFont="1"/>
    <xf numFmtId="10" fontId="5" fillId="0" borderId="0" xfId="0" applyNumberFormat="1" applyFont="1"/>
    <xf numFmtId="9" fontId="5" fillId="29" borderId="0" xfId="29" applyFont="1" applyFill="1" applyAlignment="1">
      <alignment horizontal="center"/>
    </xf>
    <xf numFmtId="1" fontId="5" fillId="29" borderId="0" xfId="0" applyNumberFormat="1" applyFont="1" applyFill="1" applyAlignment="1">
      <alignment horizontal="center"/>
    </xf>
    <xf numFmtId="9" fontId="5" fillId="29" borderId="0" xfId="0" applyNumberFormat="1" applyFont="1" applyFill="1" applyAlignment="1">
      <alignment horizontal="center"/>
    </xf>
    <xf numFmtId="9" fontId="5" fillId="0" borderId="0" xfId="29" applyFont="1" applyFill="1" applyAlignment="1">
      <alignment horizontal="center"/>
    </xf>
    <xf numFmtId="0" fontId="5" fillId="0" borderId="0" xfId="0" applyFont="1" applyAlignment="1">
      <alignment horizontal="right"/>
    </xf>
    <xf numFmtId="0" fontId="5" fillId="0" borderId="0" xfId="0" applyFont="1" applyAlignment="1">
      <alignment horizontal="left" vertical="center"/>
    </xf>
    <xf numFmtId="1" fontId="5" fillId="0" borderId="1" xfId="28" applyNumberFormat="1" applyFont="1" applyBorder="1" applyAlignment="1">
      <alignment horizontal="right"/>
    </xf>
    <xf numFmtId="9" fontId="5" fillId="9" borderId="0" xfId="29" applyFont="1" applyFill="1" applyAlignment="1">
      <alignment horizontal="center"/>
    </xf>
    <xf numFmtId="1" fontId="5" fillId="9" borderId="0" xfId="29" applyNumberFormat="1" applyFont="1" applyFill="1" applyAlignment="1">
      <alignment horizontal="center"/>
    </xf>
    <xf numFmtId="165" fontId="5" fillId="22" borderId="0" xfId="1" applyFont="1" applyFill="1"/>
    <xf numFmtId="165" fontId="5" fillId="16" borderId="0" xfId="1" applyFont="1" applyFill="1"/>
    <xf numFmtId="165" fontId="5" fillId="21" borderId="0" xfId="1" applyFont="1" applyFill="1"/>
    <xf numFmtId="0" fontId="5" fillId="0" borderId="0" xfId="0" applyFont="1" applyAlignment="1">
      <alignment vertical="top"/>
    </xf>
    <xf numFmtId="0" fontId="77" fillId="0" borderId="0" xfId="0" applyFont="1"/>
    <xf numFmtId="0" fontId="70" fillId="0" borderId="0" xfId="0" applyFont="1" applyAlignment="1">
      <alignment horizontal="center"/>
    </xf>
    <xf numFmtId="0" fontId="47" fillId="35" borderId="21" xfId="0" applyFont="1" applyFill="1" applyBorder="1" applyAlignment="1">
      <alignment wrapText="1"/>
    </xf>
    <xf numFmtId="17" fontId="5" fillId="0" borderId="0" xfId="0" applyNumberFormat="1" applyFont="1" applyAlignment="1">
      <alignment horizontal="center"/>
    </xf>
    <xf numFmtId="0" fontId="47" fillId="0" borderId="0" xfId="0" applyFont="1" applyAlignment="1">
      <alignment wrapText="1"/>
    </xf>
    <xf numFmtId="0" fontId="81" fillId="0" borderId="0" xfId="0" applyFont="1" applyAlignment="1">
      <alignment horizontal="center"/>
    </xf>
    <xf numFmtId="0" fontId="80" fillId="17" borderId="13" xfId="0" applyFont="1" applyFill="1" applyBorder="1" applyAlignment="1">
      <alignment wrapText="1"/>
    </xf>
    <xf numFmtId="0" fontId="80" fillId="18" borderId="13" xfId="0" applyFont="1" applyFill="1" applyBorder="1" applyAlignment="1">
      <alignment horizontal="center" wrapText="1"/>
    </xf>
    <xf numFmtId="0" fontId="80" fillId="17" borderId="0" xfId="0" applyFont="1" applyFill="1" applyAlignment="1">
      <alignment wrapText="1"/>
    </xf>
    <xf numFmtId="0" fontId="80" fillId="18" borderId="0" xfId="0" applyFont="1" applyFill="1" applyAlignment="1">
      <alignment horizontal="center" wrapText="1"/>
    </xf>
    <xf numFmtId="0" fontId="80" fillId="17" borderId="14" xfId="0" applyFont="1" applyFill="1" applyBorder="1" applyAlignment="1">
      <alignment wrapText="1"/>
    </xf>
    <xf numFmtId="0" fontId="80" fillId="18" borderId="14" xfId="0" applyFont="1" applyFill="1" applyBorder="1" applyAlignment="1">
      <alignment horizontal="center" wrapText="1"/>
    </xf>
    <xf numFmtId="17" fontId="0" fillId="41" borderId="0" xfId="0" applyNumberFormat="1" applyFill="1" applyAlignment="1">
      <alignment horizontal="center"/>
    </xf>
    <xf numFmtId="0" fontId="81" fillId="17" borderId="0" xfId="0" applyFont="1" applyFill="1" applyAlignment="1">
      <alignment wrapText="1"/>
    </xf>
    <xf numFmtId="0" fontId="81" fillId="18" borderId="0" xfId="0" applyFont="1" applyFill="1" applyAlignment="1">
      <alignment horizontal="center" wrapText="1"/>
    </xf>
    <xf numFmtId="0" fontId="81" fillId="17" borderId="13" xfId="0" applyFont="1" applyFill="1" applyBorder="1" applyAlignment="1">
      <alignment wrapText="1"/>
    </xf>
    <xf numFmtId="0" fontId="81" fillId="18" borderId="13" xfId="0" applyFont="1" applyFill="1" applyBorder="1" applyAlignment="1">
      <alignment horizontal="center" wrapText="1"/>
    </xf>
    <xf numFmtId="9" fontId="47" fillId="0" borderId="5" xfId="29" applyFont="1" applyFill="1" applyBorder="1" applyAlignment="1">
      <alignment horizontal="center"/>
    </xf>
    <xf numFmtId="9" fontId="47" fillId="0" borderId="1" xfId="29" applyFont="1" applyFill="1" applyBorder="1" applyAlignment="1">
      <alignment horizontal="center"/>
    </xf>
    <xf numFmtId="9" fontId="47" fillId="0" borderId="2" xfId="29" applyFont="1" applyFill="1" applyBorder="1" applyAlignment="1">
      <alignment horizontal="center"/>
    </xf>
    <xf numFmtId="9" fontId="47" fillId="6" borderId="1" xfId="0" applyNumberFormat="1" applyFont="1" applyFill="1" applyBorder="1" applyAlignment="1">
      <alignment horizontal="center"/>
    </xf>
    <xf numFmtId="9" fontId="47" fillId="0" borderId="1" xfId="0" applyNumberFormat="1" applyFont="1" applyBorder="1" applyAlignment="1">
      <alignment horizontal="center"/>
    </xf>
    <xf numFmtId="9" fontId="47" fillId="0" borderId="8" xfId="0" applyNumberFormat="1" applyFont="1" applyBorder="1" applyAlignment="1">
      <alignment horizontal="center"/>
    </xf>
    <xf numFmtId="9" fontId="47" fillId="0" borderId="5" xfId="0" applyNumberFormat="1" applyFont="1" applyBorder="1" applyAlignment="1">
      <alignment horizontal="center"/>
    </xf>
    <xf numFmtId="9" fontId="47" fillId="6" borderId="5" xfId="29" applyFont="1" applyFill="1" applyBorder="1" applyAlignment="1">
      <alignment horizontal="center"/>
    </xf>
    <xf numFmtId="9" fontId="47" fillId="6" borderId="1" xfId="29" applyFont="1" applyFill="1" applyBorder="1" applyAlignment="1">
      <alignment horizontal="center"/>
    </xf>
    <xf numFmtId="9" fontId="47" fillId="6" borderId="2" xfId="29" applyFont="1" applyFill="1" applyBorder="1" applyAlignment="1">
      <alignment horizontal="center"/>
    </xf>
    <xf numFmtId="9" fontId="47" fillId="28" borderId="1" xfId="29" applyFont="1" applyFill="1" applyBorder="1" applyAlignment="1">
      <alignment horizontal="center"/>
    </xf>
    <xf numFmtId="9" fontId="47" fillId="0" borderId="27" xfId="29" applyFont="1" applyFill="1" applyBorder="1" applyAlignment="1">
      <alignment horizontal="center"/>
    </xf>
    <xf numFmtId="9" fontId="47" fillId="0" borderId="8" xfId="29" applyFont="1" applyFill="1" applyBorder="1" applyAlignment="1">
      <alignment horizontal="center"/>
    </xf>
    <xf numFmtId="9" fontId="47" fillId="0" borderId="9" xfId="29" applyFont="1" applyFill="1" applyBorder="1" applyAlignment="1">
      <alignment horizontal="center"/>
    </xf>
    <xf numFmtId="9" fontId="47" fillId="6" borderId="8" xfId="29" applyFont="1" applyFill="1" applyBorder="1" applyAlignment="1">
      <alignment horizontal="center"/>
    </xf>
    <xf numFmtId="9" fontId="47" fillId="28" borderId="5" xfId="29" applyFont="1" applyFill="1" applyBorder="1" applyAlignment="1">
      <alignment horizontal="center"/>
    </xf>
    <xf numFmtId="9" fontId="47" fillId="28" borderId="8" xfId="29" applyFont="1" applyFill="1" applyBorder="1" applyAlignment="1">
      <alignment horizontal="center"/>
    </xf>
    <xf numFmtId="9" fontId="69" fillId="6" borderId="5" xfId="29" applyFont="1" applyFill="1" applyBorder="1" applyAlignment="1">
      <alignment horizontal="center"/>
    </xf>
    <xf numFmtId="9" fontId="69" fillId="6" borderId="1" xfId="29" applyFont="1" applyFill="1" applyBorder="1" applyAlignment="1">
      <alignment horizontal="center"/>
    </xf>
    <xf numFmtId="9" fontId="47" fillId="6" borderId="9" xfId="29" applyFont="1" applyFill="1" applyBorder="1" applyAlignment="1">
      <alignment horizontal="center"/>
    </xf>
    <xf numFmtId="9" fontId="47" fillId="6" borderId="9" xfId="0" applyNumberFormat="1" applyFont="1" applyFill="1" applyBorder="1" applyAlignment="1">
      <alignment horizontal="center"/>
    </xf>
    <xf numFmtId="9" fontId="47" fillId="0" borderId="9" xfId="29" applyFont="1" applyBorder="1" applyAlignment="1">
      <alignment horizontal="center"/>
    </xf>
    <xf numFmtId="9" fontId="47" fillId="0" borderId="31" xfId="0" applyNumberFormat="1" applyFont="1" applyBorder="1" applyAlignment="1">
      <alignment horizontal="center"/>
    </xf>
    <xf numFmtId="0" fontId="47" fillId="0" borderId="5" xfId="0" applyFont="1" applyBorder="1" applyAlignment="1">
      <alignment horizontal="center" vertical="center"/>
    </xf>
    <xf numFmtId="0" fontId="47" fillId="0" borderId="8" xfId="0" applyFont="1" applyBorder="1" applyAlignment="1">
      <alignment horizontal="center" vertical="center"/>
    </xf>
    <xf numFmtId="0" fontId="47" fillId="0" borderId="36" xfId="0" applyFont="1" applyBorder="1" applyAlignment="1">
      <alignment horizontal="center" vertical="center"/>
    </xf>
    <xf numFmtId="9" fontId="47" fillId="0" borderId="9" xfId="0" applyNumberFormat="1" applyFont="1" applyBorder="1" applyAlignment="1">
      <alignment horizontal="center"/>
    </xf>
    <xf numFmtId="9" fontId="47" fillId="0" borderId="2" xfId="0" applyNumberFormat="1" applyFont="1" applyBorder="1" applyAlignment="1">
      <alignment horizontal="center"/>
    </xf>
    <xf numFmtId="0" fontId="47" fillId="0" borderId="9" xfId="0" applyFont="1" applyBorder="1" applyAlignment="1">
      <alignment horizontal="center" vertical="center"/>
    </xf>
    <xf numFmtId="0" fontId="47" fillId="0" borderId="2" xfId="0" applyFont="1" applyBorder="1" applyAlignment="1">
      <alignment horizontal="center" vertical="center"/>
    </xf>
    <xf numFmtId="1" fontId="47" fillId="0" borderId="48" xfId="0" applyNumberFormat="1" applyFont="1" applyBorder="1" applyAlignment="1">
      <alignment horizontal="center"/>
    </xf>
    <xf numFmtId="1" fontId="47" fillId="0" borderId="49" xfId="0" applyNumberFormat="1" applyFont="1" applyBorder="1" applyAlignment="1">
      <alignment horizontal="center"/>
    </xf>
    <xf numFmtId="1" fontId="47" fillId="0" borderId="50" xfId="0" applyNumberFormat="1" applyFont="1" applyBorder="1" applyAlignment="1">
      <alignment horizontal="center"/>
    </xf>
    <xf numFmtId="0" fontId="84" fillId="0" borderId="0" xfId="0" applyFont="1"/>
    <xf numFmtId="0" fontId="84" fillId="0" borderId="0" xfId="0" applyFont="1" applyAlignment="1">
      <alignment horizontal="center"/>
    </xf>
    <xf numFmtId="9" fontId="84" fillId="0" borderId="0" xfId="29" applyFont="1"/>
    <xf numFmtId="168" fontId="47" fillId="12" borderId="1" xfId="0" applyNumberFormat="1" applyFont="1" applyFill="1" applyBorder="1" applyAlignment="1">
      <alignment horizontal="center" wrapText="1"/>
    </xf>
    <xf numFmtId="17" fontId="0" fillId="0" borderId="1" xfId="0" applyNumberFormat="1" applyBorder="1"/>
    <xf numFmtId="9" fontId="50" fillId="0" borderId="0" xfId="0" applyNumberFormat="1" applyFont="1" applyAlignment="1">
      <alignment horizontal="center"/>
    </xf>
    <xf numFmtId="9" fontId="50" fillId="0" borderId="14" xfId="0" applyNumberFormat="1" applyFont="1" applyBorder="1" applyAlignment="1">
      <alignment horizontal="center"/>
    </xf>
    <xf numFmtId="168" fontId="47" fillId="12" borderId="45" xfId="0" applyNumberFormat="1" applyFont="1" applyFill="1" applyBorder="1" applyAlignment="1">
      <alignment horizontal="center" wrapText="1"/>
    </xf>
    <xf numFmtId="0" fontId="10" fillId="21" borderId="1" xfId="0" applyFont="1" applyFill="1" applyBorder="1"/>
    <xf numFmtId="0" fontId="10" fillId="21" borderId="1" xfId="0" applyFont="1" applyFill="1" applyBorder="1" applyAlignment="1">
      <alignment horizontal="center"/>
    </xf>
    <xf numFmtId="1" fontId="9" fillId="21" borderId="1" xfId="0" applyNumberFormat="1" applyFont="1" applyFill="1" applyBorder="1" applyAlignment="1">
      <alignment horizontal="center"/>
    </xf>
    <xf numFmtId="0" fontId="10" fillId="21" borderId="1" xfId="0" applyFont="1" applyFill="1" applyBorder="1" applyAlignment="1">
      <alignment horizontal="center" vertical="center" wrapText="1"/>
    </xf>
    <xf numFmtId="1" fontId="9" fillId="21" borderId="1" xfId="0" applyNumberFormat="1" applyFont="1" applyFill="1" applyBorder="1" applyAlignment="1">
      <alignment horizontal="center" vertical="center"/>
    </xf>
    <xf numFmtId="1" fontId="9" fillId="0" borderId="14" xfId="0" applyNumberFormat="1" applyFont="1" applyBorder="1" applyAlignment="1">
      <alignment horizontal="center"/>
    </xf>
    <xf numFmtId="0" fontId="48" fillId="0" borderId="0" xfId="0" applyFont="1" applyAlignment="1">
      <alignment wrapText="1"/>
    </xf>
    <xf numFmtId="1" fontId="9" fillId="13" borderId="1" xfId="0" applyNumberFormat="1" applyFont="1" applyFill="1" applyBorder="1" applyAlignment="1">
      <alignment horizontal="center"/>
    </xf>
    <xf numFmtId="0" fontId="9" fillId="13" borderId="1" xfId="0" applyFont="1" applyFill="1" applyBorder="1" applyAlignment="1">
      <alignment horizontal="center"/>
    </xf>
    <xf numFmtId="0" fontId="0" fillId="13" borderId="1" xfId="0" applyFill="1" applyBorder="1"/>
    <xf numFmtId="0" fontId="9" fillId="13" borderId="1" xfId="0" quotePrefix="1" applyFont="1" applyFill="1" applyBorder="1" applyAlignment="1">
      <alignment horizontal="center"/>
    </xf>
    <xf numFmtId="0" fontId="10" fillId="13" borderId="4" xfId="0" applyFont="1" applyFill="1" applyBorder="1"/>
    <xf numFmtId="0" fontId="10" fillId="13" borderId="5" xfId="0" applyFont="1" applyFill="1" applyBorder="1" applyAlignment="1">
      <alignment horizontal="center"/>
    </xf>
    <xf numFmtId="0" fontId="10" fillId="13" borderId="5" xfId="0" applyFont="1" applyFill="1" applyBorder="1"/>
    <xf numFmtId="0" fontId="10" fillId="13" borderId="28" xfId="0" applyFont="1" applyFill="1" applyBorder="1" applyAlignment="1">
      <alignment horizontal="center"/>
    </xf>
    <xf numFmtId="0" fontId="10" fillId="13" borderId="6" xfId="0" applyFont="1" applyFill="1" applyBorder="1" applyAlignment="1">
      <alignment horizontal="center"/>
    </xf>
    <xf numFmtId="0" fontId="0" fillId="13" borderId="29" xfId="0" applyFill="1" applyBorder="1"/>
    <xf numFmtId="0" fontId="10" fillId="13" borderId="6" xfId="0" applyFont="1" applyFill="1" applyBorder="1" applyAlignment="1">
      <alignment horizontal="center" wrapText="1"/>
    </xf>
    <xf numFmtId="0" fontId="9" fillId="13" borderId="29" xfId="0" applyFont="1" applyFill="1" applyBorder="1" applyAlignment="1">
      <alignment horizontal="center"/>
    </xf>
    <xf numFmtId="0" fontId="10" fillId="13" borderId="7" xfId="0" applyFont="1" applyFill="1" applyBorder="1" applyAlignment="1">
      <alignment horizontal="center"/>
    </xf>
    <xf numFmtId="1" fontId="10" fillId="13" borderId="8" xfId="0" applyNumberFormat="1" applyFont="1" applyFill="1" applyBorder="1" applyAlignment="1">
      <alignment horizontal="center"/>
    </xf>
    <xf numFmtId="0" fontId="10" fillId="13" borderId="8" xfId="0" applyFont="1" applyFill="1" applyBorder="1" applyAlignment="1">
      <alignment horizontal="center"/>
    </xf>
    <xf numFmtId="0" fontId="7" fillId="13" borderId="8" xfId="0" applyFont="1" applyFill="1" applyBorder="1"/>
    <xf numFmtId="0" fontId="7" fillId="13" borderId="30" xfId="0" applyFont="1" applyFill="1" applyBorder="1"/>
    <xf numFmtId="0" fontId="47" fillId="42" borderId="0" xfId="0" applyFont="1" applyFill="1" applyAlignment="1">
      <alignment wrapText="1"/>
    </xf>
    <xf numFmtId="0" fontId="47" fillId="43" borderId="0" xfId="0" applyFont="1" applyFill="1" applyAlignment="1">
      <alignment wrapText="1"/>
    </xf>
    <xf numFmtId="0" fontId="47" fillId="42" borderId="13" xfId="0" applyFont="1" applyFill="1" applyBorder="1" applyAlignment="1">
      <alignment wrapText="1"/>
    </xf>
    <xf numFmtId="0" fontId="47" fillId="43" borderId="13" xfId="0" applyFont="1" applyFill="1" applyBorder="1" applyAlignment="1">
      <alignment wrapText="1"/>
    </xf>
    <xf numFmtId="0" fontId="47" fillId="42" borderId="14" xfId="0" applyFont="1" applyFill="1" applyBorder="1" applyAlignment="1">
      <alignment wrapText="1"/>
    </xf>
    <xf numFmtId="0" fontId="47" fillId="43" borderId="14" xfId="0" applyFont="1" applyFill="1" applyBorder="1" applyAlignment="1">
      <alignment wrapText="1"/>
    </xf>
    <xf numFmtId="0" fontId="47" fillId="0" borderId="69" xfId="0" applyFont="1" applyBorder="1" applyAlignment="1">
      <alignment horizontal="center"/>
    </xf>
    <xf numFmtId="0" fontId="47" fillId="3" borderId="69" xfId="0" applyFont="1" applyFill="1" applyBorder="1" applyAlignment="1">
      <alignment horizontal="center"/>
    </xf>
    <xf numFmtId="1" fontId="50" fillId="0" borderId="69" xfId="0" applyNumberFormat="1" applyFont="1" applyBorder="1" applyAlignment="1">
      <alignment horizontal="center"/>
    </xf>
    <xf numFmtId="167" fontId="50" fillId="0" borderId="69" xfId="0" applyNumberFormat="1" applyFont="1" applyBorder="1" applyAlignment="1">
      <alignment horizontal="center"/>
    </xf>
    <xf numFmtId="1" fontId="47" fillId="0" borderId="69" xfId="0" applyNumberFormat="1" applyFont="1" applyBorder="1" applyAlignment="1">
      <alignment horizontal="center"/>
    </xf>
    <xf numFmtId="9" fontId="47" fillId="0" borderId="69" xfId="29" applyFont="1" applyFill="1" applyBorder="1" applyAlignment="1">
      <alignment horizontal="center"/>
    </xf>
    <xf numFmtId="0" fontId="47" fillId="0" borderId="70" xfId="0" applyFont="1" applyBorder="1"/>
    <xf numFmtId="0" fontId="47" fillId="0" borderId="71" xfId="0" applyFont="1" applyBorder="1" applyAlignment="1">
      <alignment horizontal="center"/>
    </xf>
    <xf numFmtId="0" fontId="47" fillId="3" borderId="71" xfId="0" applyFont="1" applyFill="1" applyBorder="1" applyAlignment="1">
      <alignment horizontal="center"/>
    </xf>
    <xf numFmtId="9" fontId="47" fillId="28" borderId="71" xfId="29" applyFont="1" applyFill="1" applyBorder="1" applyAlignment="1">
      <alignment horizontal="center"/>
    </xf>
    <xf numFmtId="1" fontId="50" fillId="0" borderId="71" xfId="0" applyNumberFormat="1" applyFont="1" applyBorder="1" applyAlignment="1">
      <alignment horizontal="center"/>
    </xf>
    <xf numFmtId="167" fontId="50" fillId="0" borderId="71" xfId="0" applyNumberFormat="1" applyFont="1" applyBorder="1" applyAlignment="1">
      <alignment horizontal="center"/>
    </xf>
    <xf numFmtId="1" fontId="47" fillId="0" borderId="71" xfId="0" applyNumberFormat="1" applyFont="1" applyBorder="1" applyAlignment="1">
      <alignment horizontal="center"/>
    </xf>
    <xf numFmtId="9" fontId="50" fillId="0" borderId="72" xfId="0" applyNumberFormat="1" applyFont="1" applyBorder="1" applyAlignment="1">
      <alignment horizontal="center"/>
    </xf>
    <xf numFmtId="0" fontId="47" fillId="0" borderId="73" xfId="0" applyFont="1" applyBorder="1"/>
    <xf numFmtId="0" fontId="47" fillId="0" borderId="74" xfId="0" applyFont="1" applyBorder="1" applyAlignment="1">
      <alignment horizontal="center"/>
    </xf>
    <xf numFmtId="0" fontId="47" fillId="3" borderId="74" xfId="0" applyFont="1" applyFill="1" applyBorder="1" applyAlignment="1">
      <alignment horizontal="center"/>
    </xf>
    <xf numFmtId="9" fontId="47" fillId="0" borderId="74" xfId="29" applyFont="1" applyFill="1" applyBorder="1" applyAlignment="1">
      <alignment horizontal="center"/>
    </xf>
    <xf numFmtId="1" fontId="50" fillId="0" borderId="74" xfId="0" applyNumberFormat="1" applyFont="1" applyBorder="1" applyAlignment="1">
      <alignment horizontal="center"/>
    </xf>
    <xf numFmtId="167" fontId="50" fillId="0" borderId="74" xfId="0" applyNumberFormat="1" applyFont="1" applyBorder="1" applyAlignment="1">
      <alignment horizontal="center"/>
    </xf>
    <xf numFmtId="1" fontId="47" fillId="0" borderId="74" xfId="0" applyNumberFormat="1" applyFont="1" applyBorder="1" applyAlignment="1">
      <alignment horizontal="center"/>
    </xf>
    <xf numFmtId="0" fontId="47" fillId="0" borderId="74" xfId="0" applyFont="1" applyBorder="1" applyAlignment="1">
      <alignment horizontal="center" vertical="center"/>
    </xf>
    <xf numFmtId="9" fontId="50" fillId="0" borderId="75" xfId="0" applyNumberFormat="1" applyFont="1" applyBorder="1" applyAlignment="1">
      <alignment horizontal="center"/>
    </xf>
    <xf numFmtId="0" fontId="47" fillId="0" borderId="76" xfId="0" applyFont="1" applyBorder="1"/>
    <xf numFmtId="0" fontId="47" fillId="0" borderId="77" xfId="0" applyFont="1" applyBorder="1" applyAlignment="1">
      <alignment horizontal="center"/>
    </xf>
    <xf numFmtId="0" fontId="47" fillId="3" borderId="77" xfId="0" applyFont="1" applyFill="1" applyBorder="1" applyAlignment="1">
      <alignment horizontal="center"/>
    </xf>
    <xf numFmtId="9" fontId="47" fillId="0" borderId="77" xfId="29" applyFont="1" applyFill="1" applyBorder="1" applyAlignment="1">
      <alignment horizontal="center"/>
    </xf>
    <xf numFmtId="1" fontId="50" fillId="0" borderId="77" xfId="0" applyNumberFormat="1" applyFont="1" applyBorder="1" applyAlignment="1">
      <alignment horizontal="center"/>
    </xf>
    <xf numFmtId="167" fontId="50" fillId="0" borderId="77" xfId="0" applyNumberFormat="1" applyFont="1" applyBorder="1" applyAlignment="1">
      <alignment horizontal="center"/>
    </xf>
    <xf numFmtId="1" fontId="47" fillId="0" borderId="77" xfId="0" applyNumberFormat="1" applyFont="1" applyBorder="1" applyAlignment="1">
      <alignment horizontal="center"/>
    </xf>
    <xf numFmtId="9" fontId="47" fillId="0" borderId="71" xfId="29" applyFont="1" applyFill="1" applyBorder="1" applyAlignment="1">
      <alignment horizontal="center"/>
    </xf>
    <xf numFmtId="0" fontId="47" fillId="0" borderId="78" xfId="0" applyFont="1" applyBorder="1"/>
    <xf numFmtId="9" fontId="50" fillId="0" borderId="79" xfId="0" applyNumberFormat="1" applyFont="1" applyBorder="1" applyAlignment="1">
      <alignment horizontal="center"/>
    </xf>
    <xf numFmtId="9" fontId="50" fillId="0" borderId="80" xfId="0" applyNumberFormat="1" applyFont="1" applyBorder="1" applyAlignment="1">
      <alignment horizontal="center"/>
    </xf>
    <xf numFmtId="9" fontId="50" fillId="0" borderId="81" xfId="0" applyNumberFormat="1" applyFont="1" applyBorder="1" applyAlignment="1">
      <alignment horizontal="center"/>
    </xf>
    <xf numFmtId="9" fontId="50" fillId="0" borderId="39" xfId="0" applyNumberFormat="1" applyFont="1" applyBorder="1" applyAlignment="1">
      <alignment horizontal="center"/>
    </xf>
    <xf numFmtId="9" fontId="50" fillId="0" borderId="82" xfId="0" applyNumberFormat="1" applyFont="1" applyBorder="1" applyAlignment="1">
      <alignment horizontal="center"/>
    </xf>
    <xf numFmtId="9" fontId="47" fillId="6" borderId="69" xfId="29" applyFont="1" applyFill="1" applyBorder="1" applyAlignment="1">
      <alignment horizontal="center"/>
    </xf>
    <xf numFmtId="9" fontId="69" fillId="6" borderId="71" xfId="29" applyFont="1" applyFill="1" applyBorder="1" applyAlignment="1">
      <alignment horizontal="center"/>
    </xf>
    <xf numFmtId="9" fontId="47" fillId="6" borderId="77" xfId="29" applyFont="1" applyFill="1" applyBorder="1" applyAlignment="1">
      <alignment horizontal="center"/>
    </xf>
    <xf numFmtId="0" fontId="47" fillId="9" borderId="71" xfId="0" applyFont="1" applyFill="1" applyBorder="1" applyAlignment="1">
      <alignment horizontal="center"/>
    </xf>
    <xf numFmtId="9" fontId="69" fillId="0" borderId="71" xfId="29" applyFont="1" applyFill="1" applyBorder="1" applyAlignment="1">
      <alignment horizontal="center"/>
    </xf>
    <xf numFmtId="9" fontId="69" fillId="0" borderId="77" xfId="29" applyFont="1" applyFill="1" applyBorder="1" applyAlignment="1">
      <alignment horizontal="center"/>
    </xf>
    <xf numFmtId="9" fontId="47" fillId="6" borderId="71" xfId="29" applyFont="1" applyFill="1" applyBorder="1" applyAlignment="1">
      <alignment horizontal="center"/>
    </xf>
    <xf numFmtId="0" fontId="48" fillId="0" borderId="0" xfId="0" applyFont="1" applyAlignment="1">
      <alignment horizontal="center" wrapText="1"/>
    </xf>
    <xf numFmtId="0" fontId="47" fillId="0" borderId="73" xfId="0" applyFont="1" applyBorder="1" applyAlignment="1">
      <alignment wrapText="1"/>
    </xf>
    <xf numFmtId="1" fontId="0" fillId="0" borderId="0" xfId="0" applyNumberFormat="1" applyAlignment="1">
      <alignment horizontal="right"/>
    </xf>
    <xf numFmtId="0" fontId="81" fillId="0" borderId="74" xfId="0" applyFont="1" applyBorder="1" applyAlignment="1">
      <alignment horizontal="center" wrapText="1"/>
    </xf>
    <xf numFmtId="0" fontId="47" fillId="0" borderId="84" xfId="0" applyFont="1" applyBorder="1"/>
    <xf numFmtId="0" fontId="47" fillId="0" borderId="85" xfId="0" applyFont="1" applyBorder="1" applyAlignment="1">
      <alignment horizontal="center"/>
    </xf>
    <xf numFmtId="0" fontId="47" fillId="3" borderId="85" xfId="0" applyFont="1" applyFill="1" applyBorder="1" applyAlignment="1">
      <alignment horizontal="center"/>
    </xf>
    <xf numFmtId="9" fontId="47" fillId="0" borderId="85" xfId="29" applyFont="1" applyFill="1" applyBorder="1" applyAlignment="1">
      <alignment horizontal="center"/>
    </xf>
    <xf numFmtId="1" fontId="50" fillId="0" borderId="85" xfId="0" applyNumberFormat="1" applyFont="1" applyBorder="1" applyAlignment="1">
      <alignment horizontal="center"/>
    </xf>
    <xf numFmtId="167" fontId="50" fillId="0" borderId="85" xfId="0" applyNumberFormat="1" applyFont="1" applyBorder="1" applyAlignment="1">
      <alignment horizontal="center"/>
    </xf>
    <xf numFmtId="1" fontId="47" fillId="0" borderId="85" xfId="0" applyNumberFormat="1" applyFont="1" applyBorder="1" applyAlignment="1">
      <alignment horizontal="center"/>
    </xf>
    <xf numFmtId="9" fontId="50" fillId="0" borderId="86" xfId="0" applyNumberFormat="1" applyFont="1" applyBorder="1" applyAlignment="1">
      <alignment horizontal="center"/>
    </xf>
    <xf numFmtId="9" fontId="69" fillId="0" borderId="74" xfId="29" applyFont="1" applyFill="1" applyBorder="1" applyAlignment="1">
      <alignment horizontal="center"/>
    </xf>
    <xf numFmtId="9" fontId="69" fillId="6" borderId="85" xfId="29" applyFont="1" applyFill="1" applyBorder="1" applyAlignment="1">
      <alignment horizontal="center"/>
    </xf>
    <xf numFmtId="9" fontId="50" fillId="0" borderId="87" xfId="0" applyNumberFormat="1" applyFont="1" applyBorder="1" applyAlignment="1">
      <alignment horizontal="center"/>
    </xf>
    <xf numFmtId="177" fontId="47" fillId="0" borderId="77" xfId="0" applyNumberFormat="1" applyFont="1" applyBorder="1" applyAlignment="1">
      <alignment horizontal="center" vertical="center"/>
    </xf>
    <xf numFmtId="177" fontId="47" fillId="0" borderId="74" xfId="0" applyNumberFormat="1" applyFont="1" applyBorder="1" applyAlignment="1">
      <alignment horizontal="center" vertical="center"/>
    </xf>
    <xf numFmtId="177" fontId="47" fillId="0" borderId="85" xfId="0" applyNumberFormat="1" applyFont="1" applyBorder="1" applyAlignment="1">
      <alignment horizontal="center" vertical="center"/>
    </xf>
    <xf numFmtId="0" fontId="48" fillId="49" borderId="42" xfId="0" applyFont="1" applyFill="1" applyBorder="1" applyAlignment="1">
      <alignment wrapText="1"/>
    </xf>
    <xf numFmtId="0" fontId="85" fillId="50" borderId="42" xfId="0" applyFont="1" applyFill="1" applyBorder="1" applyAlignment="1">
      <alignment wrapText="1"/>
    </xf>
    <xf numFmtId="0" fontId="1" fillId="0" borderId="0" xfId="138"/>
    <xf numFmtId="0" fontId="1" fillId="9" borderId="0" xfId="138" applyFill="1"/>
    <xf numFmtId="0" fontId="73" fillId="0" borderId="0" xfId="138" applyFont="1"/>
    <xf numFmtId="0" fontId="1" fillId="0" borderId="0" xfId="138" applyAlignment="1">
      <alignment horizontal="right"/>
    </xf>
    <xf numFmtId="0" fontId="47" fillId="45" borderId="38" xfId="0" applyFont="1" applyFill="1" applyBorder="1" applyAlignment="1">
      <alignment wrapText="1"/>
    </xf>
    <xf numFmtId="0" fontId="47" fillId="43" borderId="39" xfId="0" applyFont="1" applyFill="1" applyBorder="1" applyAlignment="1">
      <alignment wrapText="1"/>
    </xf>
    <xf numFmtId="0" fontId="47" fillId="45" borderId="40" xfId="0" applyFont="1" applyFill="1" applyBorder="1" applyAlignment="1">
      <alignment wrapText="1"/>
    </xf>
    <xf numFmtId="0" fontId="47" fillId="43" borderId="17" xfId="0" applyFont="1" applyFill="1" applyBorder="1" applyAlignment="1">
      <alignment wrapText="1"/>
    </xf>
    <xf numFmtId="0" fontId="7" fillId="0" borderId="4" xfId="0" applyFont="1" applyBorder="1"/>
    <xf numFmtId="0" fontId="7" fillId="0" borderId="5" xfId="0" applyFont="1" applyBorder="1"/>
    <xf numFmtId="0" fontId="7" fillId="0" borderId="28" xfId="0" applyFont="1" applyBorder="1"/>
    <xf numFmtId="0" fontId="0" fillId="0" borderId="6" xfId="0" applyBorder="1"/>
    <xf numFmtId="0" fontId="5" fillId="0" borderId="29" xfId="0" quotePrefix="1" applyFont="1" applyBorder="1" applyAlignment="1">
      <alignment horizontal="center"/>
    </xf>
    <xf numFmtId="0" fontId="5" fillId="0" borderId="0" xfId="0" quotePrefix="1" applyFont="1" applyAlignment="1">
      <alignment horizontal="center"/>
    </xf>
    <xf numFmtId="1" fontId="0" fillId="0" borderId="1" xfId="0" quotePrefix="1" applyNumberFormat="1" applyBorder="1" applyAlignment="1">
      <alignment horizontal="center"/>
    </xf>
    <xf numFmtId="1" fontId="0" fillId="0" borderId="29" xfId="0" quotePrefix="1" applyNumberFormat="1" applyBorder="1" applyAlignment="1">
      <alignment horizontal="center"/>
    </xf>
    <xf numFmtId="0" fontId="0" fillId="0" borderId="7" xfId="0" applyBorder="1"/>
    <xf numFmtId="1" fontId="0" fillId="0" borderId="8" xfId="0" quotePrefix="1" applyNumberFormat="1" applyBorder="1" applyAlignment="1">
      <alignment horizontal="center"/>
    </xf>
    <xf numFmtId="1" fontId="0" fillId="0" borderId="8" xfId="0" applyNumberFormat="1" applyBorder="1" applyAlignment="1">
      <alignment horizontal="center"/>
    </xf>
    <xf numFmtId="0" fontId="5" fillId="0" borderId="29" xfId="0" applyFont="1" applyBorder="1" applyAlignment="1">
      <alignment horizontal="center"/>
    </xf>
    <xf numFmtId="0" fontId="7" fillId="13" borderId="89" xfId="0" applyFont="1" applyFill="1" applyBorder="1" applyAlignment="1">
      <alignment horizontal="center"/>
    </xf>
    <xf numFmtId="0" fontId="7" fillId="13" borderId="42" xfId="0" applyFont="1" applyFill="1" applyBorder="1" applyAlignment="1">
      <alignment horizontal="center"/>
    </xf>
    <xf numFmtId="0" fontId="7" fillId="15" borderId="42" xfId="0" applyFont="1" applyFill="1" applyBorder="1" applyAlignment="1">
      <alignment horizontal="center"/>
    </xf>
    <xf numFmtId="1" fontId="7" fillId="14" borderId="42" xfId="0" applyNumberFormat="1" applyFont="1" applyFill="1" applyBorder="1" applyAlignment="1">
      <alignment horizontal="center"/>
    </xf>
    <xf numFmtId="1" fontId="7" fillId="14" borderId="18" xfId="0" applyNumberFormat="1" applyFont="1" applyFill="1" applyBorder="1" applyAlignment="1">
      <alignment horizontal="center"/>
    </xf>
    <xf numFmtId="0" fontId="0" fillId="13" borderId="37" xfId="0" applyFill="1" applyBorder="1" applyAlignment="1">
      <alignment horizontal="center"/>
    </xf>
    <xf numFmtId="0" fontId="0" fillId="13" borderId="13" xfId="0" applyFill="1" applyBorder="1" applyAlignment="1">
      <alignment horizontal="center"/>
    </xf>
    <xf numFmtId="2" fontId="0" fillId="15" borderId="13" xfId="0" applyNumberFormat="1" applyFill="1" applyBorder="1" applyAlignment="1">
      <alignment horizontal="center"/>
    </xf>
    <xf numFmtId="167" fontId="0" fillId="15" borderId="13" xfId="0" applyNumberFormat="1" applyFill="1" applyBorder="1" applyAlignment="1">
      <alignment horizontal="center"/>
    </xf>
    <xf numFmtId="1" fontId="0" fillId="14" borderId="13" xfId="0" applyNumberFormat="1" applyFill="1" applyBorder="1" applyAlignment="1">
      <alignment horizontal="center"/>
    </xf>
    <xf numFmtId="167" fontId="0" fillId="14" borderId="13" xfId="0" applyNumberFormat="1" applyFill="1" applyBorder="1" applyAlignment="1">
      <alignment horizontal="center"/>
    </xf>
    <xf numFmtId="167" fontId="0" fillId="14" borderId="41" xfId="0" applyNumberFormat="1" applyFill="1" applyBorder="1" applyAlignment="1">
      <alignment horizontal="center"/>
    </xf>
    <xf numFmtId="0" fontId="0" fillId="13" borderId="38" xfId="0" applyFill="1" applyBorder="1" applyAlignment="1">
      <alignment horizontal="center"/>
    </xf>
    <xf numFmtId="167" fontId="0" fillId="14" borderId="39" xfId="0" applyNumberFormat="1" applyFill="1" applyBorder="1" applyAlignment="1">
      <alignment horizontal="center"/>
    </xf>
    <xf numFmtId="0" fontId="0" fillId="13" borderId="40" xfId="0" applyFill="1" applyBorder="1" applyAlignment="1">
      <alignment horizontal="center"/>
    </xf>
    <xf numFmtId="0" fontId="0" fillId="13" borderId="14" xfId="0" applyFill="1" applyBorder="1" applyAlignment="1">
      <alignment horizontal="center"/>
    </xf>
    <xf numFmtId="2" fontId="0" fillId="15" borderId="14" xfId="0" applyNumberFormat="1" applyFill="1" applyBorder="1" applyAlignment="1">
      <alignment horizontal="center"/>
    </xf>
    <xf numFmtId="167" fontId="0" fillId="15" borderId="14" xfId="0" applyNumberFormat="1" applyFill="1" applyBorder="1" applyAlignment="1">
      <alignment horizontal="center"/>
    </xf>
    <xf numFmtId="1" fontId="0" fillId="14" borderId="14" xfId="0" applyNumberFormat="1" applyFill="1" applyBorder="1" applyAlignment="1">
      <alignment horizontal="center"/>
    </xf>
    <xf numFmtId="167" fontId="0" fillId="14" borderId="14" xfId="0" applyNumberFormat="1" applyFill="1" applyBorder="1" applyAlignment="1">
      <alignment horizontal="center"/>
    </xf>
    <xf numFmtId="167" fontId="0" fillId="14" borderId="17" xfId="0" applyNumberFormat="1" applyFill="1" applyBorder="1" applyAlignment="1">
      <alignment horizontal="center"/>
    </xf>
    <xf numFmtId="0" fontId="47" fillId="17" borderId="13" xfId="0" applyFont="1" applyFill="1" applyBorder="1" applyAlignment="1">
      <alignment horizontal="left" wrapText="1"/>
    </xf>
    <xf numFmtId="0" fontId="47" fillId="0" borderId="27" xfId="0" applyFont="1" applyBorder="1" applyAlignment="1">
      <alignment horizontal="center" vertical="center"/>
    </xf>
    <xf numFmtId="1" fontId="0" fillId="0" borderId="30" xfId="0" quotePrefix="1" applyNumberFormat="1" applyBorder="1" applyAlignment="1">
      <alignment horizontal="center"/>
    </xf>
    <xf numFmtId="1" fontId="9" fillId="17" borderId="0" xfId="0" applyNumberFormat="1" applyFont="1" applyFill="1" applyAlignment="1">
      <alignment horizontal="center"/>
    </xf>
    <xf numFmtId="0" fontId="10" fillId="37" borderId="40" xfId="0" applyFont="1" applyFill="1" applyBorder="1" applyAlignment="1">
      <alignment horizontal="center"/>
    </xf>
    <xf numFmtId="1" fontId="9" fillId="37" borderId="14" xfId="0" applyNumberFormat="1" applyFont="1" applyFill="1" applyBorder="1" applyAlignment="1">
      <alignment horizontal="center"/>
    </xf>
    <xf numFmtId="1" fontId="9" fillId="37" borderId="17" xfId="0" applyNumberFormat="1" applyFont="1" applyFill="1" applyBorder="1" applyAlignment="1">
      <alignment horizontal="center"/>
    </xf>
    <xf numFmtId="2" fontId="0" fillId="15" borderId="0" xfId="0" applyNumberFormat="1" applyFill="1" applyAlignment="1">
      <alignment horizontal="center"/>
    </xf>
    <xf numFmtId="0" fontId="5" fillId="0" borderId="30" xfId="0" quotePrefix="1" applyFont="1" applyBorder="1" applyAlignment="1">
      <alignment horizontal="center"/>
    </xf>
    <xf numFmtId="0" fontId="5" fillId="0" borderId="30" xfId="0" applyFont="1" applyBorder="1" applyAlignment="1">
      <alignment horizontal="center"/>
    </xf>
    <xf numFmtId="0" fontId="0" fillId="13" borderId="0" xfId="0" applyFill="1" applyAlignment="1">
      <alignment horizontal="center"/>
    </xf>
    <xf numFmtId="167" fontId="0" fillId="15" borderId="0" xfId="0" applyNumberFormat="1" applyFill="1" applyAlignment="1">
      <alignment horizontal="center"/>
    </xf>
    <xf numFmtId="1" fontId="0" fillId="14" borderId="0" xfId="0" applyNumberFormat="1" applyFill="1" applyAlignment="1">
      <alignment horizontal="center"/>
    </xf>
    <xf numFmtId="167" fontId="0" fillId="14" borderId="0" xfId="0" applyNumberFormat="1" applyFill="1" applyAlignment="1">
      <alignment horizontal="center"/>
    </xf>
    <xf numFmtId="0" fontId="47" fillId="43" borderId="0" xfId="0" applyFont="1" applyFill="1" applyAlignment="1">
      <alignment horizontal="center" wrapText="1"/>
    </xf>
    <xf numFmtId="0" fontId="47" fillId="43" borderId="13" xfId="0" applyFont="1" applyFill="1" applyBorder="1" applyAlignment="1">
      <alignment horizontal="center" vertical="center" wrapText="1"/>
    </xf>
    <xf numFmtId="0" fontId="47" fillId="43" borderId="0" xfId="0" applyFont="1" applyFill="1" applyAlignment="1">
      <alignment horizontal="center" vertical="center" wrapText="1"/>
    </xf>
    <xf numFmtId="0" fontId="47" fillId="43" borderId="13" xfId="0" applyFont="1" applyFill="1" applyBorder="1" applyAlignment="1">
      <alignment horizontal="center" wrapText="1"/>
    </xf>
    <xf numFmtId="9" fontId="47" fillId="6" borderId="25" xfId="29" applyFont="1" applyFill="1" applyBorder="1" applyAlignment="1">
      <alignment horizontal="center"/>
    </xf>
    <xf numFmtId="1" fontId="47" fillId="6" borderId="9" xfId="0" applyNumberFormat="1" applyFont="1" applyFill="1" applyBorder="1" applyAlignment="1">
      <alignment horizontal="center"/>
    </xf>
    <xf numFmtId="9" fontId="47" fillId="0" borderId="25" xfId="0" applyNumberFormat="1" applyFont="1" applyBorder="1" applyAlignment="1">
      <alignment horizontal="center"/>
    </xf>
    <xf numFmtId="0" fontId="47" fillId="0" borderId="25" xfId="0" applyFont="1" applyBorder="1" applyAlignment="1">
      <alignment horizontal="center" vertical="center"/>
    </xf>
    <xf numFmtId="0" fontId="47" fillId="0" borderId="25" xfId="0" applyFont="1" applyBorder="1" applyAlignment="1">
      <alignment horizontal="center"/>
    </xf>
    <xf numFmtId="1" fontId="47" fillId="0" borderId="25" xfId="0" applyNumberFormat="1" applyFont="1" applyBorder="1" applyAlignment="1">
      <alignment horizontal="center"/>
    </xf>
    <xf numFmtId="0" fontId="47" fillId="17" borderId="0" xfId="0" applyFont="1" applyFill="1" applyAlignment="1">
      <alignment horizontal="left" wrapText="1"/>
    </xf>
    <xf numFmtId="0" fontId="47" fillId="3" borderId="25" xfId="0" applyFont="1" applyFill="1" applyBorder="1" applyAlignment="1">
      <alignment horizontal="center"/>
    </xf>
    <xf numFmtId="1" fontId="50" fillId="0" borderId="25" xfId="0" applyNumberFormat="1" applyFont="1" applyBorder="1" applyAlignment="1">
      <alignment horizontal="center"/>
    </xf>
    <xf numFmtId="167" fontId="50" fillId="0" borderId="25" xfId="0" applyNumberFormat="1" applyFont="1" applyBorder="1" applyAlignment="1">
      <alignment horizontal="center"/>
    </xf>
    <xf numFmtId="0" fontId="47" fillId="0" borderId="61" xfId="0" applyFont="1" applyBorder="1" applyAlignment="1">
      <alignment horizontal="center"/>
    </xf>
    <xf numFmtId="0" fontId="52" fillId="42" borderId="0" xfId="0" applyFont="1" applyFill="1" applyAlignment="1">
      <alignment wrapText="1"/>
    </xf>
    <xf numFmtId="0" fontId="5" fillId="0" borderId="39" xfId="0" applyFont="1" applyBorder="1"/>
    <xf numFmtId="0" fontId="88" fillId="0" borderId="0" xfId="138" applyFont="1"/>
    <xf numFmtId="0" fontId="0" fillId="25" borderId="20" xfId="0" applyFill="1" applyBorder="1"/>
    <xf numFmtId="2" fontId="0" fillId="25" borderId="20" xfId="0" applyNumberFormat="1" applyFill="1" applyBorder="1" applyAlignment="1">
      <alignment horizontal="center"/>
    </xf>
    <xf numFmtId="0" fontId="0" fillId="25" borderId="20" xfId="0" applyFill="1" applyBorder="1" applyAlignment="1">
      <alignment horizontal="center"/>
    </xf>
    <xf numFmtId="17" fontId="0" fillId="0" borderId="20" xfId="0" applyNumberFormat="1" applyBorder="1" applyAlignment="1">
      <alignment horizontal="center"/>
    </xf>
    <xf numFmtId="0" fontId="0" fillId="25" borderId="19" xfId="0" applyFill="1" applyBorder="1"/>
    <xf numFmtId="2" fontId="0" fillId="25" borderId="19" xfId="0" applyNumberFormat="1" applyFill="1" applyBorder="1" applyAlignment="1">
      <alignment horizontal="center"/>
    </xf>
    <xf numFmtId="0" fontId="0" fillId="25" borderId="19" xfId="0" applyFill="1" applyBorder="1" applyAlignment="1">
      <alignment horizontal="center"/>
    </xf>
    <xf numFmtId="17" fontId="0" fillId="0" borderId="19" xfId="0" applyNumberFormat="1" applyBorder="1" applyAlignment="1">
      <alignment horizontal="center"/>
    </xf>
    <xf numFmtId="0" fontId="0" fillId="24" borderId="20" xfId="0" applyFill="1" applyBorder="1"/>
    <xf numFmtId="2" fontId="0" fillId="24" borderId="20" xfId="0" applyNumberFormat="1" applyFill="1" applyBorder="1" applyAlignment="1">
      <alignment horizontal="center"/>
    </xf>
    <xf numFmtId="0" fontId="0" fillId="24" borderId="20" xfId="0" applyFill="1" applyBorder="1" applyAlignment="1">
      <alignment horizontal="center"/>
    </xf>
    <xf numFmtId="17" fontId="5" fillId="0" borderId="20" xfId="0" applyNumberFormat="1" applyFont="1" applyBorder="1" applyAlignment="1">
      <alignment horizontal="center"/>
    </xf>
    <xf numFmtId="17" fontId="0" fillId="41" borderId="20" xfId="0" applyNumberFormat="1" applyFill="1" applyBorder="1" applyAlignment="1">
      <alignment horizontal="center"/>
    </xf>
    <xf numFmtId="0" fontId="0" fillId="24" borderId="19" xfId="0" applyFill="1" applyBorder="1"/>
    <xf numFmtId="2" fontId="0" fillId="24" borderId="19" xfId="0" applyNumberFormat="1" applyFill="1" applyBorder="1" applyAlignment="1">
      <alignment horizontal="center"/>
    </xf>
    <xf numFmtId="0" fontId="0" fillId="24" borderId="19" xfId="0" applyFill="1" applyBorder="1" applyAlignment="1">
      <alignment horizontal="center"/>
    </xf>
    <xf numFmtId="0" fontId="52" fillId="0" borderId="0" xfId="0" applyFont="1" applyAlignment="1">
      <alignment horizontal="left"/>
    </xf>
    <xf numFmtId="9" fontId="47" fillId="0" borderId="0" xfId="29" applyFont="1" applyFill="1" applyBorder="1" applyAlignment="1">
      <alignment horizontal="center"/>
    </xf>
    <xf numFmtId="9" fontId="47" fillId="0" borderId="0" xfId="29" applyFont="1" applyFill="1" applyBorder="1" applyAlignment="1">
      <alignment horizontal="center" vertical="center"/>
    </xf>
    <xf numFmtId="9" fontId="47" fillId="0" borderId="0" xfId="29" applyFont="1" applyBorder="1" applyAlignment="1">
      <alignment horizontal="center" vertical="center"/>
    </xf>
    <xf numFmtId="0" fontId="47" fillId="0" borderId="0" xfId="0" applyFont="1" applyAlignment="1">
      <alignment horizontal="center" vertical="center" wrapText="1"/>
    </xf>
    <xf numFmtId="9" fontId="50" fillId="0" borderId="24" xfId="0" applyNumberFormat="1" applyFont="1" applyBorder="1" applyAlignment="1">
      <alignment horizontal="center"/>
    </xf>
    <xf numFmtId="9" fontId="50" fillId="0" borderId="45" xfId="0" applyNumberFormat="1" applyFont="1" applyBorder="1" applyAlignment="1">
      <alignment horizontal="center"/>
    </xf>
    <xf numFmtId="9" fontId="50" fillId="0" borderId="44" xfId="0" applyNumberFormat="1" applyFont="1" applyBorder="1" applyAlignment="1">
      <alignment horizontal="center"/>
    </xf>
    <xf numFmtId="0" fontId="47" fillId="43" borderId="14" xfId="0" applyFont="1" applyFill="1" applyBorder="1" applyAlignment="1">
      <alignment horizontal="center" vertical="center" wrapText="1"/>
    </xf>
    <xf numFmtId="166" fontId="0" fillId="0" borderId="0" xfId="0" applyNumberFormat="1"/>
    <xf numFmtId="0" fontId="70" fillId="17" borderId="0" xfId="0" applyFont="1" applyFill="1" applyAlignment="1">
      <alignment horizontal="left" wrapText="1"/>
    </xf>
    <xf numFmtId="9" fontId="47" fillId="8" borderId="14" xfId="0" applyNumberFormat="1" applyFont="1" applyFill="1" applyBorder="1" applyAlignment="1">
      <alignment horizontal="center" vertical="center"/>
    </xf>
    <xf numFmtId="0" fontId="5" fillId="0" borderId="0" xfId="0" applyFont="1" applyAlignment="1">
      <alignment horizontal="center" vertical="center"/>
    </xf>
    <xf numFmtId="167" fontId="81" fillId="0" borderId="0" xfId="0" applyNumberFormat="1" applyFont="1" applyAlignment="1">
      <alignment horizontal="center"/>
    </xf>
    <xf numFmtId="0" fontId="0" fillId="0" borderId="56" xfId="0" applyBorder="1"/>
    <xf numFmtId="0" fontId="5" fillId="0" borderId="56" xfId="0" applyFont="1" applyBorder="1"/>
    <xf numFmtId="0" fontId="5" fillId="0" borderId="57" xfId="0" applyFont="1" applyBorder="1"/>
    <xf numFmtId="1" fontId="0" fillId="0" borderId="58" xfId="0" applyNumberFormat="1" applyBorder="1"/>
    <xf numFmtId="17" fontId="0" fillId="0" borderId="59" xfId="0" applyNumberFormat="1" applyBorder="1"/>
    <xf numFmtId="1" fontId="0" fillId="0" borderId="59" xfId="0" applyNumberFormat="1" applyBorder="1"/>
    <xf numFmtId="1" fontId="0" fillId="0" borderId="60" xfId="0" applyNumberFormat="1" applyBorder="1"/>
    <xf numFmtId="0" fontId="47" fillId="0" borderId="91" xfId="0" applyFont="1" applyBorder="1" applyAlignment="1">
      <alignment horizontal="center" vertical="center"/>
    </xf>
    <xf numFmtId="0" fontId="47" fillId="0" borderId="92" xfId="0" applyFont="1" applyBorder="1" applyAlignment="1">
      <alignment horizontal="center" vertical="center"/>
    </xf>
    <xf numFmtId="0" fontId="47" fillId="0" borderId="93" xfId="0" applyFont="1" applyBorder="1" applyAlignment="1">
      <alignment horizontal="center" vertical="center"/>
    </xf>
    <xf numFmtId="0" fontId="47" fillId="0" borderId="94" xfId="0" applyFont="1" applyBorder="1" applyAlignment="1">
      <alignment horizontal="center" vertical="center"/>
    </xf>
    <xf numFmtId="0" fontId="47" fillId="0" borderId="95" xfId="0" applyFont="1" applyBorder="1" applyAlignment="1">
      <alignment horizontal="center" vertical="center"/>
    </xf>
    <xf numFmtId="9" fontId="69" fillId="6" borderId="74" xfId="29" applyFont="1" applyFill="1" applyBorder="1" applyAlignment="1">
      <alignment horizontal="center"/>
    </xf>
    <xf numFmtId="0" fontId="47" fillId="0" borderId="59" xfId="0" applyFont="1" applyBorder="1"/>
    <xf numFmtId="0" fontId="81" fillId="18" borderId="14" xfId="0" applyFont="1" applyFill="1" applyBorder="1" applyAlignment="1">
      <alignment horizontal="center" wrapText="1"/>
    </xf>
    <xf numFmtId="0" fontId="47" fillId="17" borderId="59" xfId="0" applyFont="1" applyFill="1" applyBorder="1" applyAlignment="1">
      <alignment wrapText="1"/>
    </xf>
    <xf numFmtId="0" fontId="81" fillId="17" borderId="14" xfId="0" applyFont="1" applyFill="1" applyBorder="1" applyAlignment="1">
      <alignment wrapText="1"/>
    </xf>
    <xf numFmtId="167" fontId="47" fillId="0" borderId="77" xfId="0" applyNumberFormat="1" applyFont="1" applyBorder="1" applyAlignment="1">
      <alignment horizontal="center" vertical="center"/>
    </xf>
    <xf numFmtId="0" fontId="47" fillId="0" borderId="35" xfId="0" applyFont="1" applyBorder="1" applyAlignment="1">
      <alignment horizontal="center" vertical="center" wrapText="1"/>
    </xf>
    <xf numFmtId="0" fontId="48" fillId="0" borderId="1" xfId="0" applyFont="1" applyBorder="1" applyAlignment="1">
      <alignment horizont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0" fontId="47" fillId="0" borderId="51" xfId="0" applyFont="1" applyBorder="1" applyAlignment="1">
      <alignment horizontal="center"/>
    </xf>
    <xf numFmtId="177" fontId="47" fillId="0" borderId="71" xfId="0" applyNumberFormat="1" applyFont="1" applyBorder="1" applyAlignment="1">
      <alignment horizontal="center" vertical="center"/>
    </xf>
    <xf numFmtId="177" fontId="47" fillId="0" borderId="69" xfId="0" applyNumberFormat="1" applyFont="1" applyBorder="1" applyAlignment="1">
      <alignment horizontal="center" vertical="center"/>
    </xf>
    <xf numFmtId="0" fontId="7" fillId="0" borderId="0" xfId="0" applyFont="1" applyAlignment="1">
      <alignment horizontal="center"/>
    </xf>
    <xf numFmtId="0" fontId="10" fillId="0" borderId="0" xfId="0" applyFont="1" applyAlignment="1">
      <alignment horizontal="center" wrapText="1"/>
    </xf>
    <xf numFmtId="0" fontId="0" fillId="25" borderId="0" xfId="0" applyFill="1" applyAlignment="1">
      <alignment horizontal="center" vertical="center"/>
    </xf>
    <xf numFmtId="0" fontId="34" fillId="0" borderId="20" xfId="0" applyFont="1" applyBorder="1" applyAlignment="1">
      <alignment horizontal="center"/>
    </xf>
    <xf numFmtId="0" fontId="5"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center"/>
    </xf>
    <xf numFmtId="1" fontId="47" fillId="6" borderId="5" xfId="0" applyNumberFormat="1" applyFont="1" applyFill="1" applyBorder="1" applyAlignment="1">
      <alignment horizontal="center"/>
    </xf>
    <xf numFmtId="1" fontId="47" fillId="28" borderId="1" xfId="0" applyNumberFormat="1" applyFont="1" applyFill="1" applyBorder="1" applyAlignment="1">
      <alignment horizontal="center"/>
    </xf>
    <xf numFmtId="1" fontId="47" fillId="0" borderId="27" xfId="0" applyNumberFormat="1" applyFont="1" applyBorder="1" applyAlignment="1">
      <alignment horizontal="center"/>
    </xf>
    <xf numFmtId="1" fontId="47" fillId="6" borderId="8" xfId="0" applyNumberFormat="1" applyFont="1" applyFill="1" applyBorder="1" applyAlignment="1">
      <alignment horizontal="center"/>
    </xf>
    <xf numFmtId="1" fontId="69" fillId="6" borderId="1" xfId="0" applyNumberFormat="1" applyFont="1" applyFill="1" applyBorder="1" applyAlignment="1">
      <alignment horizontal="center"/>
    </xf>
    <xf numFmtId="1" fontId="47" fillId="6" borderId="2" xfId="0" applyNumberFormat="1" applyFont="1" applyFill="1" applyBorder="1" applyAlignment="1">
      <alignment horizontal="center"/>
    </xf>
    <xf numFmtId="1" fontId="47" fillId="6" borderId="71" xfId="0" applyNumberFormat="1" applyFont="1" applyFill="1" applyBorder="1" applyAlignment="1">
      <alignment horizontal="center"/>
    </xf>
    <xf numFmtId="1" fontId="69" fillId="0" borderId="74" xfId="0" applyNumberFormat="1" applyFont="1" applyBorder="1" applyAlignment="1">
      <alignment horizontal="center"/>
    </xf>
    <xf numFmtId="1" fontId="47" fillId="6" borderId="69" xfId="0" applyNumberFormat="1" applyFont="1" applyFill="1" applyBorder="1" applyAlignment="1">
      <alignment horizontal="center"/>
    </xf>
    <xf numFmtId="1" fontId="47" fillId="6" borderId="77" xfId="0" applyNumberFormat="1" applyFont="1" applyFill="1" applyBorder="1" applyAlignment="1">
      <alignment horizontal="center"/>
    </xf>
    <xf numFmtId="1" fontId="69" fillId="0" borderId="77" xfId="0" applyNumberFormat="1" applyFont="1" applyBorder="1" applyAlignment="1">
      <alignment horizontal="center"/>
    </xf>
    <xf numFmtId="168" fontId="48" fillId="12" borderId="96" xfId="0" applyNumberFormat="1" applyFont="1" applyFill="1" applyBorder="1" applyAlignment="1">
      <alignment horizontal="center" wrapText="1"/>
    </xf>
    <xf numFmtId="9" fontId="0" fillId="0" borderId="0" xfId="0" applyNumberFormat="1"/>
    <xf numFmtId="10" fontId="0" fillId="0" borderId="0" xfId="0" applyNumberFormat="1"/>
    <xf numFmtId="17" fontId="5" fillId="0" borderId="97" xfId="0" applyNumberFormat="1" applyFont="1" applyBorder="1" applyAlignment="1">
      <alignment horizontal="center"/>
    </xf>
    <xf numFmtId="1" fontId="47" fillId="36" borderId="0" xfId="0" applyNumberFormat="1" applyFont="1" applyFill="1" applyAlignment="1">
      <alignment horizontal="center" wrapText="1"/>
    </xf>
    <xf numFmtId="0" fontId="47" fillId="0" borderId="84" xfId="0" applyFont="1" applyBorder="1" applyAlignment="1">
      <alignment wrapText="1"/>
    </xf>
    <xf numFmtId="0" fontId="81" fillId="0" borderId="85" xfId="0" applyFont="1" applyBorder="1" applyAlignment="1">
      <alignment horizontal="center" wrapText="1"/>
    </xf>
    <xf numFmtId="9" fontId="47" fillId="28" borderId="85" xfId="29" applyFont="1" applyFill="1" applyBorder="1" applyAlignment="1">
      <alignment horizontal="center"/>
    </xf>
    <xf numFmtId="9" fontId="47" fillId="0" borderId="85" xfId="0" applyNumberFormat="1" applyFont="1" applyBorder="1" applyAlignment="1">
      <alignment horizontal="center"/>
    </xf>
    <xf numFmtId="0" fontId="47" fillId="0" borderId="98" xfId="0" applyFont="1" applyBorder="1" applyAlignment="1">
      <alignment horizontal="center" vertical="center"/>
    </xf>
    <xf numFmtId="9" fontId="47" fillId="0" borderId="0" xfId="0" applyNumberFormat="1" applyFont="1" applyAlignment="1">
      <alignment horizontal="center" vertical="center"/>
    </xf>
    <xf numFmtId="0" fontId="47" fillId="0" borderId="85" xfId="0" applyFont="1" applyBorder="1" applyAlignment="1">
      <alignment horizontal="center" wrapText="1"/>
    </xf>
    <xf numFmtId="0" fontId="70" fillId="42" borderId="0" xfId="0" applyFont="1" applyFill="1" applyAlignment="1">
      <alignment wrapText="1"/>
    </xf>
    <xf numFmtId="0" fontId="70" fillId="43" borderId="0" xfId="0" applyFont="1" applyFill="1" applyAlignment="1">
      <alignment horizontal="center" wrapText="1"/>
    </xf>
    <xf numFmtId="0" fontId="47" fillId="0" borderId="105" xfId="0" applyFont="1" applyBorder="1" applyAlignment="1">
      <alignment wrapText="1"/>
    </xf>
    <xf numFmtId="0" fontId="47" fillId="0" borderId="107" xfId="0" applyFont="1" applyBorder="1" applyAlignment="1">
      <alignment wrapText="1"/>
    </xf>
    <xf numFmtId="0" fontId="81" fillId="0" borderId="108" xfId="0" applyFont="1" applyBorder="1" applyAlignment="1">
      <alignment horizontal="center" wrapText="1"/>
    </xf>
    <xf numFmtId="0" fontId="47" fillId="0" borderId="108" xfId="0" applyFont="1" applyBorder="1" applyAlignment="1">
      <alignment horizontal="center"/>
    </xf>
    <xf numFmtId="9" fontId="47" fillId="28" borderId="108" xfId="29" applyFont="1" applyFill="1" applyBorder="1" applyAlignment="1">
      <alignment horizontal="center"/>
    </xf>
    <xf numFmtId="0" fontId="47" fillId="0" borderId="108" xfId="0" applyFont="1" applyBorder="1" applyAlignment="1">
      <alignment horizontal="center" wrapText="1"/>
    </xf>
    <xf numFmtId="9" fontId="47" fillId="0" borderId="108" xfId="0" applyNumberFormat="1" applyFont="1" applyBorder="1" applyAlignment="1">
      <alignment horizontal="center"/>
    </xf>
    <xf numFmtId="0" fontId="47" fillId="0" borderId="108" xfId="0" applyFont="1" applyBorder="1" applyAlignment="1">
      <alignment horizontal="center" vertical="center"/>
    </xf>
    <xf numFmtId="0" fontId="47" fillId="0" borderId="85" xfId="0" applyFont="1" applyBorder="1" applyAlignment="1">
      <alignment horizontal="center" vertical="center"/>
    </xf>
    <xf numFmtId="9" fontId="50" fillId="0" borderId="103" xfId="0" applyNumberFormat="1" applyFont="1" applyBorder="1" applyAlignment="1">
      <alignment horizontal="center"/>
    </xf>
    <xf numFmtId="9" fontId="50" fillId="0" borderId="104" xfId="0" applyNumberFormat="1" applyFont="1" applyBorder="1" applyAlignment="1">
      <alignment horizontal="center"/>
    </xf>
    <xf numFmtId="0" fontId="47" fillId="0" borderId="110" xfId="0" applyFont="1" applyBorder="1" applyAlignment="1">
      <alignment horizontal="center"/>
    </xf>
    <xf numFmtId="167" fontId="47" fillId="0" borderId="85" xfId="0" applyNumberFormat="1" applyFont="1" applyBorder="1" applyAlignment="1">
      <alignment horizontal="center" wrapText="1"/>
    </xf>
    <xf numFmtId="167" fontId="47" fillId="0" borderId="108" xfId="0" applyNumberFormat="1" applyFont="1" applyBorder="1" applyAlignment="1">
      <alignment horizontal="center" wrapText="1"/>
    </xf>
    <xf numFmtId="9" fontId="47" fillId="0" borderId="111" xfId="0" applyNumberFormat="1" applyFont="1" applyBorder="1" applyAlignment="1">
      <alignment horizontal="center"/>
    </xf>
    <xf numFmtId="9" fontId="50" fillId="0" borderId="61" xfId="0" applyNumberFormat="1" applyFont="1" applyBorder="1" applyAlignment="1">
      <alignment horizontal="center"/>
    </xf>
    <xf numFmtId="1" fontId="47" fillId="0" borderId="80" xfId="0" applyNumberFormat="1" applyFont="1" applyBorder="1" applyAlignment="1">
      <alignment horizontal="center"/>
    </xf>
    <xf numFmtId="1" fontId="47" fillId="0" borderId="81" xfId="0" applyNumberFormat="1" applyFont="1" applyBorder="1" applyAlignment="1">
      <alignment horizontal="center"/>
    </xf>
    <xf numFmtId="1" fontId="47" fillId="0" borderId="82" xfId="0" applyNumberFormat="1" applyFont="1" applyBorder="1" applyAlignment="1">
      <alignment horizontal="center"/>
    </xf>
    <xf numFmtId="1" fontId="47" fillId="0" borderId="112" xfId="0" applyNumberFormat="1" applyFont="1" applyBorder="1" applyAlignment="1">
      <alignment horizontal="center"/>
    </xf>
    <xf numFmtId="1" fontId="47" fillId="0" borderId="86" xfId="0" applyNumberFormat="1" applyFont="1" applyBorder="1" applyAlignment="1">
      <alignment horizontal="center"/>
    </xf>
    <xf numFmtId="1" fontId="47" fillId="0" borderId="95" xfId="0" applyNumberFormat="1" applyFont="1" applyBorder="1" applyAlignment="1">
      <alignment horizontal="center"/>
    </xf>
    <xf numFmtId="1" fontId="47" fillId="0" borderId="94" xfId="0" applyNumberFormat="1" applyFont="1" applyBorder="1" applyAlignment="1">
      <alignment horizontal="center"/>
    </xf>
    <xf numFmtId="0" fontId="69" fillId="12" borderId="1" xfId="0" applyFont="1" applyFill="1" applyBorder="1" applyAlignment="1">
      <alignment horizontal="center" wrapText="1"/>
    </xf>
    <xf numFmtId="0" fontId="38" fillId="0" borderId="0" xfId="0" applyFont="1" applyAlignment="1">
      <alignment horizontal="center" vertical="center"/>
    </xf>
    <xf numFmtId="0" fontId="36" fillId="0" borderId="0" xfId="0" applyFont="1" applyAlignment="1">
      <alignment horizontal="center" wrapText="1"/>
    </xf>
    <xf numFmtId="0" fontId="9" fillId="0" borderId="0" xfId="0" applyFont="1"/>
    <xf numFmtId="0" fontId="47" fillId="0" borderId="117" xfId="0" applyFont="1" applyBorder="1"/>
    <xf numFmtId="0" fontId="47" fillId="0" borderId="114" xfId="0" applyFont="1" applyBorder="1" applyAlignment="1">
      <alignment horizontal="center"/>
    </xf>
    <xf numFmtId="9" fontId="47" fillId="0" borderId="114" xfId="29" applyFont="1" applyFill="1" applyBorder="1" applyAlignment="1">
      <alignment horizontal="center"/>
    </xf>
    <xf numFmtId="9" fontId="47" fillId="0" borderId="118" xfId="0" applyNumberFormat="1" applyFont="1" applyBorder="1" applyAlignment="1">
      <alignment horizontal="center"/>
    </xf>
    <xf numFmtId="9" fontId="50" fillId="0" borderId="112" xfId="0" applyNumberFormat="1" applyFont="1" applyBorder="1" applyAlignment="1">
      <alignment horizontal="center"/>
    </xf>
    <xf numFmtId="9" fontId="47" fillId="0" borderId="27" xfId="0" applyNumberFormat="1" applyFont="1" applyBorder="1" applyAlignment="1">
      <alignment horizontal="center"/>
    </xf>
    <xf numFmtId="9" fontId="47" fillId="7" borderId="38" xfId="0" applyNumberFormat="1" applyFont="1" applyFill="1" applyBorder="1" applyAlignment="1">
      <alignment horizontal="center" vertical="center"/>
    </xf>
    <xf numFmtId="0" fontId="47" fillId="0" borderId="121" xfId="0" applyFont="1" applyBorder="1"/>
    <xf numFmtId="0" fontId="47" fillId="0" borderId="122" xfId="0" applyFont="1" applyBorder="1"/>
    <xf numFmtId="0" fontId="47" fillId="0" borderId="91" xfId="0" applyFont="1" applyBorder="1" applyAlignment="1">
      <alignment horizontal="center"/>
    </xf>
    <xf numFmtId="0" fontId="47" fillId="3" borderId="91" xfId="0" applyFont="1" applyFill="1" applyBorder="1" applyAlignment="1">
      <alignment horizontal="center"/>
    </xf>
    <xf numFmtId="1" fontId="47" fillId="0" borderId="91" xfId="0" applyNumberFormat="1" applyFont="1" applyBorder="1" applyAlignment="1">
      <alignment horizontal="center"/>
    </xf>
    <xf numFmtId="9" fontId="47" fillId="0" borderId="91" xfId="29" applyFont="1" applyFill="1" applyBorder="1" applyAlignment="1">
      <alignment horizontal="center"/>
    </xf>
    <xf numFmtId="1" fontId="50" fillId="0" borderId="91" xfId="0" applyNumberFormat="1" applyFont="1" applyBorder="1" applyAlignment="1">
      <alignment horizontal="center"/>
    </xf>
    <xf numFmtId="167" fontId="50" fillId="0" borderId="91" xfId="0" applyNumberFormat="1" applyFont="1" applyBorder="1" applyAlignment="1">
      <alignment horizontal="center"/>
    </xf>
    <xf numFmtId="9" fontId="47" fillId="0" borderId="91" xfId="0" applyNumberFormat="1" applyFont="1" applyBorder="1" applyAlignment="1">
      <alignment horizontal="center"/>
    </xf>
    <xf numFmtId="9" fontId="50" fillId="0" borderId="47" xfId="0" applyNumberFormat="1" applyFont="1" applyBorder="1" applyAlignment="1">
      <alignment horizontal="center"/>
    </xf>
    <xf numFmtId="9" fontId="50" fillId="0" borderId="123" xfId="0" applyNumberFormat="1" applyFont="1" applyBorder="1" applyAlignment="1">
      <alignment horizontal="center"/>
    </xf>
    <xf numFmtId="9" fontId="50" fillId="0" borderId="127" xfId="0" applyNumberFormat="1" applyFont="1" applyBorder="1" applyAlignment="1">
      <alignment horizontal="center"/>
    </xf>
    <xf numFmtId="9" fontId="81" fillId="0" borderId="0" xfId="0" applyNumberFormat="1" applyFont="1" applyAlignment="1">
      <alignment horizontal="center"/>
    </xf>
    <xf numFmtId="0" fontId="91" fillId="0" borderId="0" xfId="0" applyFont="1"/>
    <xf numFmtId="0" fontId="81" fillId="0" borderId="0" xfId="0" applyFont="1"/>
    <xf numFmtId="0" fontId="0" fillId="13" borderId="63" xfId="0" applyFill="1" applyBorder="1" applyAlignment="1">
      <alignment horizontal="center"/>
    </xf>
    <xf numFmtId="0" fontId="0" fillId="13" borderId="56" xfId="0" applyFill="1" applyBorder="1" applyAlignment="1">
      <alignment horizontal="center"/>
    </xf>
    <xf numFmtId="2" fontId="0" fillId="15" borderId="56" xfId="0" applyNumberFormat="1" applyFill="1" applyBorder="1" applyAlignment="1">
      <alignment horizontal="center"/>
    </xf>
    <xf numFmtId="167" fontId="0" fillId="15" borderId="56" xfId="0" applyNumberFormat="1" applyFill="1" applyBorder="1" applyAlignment="1">
      <alignment horizontal="center"/>
    </xf>
    <xf numFmtId="1" fontId="0" fillId="14" borderId="56" xfId="0" applyNumberFormat="1" applyFill="1" applyBorder="1" applyAlignment="1">
      <alignment horizontal="center"/>
    </xf>
    <xf numFmtId="167" fontId="0" fillId="14" borderId="56" xfId="0" applyNumberFormat="1" applyFill="1" applyBorder="1" applyAlignment="1">
      <alignment horizontal="center"/>
    </xf>
    <xf numFmtId="167" fontId="0" fillId="14" borderId="57" xfId="0" applyNumberFormat="1" applyFill="1" applyBorder="1" applyAlignment="1">
      <alignment horizontal="center"/>
    </xf>
    <xf numFmtId="0" fontId="0" fillId="13" borderId="64" xfId="0" applyFill="1" applyBorder="1" applyAlignment="1">
      <alignment horizontal="center"/>
    </xf>
    <xf numFmtId="167" fontId="0" fillId="14" borderId="58" xfId="0" applyNumberFormat="1" applyFill="1" applyBorder="1" applyAlignment="1">
      <alignment horizontal="center"/>
    </xf>
    <xf numFmtId="0" fontId="0" fillId="13" borderId="65" xfId="0" applyFill="1" applyBorder="1" applyAlignment="1">
      <alignment horizontal="center"/>
    </xf>
    <xf numFmtId="0" fontId="0" fillId="13" borderId="59" xfId="0" applyFill="1" applyBorder="1" applyAlignment="1">
      <alignment horizontal="center"/>
    </xf>
    <xf numFmtId="2" fontId="0" fillId="15" borderId="59" xfId="0" applyNumberFormat="1" applyFill="1" applyBorder="1" applyAlignment="1">
      <alignment horizontal="center"/>
    </xf>
    <xf numFmtId="167" fontId="0" fillId="15" borderId="59" xfId="0" applyNumberFormat="1" applyFill="1" applyBorder="1" applyAlignment="1">
      <alignment horizontal="center"/>
    </xf>
    <xf numFmtId="1" fontId="0" fillId="14" borderId="59" xfId="0" applyNumberFormat="1" applyFill="1" applyBorder="1" applyAlignment="1">
      <alignment horizontal="center"/>
    </xf>
    <xf numFmtId="167" fontId="0" fillId="14" borderId="59" xfId="0" applyNumberFormat="1" applyFill="1" applyBorder="1" applyAlignment="1">
      <alignment horizontal="center"/>
    </xf>
    <xf numFmtId="167" fontId="0" fillId="14" borderId="60" xfId="0" applyNumberFormat="1" applyFill="1" applyBorder="1" applyAlignment="1">
      <alignment horizontal="center"/>
    </xf>
    <xf numFmtId="0" fontId="0" fillId="24" borderId="0" xfId="0" applyFill="1" applyAlignment="1">
      <alignment horizontal="center" vertical="center"/>
    </xf>
    <xf numFmtId="0" fontId="93" fillId="18" borderId="13" xfId="0" applyFont="1" applyFill="1" applyBorder="1" applyAlignment="1">
      <alignment horizontal="center" wrapText="1"/>
    </xf>
    <xf numFmtId="0" fontId="93" fillId="18" borderId="0" xfId="0" applyFont="1" applyFill="1" applyAlignment="1">
      <alignment horizontal="center" wrapText="1"/>
    </xf>
    <xf numFmtId="0" fontId="47" fillId="46" borderId="0" xfId="0" applyFont="1" applyFill="1" applyAlignment="1">
      <alignment horizontal="center" wrapText="1"/>
    </xf>
    <xf numFmtId="0" fontId="47" fillId="46" borderId="14" xfId="0" applyFont="1" applyFill="1" applyBorder="1" applyAlignment="1">
      <alignment horizontal="center" wrapText="1"/>
    </xf>
    <xf numFmtId="1" fontId="47" fillId="0" borderId="124" xfId="0" applyNumberFormat="1" applyFont="1" applyBorder="1" applyAlignment="1">
      <alignment horizontal="center"/>
    </xf>
    <xf numFmtId="1" fontId="47" fillId="0" borderId="29" xfId="0" applyNumberFormat="1" applyFont="1" applyBorder="1" applyAlignment="1">
      <alignment horizontal="center"/>
    </xf>
    <xf numFmtId="1" fontId="47" fillId="0" borderId="106" xfId="0" applyNumberFormat="1" applyFont="1" applyBorder="1" applyAlignment="1">
      <alignment horizontal="center"/>
    </xf>
    <xf numFmtId="1" fontId="47" fillId="0" borderId="109" xfId="0" applyNumberFormat="1" applyFont="1" applyBorder="1" applyAlignment="1">
      <alignment horizontal="center"/>
    </xf>
    <xf numFmtId="0" fontId="94" fillId="29" borderId="1" xfId="0" applyFont="1" applyFill="1" applyBorder="1" applyAlignment="1">
      <alignment horizontal="center" vertical="center" wrapText="1"/>
    </xf>
    <xf numFmtId="0" fontId="94" fillId="28" borderId="1" xfId="0" applyFont="1" applyFill="1" applyBorder="1" applyAlignment="1">
      <alignment horizontal="center" vertical="center"/>
    </xf>
    <xf numFmtId="0" fontId="0" fillId="0" borderId="0" xfId="0" applyAlignment="1">
      <alignment wrapText="1"/>
    </xf>
    <xf numFmtId="178" fontId="95" fillId="0" borderId="1" xfId="0" applyNumberFormat="1" applyFont="1" applyBorder="1" applyAlignment="1">
      <alignment horizontal="center" vertical="center"/>
    </xf>
    <xf numFmtId="0" fontId="94" fillId="29" borderId="2" xfId="0" applyFont="1" applyFill="1" applyBorder="1" applyAlignment="1">
      <alignment horizontal="center" vertical="center" wrapText="1"/>
    </xf>
    <xf numFmtId="167" fontId="96" fillId="0" borderId="1" xfId="0" applyNumberFormat="1" applyFont="1" applyBorder="1" applyAlignment="1">
      <alignment horizontal="center"/>
    </xf>
    <xf numFmtId="0" fontId="47" fillId="0" borderId="130" xfId="0" applyFont="1" applyBorder="1"/>
    <xf numFmtId="0" fontId="81" fillId="42" borderId="0" xfId="0" applyFont="1" applyFill="1" applyAlignment="1">
      <alignment wrapText="1"/>
    </xf>
    <xf numFmtId="0" fontId="81" fillId="43" borderId="0" xfId="0" applyFont="1" applyFill="1" applyAlignment="1">
      <alignment horizontal="center" wrapText="1"/>
    </xf>
    <xf numFmtId="0" fontId="81" fillId="42" borderId="14" xfId="0" applyFont="1" applyFill="1" applyBorder="1" applyAlignment="1">
      <alignment wrapText="1"/>
    </xf>
    <xf numFmtId="0" fontId="81" fillId="43" borderId="14" xfId="0" applyFont="1" applyFill="1" applyBorder="1" applyAlignment="1">
      <alignment horizontal="center" wrapText="1"/>
    </xf>
    <xf numFmtId="0" fontId="0" fillId="0" borderId="69" xfId="0" applyBorder="1" applyAlignment="1">
      <alignment horizontal="left"/>
    </xf>
    <xf numFmtId="0" fontId="0" fillId="0" borderId="69" xfId="0" applyBorder="1"/>
    <xf numFmtId="14" fontId="0" fillId="0" borderId="69" xfId="0" applyNumberFormat="1" applyBorder="1" applyAlignment="1">
      <alignment horizontal="left"/>
    </xf>
    <xf numFmtId="0" fontId="0" fillId="51" borderId="69" xfId="0" applyFill="1" applyBorder="1" applyAlignment="1">
      <alignment horizontal="left"/>
    </xf>
    <xf numFmtId="0" fontId="0" fillId="51" borderId="69" xfId="0" applyFill="1" applyBorder="1" applyAlignment="1">
      <alignment horizontal="center"/>
    </xf>
    <xf numFmtId="167" fontId="96" fillId="52" borderId="1" xfId="0" applyNumberFormat="1" applyFont="1" applyFill="1" applyBorder="1" applyAlignment="1">
      <alignment horizontal="center"/>
    </xf>
    <xf numFmtId="178" fontId="95" fillId="52" borderId="1" xfId="0" applyNumberFormat="1" applyFont="1" applyFill="1" applyBorder="1" applyAlignment="1">
      <alignment horizontal="center" vertical="center"/>
    </xf>
    <xf numFmtId="0" fontId="94" fillId="52" borderId="1" xfId="0" applyFont="1" applyFill="1" applyBorder="1" applyAlignment="1">
      <alignment horizontal="center" vertical="center"/>
    </xf>
    <xf numFmtId="0" fontId="97" fillId="0" borderId="0" xfId="0" applyFont="1" applyAlignment="1">
      <alignment horizontal="center" vertical="center"/>
    </xf>
    <xf numFmtId="9" fontId="94" fillId="29" borderId="2" xfId="0" applyNumberFormat="1" applyFont="1" applyFill="1" applyBorder="1" applyAlignment="1">
      <alignment horizontal="center" vertical="center" wrapText="1"/>
    </xf>
    <xf numFmtId="167" fontId="100" fillId="53" borderId="1" xfId="0" applyNumberFormat="1" applyFont="1" applyFill="1" applyBorder="1" applyAlignment="1">
      <alignment horizontal="center"/>
    </xf>
    <xf numFmtId="1" fontId="47" fillId="12" borderId="1" xfId="0" applyNumberFormat="1" applyFont="1" applyFill="1" applyBorder="1" applyAlignment="1">
      <alignment horizontal="center" wrapText="1"/>
    </xf>
    <xf numFmtId="1" fontId="47" fillId="0" borderId="53" xfId="0" applyNumberFormat="1" applyFont="1" applyBorder="1" applyAlignment="1">
      <alignment horizontal="center"/>
    </xf>
    <xf numFmtId="1" fontId="47" fillId="0" borderId="54" xfId="0" applyNumberFormat="1" applyFont="1" applyBorder="1" applyAlignment="1">
      <alignment horizontal="center"/>
    </xf>
    <xf numFmtId="1" fontId="48" fillId="0" borderId="0" xfId="0" applyNumberFormat="1" applyFont="1" applyAlignment="1">
      <alignment horizontal="center" wrapText="1"/>
    </xf>
    <xf numFmtId="0" fontId="96" fillId="9" borderId="0" xfId="0" applyFont="1" applyFill="1" applyAlignment="1">
      <alignment horizontal="center" vertical="center" wrapText="1"/>
    </xf>
    <xf numFmtId="0" fontId="70" fillId="43" borderId="0" xfId="0" applyFont="1" applyFill="1" applyAlignment="1">
      <alignment horizontal="center" vertical="center" wrapText="1"/>
    </xf>
    <xf numFmtId="0" fontId="94" fillId="29" borderId="130" xfId="0" applyFont="1" applyFill="1" applyBorder="1" applyAlignment="1">
      <alignment horizontal="center" vertical="center" wrapText="1"/>
    </xf>
    <xf numFmtId="0" fontId="94" fillId="29" borderId="3" xfId="0" applyFont="1" applyFill="1" applyBorder="1" applyAlignment="1">
      <alignment horizontal="center" vertical="center" wrapText="1"/>
    </xf>
    <xf numFmtId="178" fontId="95" fillId="0" borderId="9" xfId="0" applyNumberFormat="1" applyFont="1" applyBorder="1" applyAlignment="1">
      <alignment horizontal="center" vertical="center"/>
    </xf>
    <xf numFmtId="0" fontId="94" fillId="29" borderId="69" xfId="0" applyFont="1" applyFill="1" applyBorder="1" applyAlignment="1">
      <alignment horizontal="center" vertical="center" wrapText="1"/>
    </xf>
    <xf numFmtId="9" fontId="0" fillId="0" borderId="69" xfId="0" applyNumberFormat="1" applyBorder="1" applyAlignment="1">
      <alignment horizontal="center" vertical="center"/>
    </xf>
    <xf numFmtId="0" fontId="0" fillId="0" borderId="69" xfId="0" applyBorder="1" applyAlignment="1">
      <alignment horizontal="center" vertical="center"/>
    </xf>
    <xf numFmtId="0" fontId="94" fillId="29" borderId="20" xfId="0" applyFont="1" applyFill="1" applyBorder="1" applyAlignment="1">
      <alignment horizontal="center" vertical="center" wrapText="1"/>
    </xf>
    <xf numFmtId="167" fontId="96" fillId="0" borderId="45" xfId="0" applyNumberFormat="1" applyFont="1" applyBorder="1" applyAlignment="1">
      <alignment horizontal="center"/>
    </xf>
    <xf numFmtId="167" fontId="96" fillId="52" borderId="45" xfId="0" applyNumberFormat="1" applyFont="1" applyFill="1" applyBorder="1" applyAlignment="1">
      <alignment horizontal="center"/>
    </xf>
    <xf numFmtId="0" fontId="0" fillId="9" borderId="69" xfId="0" applyFill="1" applyBorder="1"/>
    <xf numFmtId="0" fontId="81" fillId="9" borderId="85" xfId="0" applyFont="1" applyFill="1" applyBorder="1" applyAlignment="1">
      <alignment horizontal="center" wrapText="1"/>
    </xf>
    <xf numFmtId="0" fontId="47" fillId="9" borderId="74" xfId="0" applyFont="1" applyFill="1" applyBorder="1" applyAlignment="1">
      <alignment horizontal="center" wrapText="1"/>
    </xf>
    <xf numFmtId="0" fontId="47" fillId="9" borderId="85" xfId="0" applyFont="1" applyFill="1" applyBorder="1" applyAlignment="1">
      <alignment horizontal="center" wrapText="1"/>
    </xf>
    <xf numFmtId="0" fontId="47" fillId="9" borderId="108" xfId="0" applyFont="1" applyFill="1" applyBorder="1" applyAlignment="1">
      <alignment horizontal="center" wrapText="1"/>
    </xf>
    <xf numFmtId="0" fontId="47" fillId="9" borderId="9" xfId="0" applyFont="1" applyFill="1" applyBorder="1" applyAlignment="1">
      <alignment horizontal="center"/>
    </xf>
    <xf numFmtId="0" fontId="47" fillId="9" borderId="114" xfId="0" applyFont="1" applyFill="1" applyBorder="1" applyAlignment="1">
      <alignment horizontal="center"/>
    </xf>
    <xf numFmtId="0" fontId="47" fillId="35" borderId="63" xfId="0" applyFont="1" applyFill="1" applyBorder="1" applyAlignment="1">
      <alignment wrapText="1"/>
    </xf>
    <xf numFmtId="0" fontId="47" fillId="36" borderId="56" xfId="0" applyFont="1" applyFill="1" applyBorder="1" applyAlignment="1">
      <alignment horizontal="center" wrapText="1"/>
    </xf>
    <xf numFmtId="0" fontId="47" fillId="17" borderId="56" xfId="0" applyFont="1" applyFill="1" applyBorder="1" applyAlignment="1">
      <alignment wrapText="1"/>
    </xf>
    <xf numFmtId="0" fontId="47" fillId="18" borderId="56" xfId="0" applyFont="1" applyFill="1" applyBorder="1" applyAlignment="1">
      <alignment horizontal="center" wrapText="1"/>
    </xf>
    <xf numFmtId="0" fontId="47" fillId="18" borderId="57" xfId="0" applyFont="1" applyFill="1" applyBorder="1" applyAlignment="1">
      <alignment horizontal="center" wrapText="1"/>
    </xf>
    <xf numFmtId="0" fontId="47" fillId="35" borderId="64" xfId="0" applyFont="1" applyFill="1" applyBorder="1" applyAlignment="1">
      <alignment wrapText="1"/>
    </xf>
    <xf numFmtId="0" fontId="93" fillId="17" borderId="0" xfId="0" applyFont="1" applyFill="1" applyAlignment="1">
      <alignment wrapText="1"/>
    </xf>
    <xf numFmtId="0" fontId="47" fillId="18" borderId="58" xfId="0" applyFont="1" applyFill="1" applyBorder="1" applyAlignment="1">
      <alignment horizontal="center" wrapText="1"/>
    </xf>
    <xf numFmtId="0" fontId="47" fillId="35" borderId="65" xfId="0" applyFont="1" applyFill="1" applyBorder="1" applyAlignment="1">
      <alignment wrapText="1"/>
    </xf>
    <xf numFmtId="0" fontId="47" fillId="36" borderId="59" xfId="0" applyFont="1" applyFill="1" applyBorder="1" applyAlignment="1">
      <alignment horizontal="center" wrapText="1"/>
    </xf>
    <xf numFmtId="0" fontId="93" fillId="18" borderId="59" xfId="0" applyFont="1" applyFill="1" applyBorder="1" applyAlignment="1">
      <alignment horizontal="center" wrapText="1"/>
    </xf>
    <xf numFmtId="0" fontId="47" fillId="18" borderId="59" xfId="0" applyFont="1" applyFill="1" applyBorder="1" applyAlignment="1">
      <alignment horizontal="center" wrapText="1"/>
    </xf>
    <xf numFmtId="0" fontId="47" fillId="18" borderId="60" xfId="0" applyFont="1" applyFill="1" applyBorder="1" applyAlignment="1">
      <alignment horizontal="center" wrapText="1"/>
    </xf>
    <xf numFmtId="0" fontId="80" fillId="17" borderId="56" xfId="0" applyFont="1" applyFill="1" applyBorder="1" applyAlignment="1">
      <alignment wrapText="1"/>
    </xf>
    <xf numFmtId="0" fontId="80" fillId="18" borderId="56" xfId="0" applyFont="1" applyFill="1" applyBorder="1" applyAlignment="1">
      <alignment horizontal="center" wrapText="1"/>
    </xf>
    <xf numFmtId="0" fontId="101" fillId="0" borderId="0" xfId="0" applyFont="1"/>
    <xf numFmtId="0" fontId="102" fillId="0" borderId="0" xfId="0" applyFont="1"/>
    <xf numFmtId="0" fontId="101" fillId="0" borderId="0" xfId="0" applyFont="1" applyAlignment="1">
      <alignment wrapText="1"/>
    </xf>
    <xf numFmtId="0" fontId="102" fillId="0" borderId="17" xfId="0" applyFont="1" applyBorder="1"/>
    <xf numFmtId="0" fontId="102" fillId="0" borderId="14" xfId="0" applyFont="1" applyBorder="1" applyAlignment="1">
      <alignment wrapText="1"/>
    </xf>
    <xf numFmtId="0" fontId="102" fillId="0" borderId="88" xfId="0" applyFont="1" applyBorder="1"/>
    <xf numFmtId="0" fontId="102" fillId="0" borderId="52" xfId="0" applyFont="1" applyBorder="1"/>
    <xf numFmtId="0" fontId="102" fillId="0" borderId="0" xfId="0" applyFont="1" applyAlignment="1">
      <alignment wrapText="1"/>
    </xf>
    <xf numFmtId="0" fontId="104" fillId="0" borderId="0" xfId="0" applyFont="1"/>
    <xf numFmtId="0" fontId="102" fillId="0" borderId="52" xfId="0" applyFont="1" applyBorder="1" applyAlignment="1">
      <alignment vertical="center" wrapText="1"/>
    </xf>
    <xf numFmtId="0" fontId="102" fillId="0" borderId="9" xfId="0" applyFont="1" applyBorder="1" applyAlignment="1">
      <alignment wrapText="1"/>
    </xf>
    <xf numFmtId="0" fontId="102" fillId="48" borderId="26" xfId="0" applyFont="1" applyFill="1" applyBorder="1" applyAlignment="1">
      <alignment vertical="center"/>
    </xf>
    <xf numFmtId="0" fontId="102" fillId="48" borderId="26" xfId="0" applyFont="1" applyFill="1" applyBorder="1" applyAlignment="1">
      <alignment vertical="center" wrapText="1"/>
    </xf>
    <xf numFmtId="0" fontId="102" fillId="41" borderId="26" xfId="0" applyFont="1" applyFill="1" applyBorder="1" applyAlignment="1">
      <alignment vertical="center"/>
    </xf>
    <xf numFmtId="0" fontId="102" fillId="41" borderId="26" xfId="0" applyFont="1" applyFill="1" applyBorder="1" applyAlignment="1">
      <alignment vertical="center" wrapText="1"/>
    </xf>
    <xf numFmtId="0" fontId="102" fillId="54" borderId="0" xfId="0" applyFont="1" applyFill="1" applyAlignment="1">
      <alignment horizontal="center"/>
    </xf>
    <xf numFmtId="0" fontId="102" fillId="54" borderId="2" xfId="0" applyFont="1" applyFill="1" applyBorder="1" applyAlignment="1">
      <alignment horizontal="center" vertical="center" wrapText="1"/>
    </xf>
    <xf numFmtId="0" fontId="102" fillId="54" borderId="3" xfId="0" applyFont="1" applyFill="1" applyBorder="1" applyAlignment="1">
      <alignment horizontal="center" vertical="center"/>
    </xf>
    <xf numFmtId="0" fontId="102" fillId="54" borderId="0" xfId="0" applyFont="1" applyFill="1" applyAlignment="1">
      <alignment horizontal="center" vertical="center"/>
    </xf>
    <xf numFmtId="0" fontId="102" fillId="54" borderId="1" xfId="0" applyFont="1" applyFill="1" applyBorder="1" applyAlignment="1">
      <alignment horizontal="center" vertical="center"/>
    </xf>
    <xf numFmtId="0" fontId="102" fillId="0" borderId="1" xfId="0" applyFont="1" applyBorder="1" applyAlignment="1">
      <alignment horizontal="center" vertical="center"/>
    </xf>
    <xf numFmtId="0" fontId="102" fillId="0" borderId="46" xfId="0" applyFont="1" applyBorder="1" applyAlignment="1">
      <alignment horizontal="center" vertical="center"/>
    </xf>
    <xf numFmtId="0" fontId="102" fillId="0" borderId="9" xfId="0" applyFont="1" applyBorder="1" applyAlignment="1">
      <alignment horizontal="center" vertical="center"/>
    </xf>
    <xf numFmtId="0" fontId="102" fillId="0" borderId="26" xfId="0" applyFont="1" applyBorder="1" applyAlignment="1">
      <alignment horizontal="center" vertical="center"/>
    </xf>
    <xf numFmtId="0" fontId="102" fillId="0" borderId="0" xfId="0" applyFont="1" applyAlignment="1">
      <alignment horizontal="center" vertical="center"/>
    </xf>
    <xf numFmtId="0" fontId="103" fillId="54" borderId="1" xfId="0" applyFont="1" applyFill="1" applyBorder="1" applyAlignment="1">
      <alignment vertical="center"/>
    </xf>
    <xf numFmtId="0" fontId="103" fillId="54" borderId="46" xfId="0" applyFont="1" applyFill="1" applyBorder="1" applyAlignment="1">
      <alignment vertical="center"/>
    </xf>
    <xf numFmtId="0" fontId="103" fillId="54" borderId="46" xfId="0" applyFont="1" applyFill="1" applyBorder="1" applyAlignment="1">
      <alignment horizontal="center" vertical="center" wrapText="1"/>
    </xf>
    <xf numFmtId="0" fontId="102" fillId="54" borderId="88" xfId="0" applyFont="1" applyFill="1" applyBorder="1" applyAlignment="1">
      <alignment horizontal="center" vertical="center"/>
    </xf>
    <xf numFmtId="0" fontId="102" fillId="54" borderId="18" xfId="0" applyFont="1" applyFill="1" applyBorder="1" applyAlignment="1">
      <alignment horizontal="center" vertical="center"/>
    </xf>
    <xf numFmtId="0" fontId="102" fillId="54" borderId="18" xfId="0" applyFont="1" applyFill="1" applyBorder="1" applyAlignment="1">
      <alignment horizontal="center" vertical="center" wrapText="1"/>
    </xf>
    <xf numFmtId="0" fontId="102" fillId="40" borderId="26" xfId="0" applyFont="1" applyFill="1" applyBorder="1" applyAlignment="1">
      <alignment vertical="center"/>
    </xf>
    <xf numFmtId="0" fontId="102" fillId="40" borderId="26" xfId="0" applyFont="1" applyFill="1" applyBorder="1" applyAlignment="1">
      <alignment vertical="center" wrapText="1"/>
    </xf>
    <xf numFmtId="0" fontId="81" fillId="43" borderId="0" xfId="0" applyFont="1" applyFill="1" applyAlignment="1">
      <alignment wrapText="1"/>
    </xf>
    <xf numFmtId="0" fontId="81" fillId="42" borderId="0" xfId="0" applyFont="1" applyFill="1" applyAlignment="1">
      <alignment vertical="center" wrapText="1"/>
    </xf>
    <xf numFmtId="9" fontId="47" fillId="0" borderId="61" xfId="29" applyFont="1" applyFill="1" applyBorder="1" applyAlignment="1">
      <alignment horizontal="center"/>
    </xf>
    <xf numFmtId="1" fontId="47" fillId="0" borderId="45" xfId="0" applyNumberFormat="1" applyFont="1" applyBorder="1" applyAlignment="1">
      <alignment horizontal="center"/>
    </xf>
    <xf numFmtId="0" fontId="85" fillId="44" borderId="9" xfId="0" applyFont="1" applyFill="1" applyBorder="1" applyAlignment="1">
      <alignment horizontal="center"/>
    </xf>
    <xf numFmtId="167" fontId="85" fillId="44" borderId="9" xfId="0" applyNumberFormat="1" applyFont="1" applyFill="1" applyBorder="1" applyAlignment="1">
      <alignment horizontal="center"/>
    </xf>
    <xf numFmtId="1" fontId="85" fillId="44" borderId="27" xfId="0" applyNumberFormat="1" applyFont="1" applyFill="1" applyBorder="1" applyAlignment="1">
      <alignment horizontal="center"/>
    </xf>
    <xf numFmtId="0" fontId="85" fillId="44" borderId="27" xfId="0" applyFont="1" applyFill="1" applyBorder="1" applyAlignment="1">
      <alignment horizontal="center"/>
    </xf>
    <xf numFmtId="0" fontId="85" fillId="44" borderId="118" xfId="0" applyFont="1" applyFill="1" applyBorder="1" applyAlignment="1">
      <alignment horizontal="center"/>
    </xf>
    <xf numFmtId="167" fontId="85" fillId="44" borderId="118" xfId="0" applyNumberFormat="1" applyFont="1" applyFill="1" applyBorder="1" applyAlignment="1">
      <alignment horizontal="center"/>
    </xf>
    <xf numFmtId="1" fontId="85" fillId="44" borderId="118" xfId="0" applyNumberFormat="1" applyFont="1" applyFill="1" applyBorder="1" applyAlignment="1">
      <alignment horizontal="center"/>
    </xf>
    <xf numFmtId="0" fontId="85" fillId="44" borderId="91" xfId="0" applyFont="1" applyFill="1" applyBorder="1" applyAlignment="1">
      <alignment horizontal="center" vertical="center"/>
    </xf>
    <xf numFmtId="1" fontId="85" fillId="44" borderId="124" xfId="0" applyNumberFormat="1" applyFont="1" applyFill="1" applyBorder="1" applyAlignment="1">
      <alignment horizontal="center"/>
    </xf>
    <xf numFmtId="1" fontId="85" fillId="44" borderId="91" xfId="0" applyNumberFormat="1" applyFont="1" applyFill="1" applyBorder="1" applyAlignment="1">
      <alignment horizontal="center"/>
    </xf>
    <xf numFmtId="0" fontId="52" fillId="43" borderId="0" xfId="0" applyFont="1" applyFill="1" applyAlignment="1">
      <alignment horizontal="center" wrapText="1"/>
    </xf>
    <xf numFmtId="0" fontId="85" fillId="44" borderId="91" xfId="0" applyFont="1" applyFill="1" applyBorder="1" applyAlignment="1">
      <alignment horizontal="center"/>
    </xf>
    <xf numFmtId="0" fontId="81" fillId="43" borderId="13" xfId="0" applyFont="1" applyFill="1" applyBorder="1" applyAlignment="1">
      <alignment horizontal="center" wrapText="1"/>
    </xf>
    <xf numFmtId="0" fontId="81" fillId="18" borderId="59" xfId="0" applyFont="1" applyFill="1" applyBorder="1" applyAlignment="1">
      <alignment horizontal="center" wrapText="1"/>
    </xf>
    <xf numFmtId="1" fontId="50" fillId="0" borderId="118" xfId="0" applyNumberFormat="1" applyFont="1" applyBorder="1" applyAlignment="1">
      <alignment horizontal="center"/>
    </xf>
    <xf numFmtId="167" fontId="50" fillId="0" borderId="118" xfId="0" applyNumberFormat="1" applyFont="1" applyBorder="1" applyAlignment="1">
      <alignment horizontal="center"/>
    </xf>
    <xf numFmtId="0" fontId="47" fillId="0" borderId="118" xfId="0" applyFont="1" applyBorder="1" applyAlignment="1">
      <alignment horizontal="center"/>
    </xf>
    <xf numFmtId="0" fontId="47" fillId="0" borderId="118" xfId="0" applyFont="1" applyBorder="1" applyAlignment="1">
      <alignment horizontal="center" vertical="center"/>
    </xf>
    <xf numFmtId="1" fontId="47" fillId="0" borderId="118" xfId="0" applyNumberFormat="1" applyFont="1" applyBorder="1" applyAlignment="1">
      <alignment horizontal="center"/>
    </xf>
    <xf numFmtId="0" fontId="47" fillId="0" borderId="92" xfId="0" applyFont="1" applyBorder="1" applyAlignment="1">
      <alignment horizontal="center"/>
    </xf>
    <xf numFmtId="0" fontId="47" fillId="0" borderId="36" xfId="0" applyFont="1" applyBorder="1" applyAlignment="1">
      <alignment horizontal="center"/>
    </xf>
    <xf numFmtId="0" fontId="47" fillId="3" borderId="92" xfId="0" applyFont="1" applyFill="1" applyBorder="1" applyAlignment="1">
      <alignment horizontal="center"/>
    </xf>
    <xf numFmtId="0" fontId="47" fillId="3" borderId="36" xfId="0" applyFont="1" applyFill="1" applyBorder="1" applyAlignment="1">
      <alignment horizontal="center"/>
    </xf>
    <xf numFmtId="0" fontId="81" fillId="17" borderId="13" xfId="0" applyFont="1" applyFill="1" applyBorder="1" applyAlignment="1">
      <alignment horizontal="left" vertical="center" wrapText="1"/>
    </xf>
    <xf numFmtId="0" fontId="84" fillId="0" borderId="0" xfId="0" pivotButton="1" applyFont="1"/>
    <xf numFmtId="0" fontId="84" fillId="0" borderId="0" xfId="0" applyFont="1" applyAlignment="1">
      <alignment horizontal="left"/>
    </xf>
    <xf numFmtId="9" fontId="84" fillId="0" borderId="0" xfId="0" applyNumberFormat="1" applyFont="1" applyAlignment="1">
      <alignment horizontal="center"/>
    </xf>
    <xf numFmtId="0" fontId="81" fillId="42" borderId="13" xfId="0" applyFont="1" applyFill="1" applyBorder="1" applyAlignment="1">
      <alignment wrapText="1"/>
    </xf>
    <xf numFmtId="0" fontId="7" fillId="0" borderId="69" xfId="0" applyFont="1" applyBorder="1" applyAlignment="1">
      <alignment horizontal="center" vertical="center" wrapText="1"/>
    </xf>
    <xf numFmtId="167" fontId="96" fillId="0" borderId="131" xfId="0" applyNumberFormat="1" applyFont="1" applyBorder="1" applyAlignment="1">
      <alignment horizontal="center" vertical="center"/>
    </xf>
    <xf numFmtId="179" fontId="96" fillId="0" borderId="69" xfId="0" applyNumberFormat="1" applyFont="1" applyBorder="1" applyAlignment="1">
      <alignment horizontal="center" vertical="center"/>
    </xf>
    <xf numFmtId="0" fontId="96" fillId="0" borderId="69" xfId="0" applyFont="1" applyBorder="1" applyAlignment="1">
      <alignment horizontal="center" vertical="center"/>
    </xf>
    <xf numFmtId="167" fontId="96" fillId="0" borderId="0" xfId="0" applyNumberFormat="1" applyFont="1" applyAlignment="1">
      <alignment horizontal="center" vertical="center"/>
    </xf>
    <xf numFmtId="0" fontId="96" fillId="0" borderId="0" xfId="0" applyFont="1" applyAlignment="1">
      <alignment horizontal="center" vertical="center"/>
    </xf>
    <xf numFmtId="0" fontId="70" fillId="43" borderId="13" xfId="0" applyFont="1" applyFill="1" applyBorder="1" applyAlignment="1">
      <alignment horizontal="center" wrapText="1"/>
    </xf>
    <xf numFmtId="0" fontId="70" fillId="42" borderId="13" xfId="0" applyFont="1" applyFill="1" applyBorder="1" applyAlignment="1">
      <alignment horizontal="left" wrapText="1"/>
    </xf>
    <xf numFmtId="0" fontId="70" fillId="42" borderId="14" xfId="0" applyFont="1" applyFill="1" applyBorder="1" applyAlignment="1">
      <alignment wrapText="1"/>
    </xf>
    <xf numFmtId="0" fontId="70" fillId="43" borderId="14" xfId="0" applyFont="1" applyFill="1" applyBorder="1" applyAlignment="1">
      <alignment horizontal="center" vertical="center" wrapText="1"/>
    </xf>
    <xf numFmtId="0" fontId="70" fillId="43" borderId="14" xfId="0" applyFont="1" applyFill="1" applyBorder="1" applyAlignment="1">
      <alignment horizontal="center" wrapText="1"/>
    </xf>
    <xf numFmtId="0" fontId="81" fillId="55" borderId="9" xfId="0" applyFont="1" applyFill="1" applyBorder="1" applyAlignment="1">
      <alignment horizontal="center"/>
    </xf>
    <xf numFmtId="0" fontId="81" fillId="55" borderId="114" xfId="0" applyFont="1" applyFill="1" applyBorder="1" applyAlignment="1">
      <alignment horizontal="center"/>
    </xf>
    <xf numFmtId="1" fontId="47" fillId="55" borderId="9" xfId="0" applyNumberFormat="1" applyFont="1" applyFill="1" applyBorder="1" applyAlignment="1">
      <alignment horizontal="center"/>
    </xf>
    <xf numFmtId="1" fontId="47" fillId="55" borderId="25" xfId="0" applyNumberFormat="1" applyFont="1" applyFill="1" applyBorder="1" applyAlignment="1">
      <alignment horizontal="center"/>
    </xf>
    <xf numFmtId="1" fontId="69" fillId="0" borderId="1" xfId="0" applyNumberFormat="1" applyFont="1" applyBorder="1" applyAlignment="1">
      <alignment horizontal="center"/>
    </xf>
    <xf numFmtId="0" fontId="47" fillId="55" borderId="0" xfId="0" applyFont="1" applyFill="1" applyAlignment="1">
      <alignment horizontal="center"/>
    </xf>
    <xf numFmtId="180" fontId="47" fillId="0" borderId="0" xfId="0" applyNumberFormat="1" applyFont="1" applyAlignment="1">
      <alignment horizontal="center"/>
    </xf>
    <xf numFmtId="0" fontId="81" fillId="55" borderId="0" xfId="0" applyFont="1" applyFill="1" applyAlignment="1">
      <alignment horizontal="center"/>
    </xf>
    <xf numFmtId="0" fontId="81" fillId="43" borderId="0" xfId="0" applyFont="1" applyFill="1" applyAlignment="1">
      <alignment horizontal="center" vertical="center" wrapText="1"/>
    </xf>
    <xf numFmtId="0" fontId="47" fillId="42" borderId="0" xfId="0" applyFont="1" applyFill="1"/>
    <xf numFmtId="0" fontId="47" fillId="42" borderId="14" xfId="0" applyFont="1" applyFill="1" applyBorder="1"/>
    <xf numFmtId="1" fontId="47" fillId="28" borderId="45" xfId="0" applyNumberFormat="1" applyFont="1" applyFill="1" applyBorder="1" applyAlignment="1">
      <alignment horizontal="center"/>
    </xf>
    <xf numFmtId="9" fontId="47" fillId="6" borderId="3" xfId="29" applyFont="1" applyFill="1" applyBorder="1" applyAlignment="1">
      <alignment horizontal="center"/>
    </xf>
    <xf numFmtId="1" fontId="81" fillId="55" borderId="71" xfId="0" applyNumberFormat="1" applyFont="1" applyFill="1" applyBorder="1" applyAlignment="1">
      <alignment horizontal="center"/>
    </xf>
    <xf numFmtId="0" fontId="47" fillId="11" borderId="9" xfId="0" applyFont="1" applyFill="1" applyBorder="1" applyAlignment="1">
      <alignment horizontal="center" wrapText="1"/>
    </xf>
    <xf numFmtId="0" fontId="47" fillId="12" borderId="9" xfId="0" applyFont="1" applyFill="1" applyBorder="1" applyAlignment="1">
      <alignment horizontal="center" wrapText="1"/>
    </xf>
    <xf numFmtId="0" fontId="48" fillId="0" borderId="97" xfId="0" applyFont="1" applyBorder="1" applyAlignment="1">
      <alignment wrapText="1"/>
    </xf>
    <xf numFmtId="0" fontId="86" fillId="47" borderId="89" xfId="0" applyFont="1" applyFill="1" applyBorder="1" applyAlignment="1">
      <alignment wrapText="1"/>
    </xf>
    <xf numFmtId="0" fontId="47" fillId="55" borderId="132" xfId="0" applyFont="1" applyFill="1" applyBorder="1" applyAlignment="1">
      <alignment horizontal="center" wrapText="1"/>
    </xf>
    <xf numFmtId="0" fontId="48" fillId="41" borderId="133" xfId="0" applyFont="1" applyFill="1" applyBorder="1" applyAlignment="1">
      <alignment wrapText="1"/>
    </xf>
    <xf numFmtId="0" fontId="48" fillId="48" borderId="133" xfId="0" applyFont="1" applyFill="1" applyBorder="1" applyAlignment="1">
      <alignment wrapText="1"/>
    </xf>
    <xf numFmtId="0" fontId="47" fillId="0" borderId="132" xfId="0" applyFont="1" applyBorder="1"/>
    <xf numFmtId="0" fontId="47" fillId="43" borderId="14" xfId="0" applyFont="1" applyFill="1" applyBorder="1" applyAlignment="1">
      <alignment horizontal="center" wrapText="1"/>
    </xf>
    <xf numFmtId="0" fontId="47" fillId="42" borderId="14" xfId="0" applyFont="1" applyFill="1" applyBorder="1" applyAlignment="1">
      <alignment horizontal="left" wrapText="1"/>
    </xf>
    <xf numFmtId="1" fontId="47" fillId="2" borderId="1" xfId="0" applyNumberFormat="1" applyFont="1" applyFill="1" applyBorder="1" applyAlignment="1">
      <alignment horizontal="center" wrapText="1"/>
    </xf>
    <xf numFmtId="1" fontId="81" fillId="0" borderId="0" xfId="0" applyNumberFormat="1" applyFont="1" applyAlignment="1">
      <alignment horizontal="center"/>
    </xf>
    <xf numFmtId="1" fontId="47" fillId="0" borderId="0" xfId="0" applyNumberFormat="1" applyFont="1"/>
    <xf numFmtId="1" fontId="52" fillId="0" borderId="0" xfId="0" applyNumberFormat="1" applyFont="1"/>
    <xf numFmtId="1" fontId="81" fillId="56" borderId="71" xfId="0" applyNumberFormat="1" applyFont="1" applyFill="1" applyBorder="1" applyAlignment="1">
      <alignment horizontal="center"/>
    </xf>
    <xf numFmtId="0" fontId="69" fillId="42" borderId="13" xfId="0" applyFont="1" applyFill="1" applyBorder="1" applyAlignment="1">
      <alignment wrapText="1"/>
    </xf>
    <xf numFmtId="0" fontId="69" fillId="43" borderId="13" xfId="0" applyFont="1" applyFill="1" applyBorder="1" applyAlignment="1">
      <alignment horizontal="center" wrapText="1"/>
    </xf>
    <xf numFmtId="0" fontId="69" fillId="42" borderId="0" xfId="0" applyFont="1" applyFill="1" applyAlignment="1">
      <alignment wrapText="1"/>
    </xf>
    <xf numFmtId="0" fontId="69" fillId="43" borderId="0" xfId="0" applyFont="1" applyFill="1" applyAlignment="1">
      <alignment horizontal="center" wrapText="1"/>
    </xf>
    <xf numFmtId="0" fontId="69" fillId="43" borderId="0" xfId="0" applyFont="1" applyFill="1" applyAlignment="1">
      <alignment wrapText="1"/>
    </xf>
    <xf numFmtId="0" fontId="69" fillId="42" borderId="14" xfId="0" applyFont="1" applyFill="1" applyBorder="1" applyAlignment="1">
      <alignment wrapText="1"/>
    </xf>
    <xf numFmtId="0" fontId="69" fillId="43" borderId="14" xfId="0" applyFont="1" applyFill="1" applyBorder="1" applyAlignment="1">
      <alignment wrapText="1"/>
    </xf>
    <xf numFmtId="0" fontId="105" fillId="17" borderId="0" xfId="0" applyFont="1" applyFill="1"/>
    <xf numFmtId="1" fontId="47" fillId="55" borderId="0" xfId="0" applyNumberFormat="1" applyFont="1" applyFill="1" applyAlignment="1">
      <alignment horizontal="center"/>
    </xf>
    <xf numFmtId="9" fontId="47" fillId="28" borderId="69" xfId="29" applyFont="1" applyFill="1" applyBorder="1" applyAlignment="1">
      <alignment horizontal="center"/>
    </xf>
    <xf numFmtId="1" fontId="81" fillId="6" borderId="5" xfId="0" applyNumberFormat="1" applyFont="1" applyFill="1" applyBorder="1" applyAlignment="1">
      <alignment horizontal="center"/>
    </xf>
    <xf numFmtId="0" fontId="69" fillId="17" borderId="0" xfId="0" applyFont="1" applyFill="1" applyAlignment="1">
      <alignment horizontal="left" wrapText="1"/>
    </xf>
    <xf numFmtId="0" fontId="69" fillId="0" borderId="0" xfId="0" applyFont="1" applyAlignment="1">
      <alignment horizontal="center"/>
    </xf>
    <xf numFmtId="177" fontId="70" fillId="0" borderId="80" xfId="0" applyNumberFormat="1" applyFont="1" applyBorder="1" applyAlignment="1">
      <alignment horizontal="center"/>
    </xf>
    <xf numFmtId="1" fontId="47" fillId="55" borderId="1" xfId="0" applyNumberFormat="1" applyFont="1" applyFill="1" applyBorder="1" applyAlignment="1">
      <alignment horizontal="center"/>
    </xf>
    <xf numFmtId="1" fontId="69" fillId="0" borderId="85" xfId="0" applyNumberFormat="1" applyFont="1" applyBorder="1" applyAlignment="1">
      <alignment horizontal="center"/>
    </xf>
    <xf numFmtId="1" fontId="69" fillId="0" borderId="71" xfId="0" applyNumberFormat="1" applyFont="1" applyBorder="1" applyAlignment="1">
      <alignment horizontal="center"/>
    </xf>
    <xf numFmtId="1" fontId="47" fillId="0" borderId="134" xfId="0" applyNumberFormat="1" applyFont="1" applyBorder="1" applyAlignment="1">
      <alignment horizontal="center"/>
    </xf>
    <xf numFmtId="0" fontId="69" fillId="55" borderId="0" xfId="0" applyFont="1" applyFill="1" applyAlignment="1">
      <alignment horizontal="center"/>
    </xf>
    <xf numFmtId="9" fontId="47" fillId="0" borderId="135" xfId="29" applyFont="1" applyFill="1" applyBorder="1" applyAlignment="1">
      <alignment horizontal="center"/>
    </xf>
    <xf numFmtId="1" fontId="106" fillId="57" borderId="69" xfId="0" applyNumberFormat="1" applyFont="1" applyFill="1" applyBorder="1" applyAlignment="1">
      <alignment horizontal="center"/>
    </xf>
    <xf numFmtId="1" fontId="106" fillId="58" borderId="69" xfId="0" applyNumberFormat="1" applyFont="1" applyFill="1" applyBorder="1" applyAlignment="1">
      <alignment horizontal="center"/>
    </xf>
    <xf numFmtId="1" fontId="106" fillId="58" borderId="77" xfId="0" applyNumberFormat="1" applyFont="1" applyFill="1" applyBorder="1" applyAlignment="1">
      <alignment horizontal="center"/>
    </xf>
    <xf numFmtId="1" fontId="106" fillId="57" borderId="74" xfId="0" applyNumberFormat="1" applyFont="1" applyFill="1" applyBorder="1" applyAlignment="1">
      <alignment horizontal="center"/>
    </xf>
    <xf numFmtId="9" fontId="47" fillId="28" borderId="2" xfId="29" applyFont="1" applyFill="1" applyBorder="1" applyAlignment="1">
      <alignment horizontal="center"/>
    </xf>
    <xf numFmtId="9" fontId="47" fillId="34" borderId="9" xfId="29" applyFont="1" applyFill="1" applyBorder="1" applyAlignment="1">
      <alignment horizontal="center"/>
    </xf>
    <xf numFmtId="1" fontId="47" fillId="55" borderId="5" xfId="0" applyNumberFormat="1" applyFont="1" applyFill="1" applyBorder="1" applyAlignment="1">
      <alignment horizontal="center"/>
    </xf>
    <xf numFmtId="1" fontId="47" fillId="56" borderId="1" xfId="0" applyNumberFormat="1" applyFont="1" applyFill="1" applyBorder="1" applyAlignment="1">
      <alignment horizontal="center"/>
    </xf>
    <xf numFmtId="0" fontId="108" fillId="59" borderId="88" xfId="0" applyFont="1" applyFill="1" applyBorder="1" applyAlignment="1">
      <alignment horizontal="center" vertical="center"/>
    </xf>
    <xf numFmtId="0" fontId="0" fillId="32" borderId="9" xfId="0" applyFill="1" applyBorder="1" applyAlignment="1">
      <alignment horizontal="center" vertical="center"/>
    </xf>
    <xf numFmtId="0" fontId="107" fillId="32" borderId="9" xfId="0" applyFont="1" applyFill="1" applyBorder="1" applyAlignment="1">
      <alignment horizontal="center" vertical="center"/>
    </xf>
    <xf numFmtId="0" fontId="107" fillId="32" borderId="47" xfId="0" applyFont="1" applyFill="1" applyBorder="1" applyAlignment="1">
      <alignment horizontal="center" vertical="center"/>
    </xf>
    <xf numFmtId="0" fontId="107" fillId="32" borderId="1" xfId="0" applyFont="1" applyFill="1" applyBorder="1" applyAlignment="1">
      <alignment horizontal="center" vertical="center"/>
    </xf>
    <xf numFmtId="1" fontId="0" fillId="32" borderId="1" xfId="0" applyNumberFormat="1" applyFill="1" applyBorder="1" applyAlignment="1">
      <alignment horizontal="center" vertical="center"/>
    </xf>
    <xf numFmtId="1" fontId="0" fillId="32" borderId="45" xfId="0" applyNumberFormat="1" applyFill="1" applyBorder="1" applyAlignment="1">
      <alignment horizontal="center" vertical="center"/>
    </xf>
    <xf numFmtId="0" fontId="0" fillId="32" borderId="1" xfId="0" applyFill="1" applyBorder="1" applyAlignment="1">
      <alignment horizontal="center"/>
    </xf>
    <xf numFmtId="0" fontId="0" fillId="32" borderId="1" xfId="0" applyFill="1" applyBorder="1" applyAlignment="1">
      <alignment vertical="center"/>
    </xf>
    <xf numFmtId="1" fontId="0" fillId="32" borderId="9" xfId="0" applyNumberFormat="1" applyFill="1" applyBorder="1" applyAlignment="1">
      <alignment horizontal="center" vertical="center"/>
    </xf>
    <xf numFmtId="1" fontId="0" fillId="32" borderId="47" xfId="0" applyNumberFormat="1" applyFill="1" applyBorder="1" applyAlignment="1">
      <alignment horizontal="center" vertical="center"/>
    </xf>
    <xf numFmtId="1" fontId="0" fillId="18" borderId="1" xfId="0" applyNumberFormat="1" applyFill="1" applyBorder="1" applyAlignment="1">
      <alignment horizontal="center" vertical="center"/>
    </xf>
    <xf numFmtId="0" fontId="0" fillId="32" borderId="1" xfId="0" applyFill="1" applyBorder="1" applyAlignment="1">
      <alignment horizontal="center" vertical="center"/>
    </xf>
    <xf numFmtId="0" fontId="0" fillId="60" borderId="4" xfId="0" applyFill="1" applyBorder="1" applyAlignment="1">
      <alignment horizontal="center" vertical="center"/>
    </xf>
    <xf numFmtId="0" fontId="107" fillId="60" borderId="5" xfId="0" applyFont="1" applyFill="1" applyBorder="1" applyAlignment="1">
      <alignment horizontal="center" vertical="center"/>
    </xf>
    <xf numFmtId="0" fontId="107" fillId="60" borderId="24" xfId="0" applyFont="1" applyFill="1" applyBorder="1" applyAlignment="1">
      <alignment horizontal="center" vertical="center"/>
    </xf>
    <xf numFmtId="0" fontId="107" fillId="60" borderId="136" xfId="0" applyFont="1" applyFill="1" applyBorder="1" applyAlignment="1">
      <alignment horizontal="center" vertical="center"/>
    </xf>
    <xf numFmtId="0" fontId="107" fillId="60" borderId="6" xfId="0" applyFont="1" applyFill="1" applyBorder="1" applyAlignment="1">
      <alignment horizontal="center" vertical="center"/>
    </xf>
    <xf numFmtId="0" fontId="0" fillId="60" borderId="1" xfId="0" applyFill="1" applyBorder="1" applyAlignment="1">
      <alignment horizontal="center" vertical="center"/>
    </xf>
    <xf numFmtId="1" fontId="0" fillId="60" borderId="1" xfId="0" applyNumberFormat="1" applyFill="1" applyBorder="1" applyAlignment="1">
      <alignment horizontal="center" vertical="center"/>
    </xf>
    <xf numFmtId="1" fontId="0" fillId="60" borderId="45" xfId="0" applyNumberFormat="1" applyFill="1" applyBorder="1" applyAlignment="1">
      <alignment horizontal="center" vertical="center"/>
    </xf>
    <xf numFmtId="0" fontId="0" fillId="60" borderId="137" xfId="0" applyFill="1" applyBorder="1" applyAlignment="1">
      <alignment horizontal="center" vertical="center"/>
    </xf>
    <xf numFmtId="0" fontId="107" fillId="60" borderId="7" xfId="0" applyFont="1" applyFill="1" applyBorder="1" applyAlignment="1">
      <alignment horizontal="center" vertical="center"/>
    </xf>
    <xf numFmtId="0" fontId="0" fillId="60" borderId="8" xfId="0" applyFill="1" applyBorder="1" applyAlignment="1">
      <alignment horizontal="center" vertical="center"/>
    </xf>
    <xf numFmtId="1" fontId="0" fillId="60" borderId="8" xfId="0" applyNumberFormat="1" applyFill="1" applyBorder="1" applyAlignment="1">
      <alignment horizontal="center" vertical="center"/>
    </xf>
    <xf numFmtId="1" fontId="0" fillId="60" borderId="44" xfId="0" applyNumberFormat="1" applyFill="1" applyBorder="1" applyAlignment="1">
      <alignment horizontal="center" vertical="center"/>
    </xf>
    <xf numFmtId="0" fontId="0" fillId="60" borderId="109" xfId="0" applyFill="1" applyBorder="1" applyAlignment="1">
      <alignment horizontal="center" vertical="center"/>
    </xf>
    <xf numFmtId="1" fontId="107" fillId="60" borderId="138" xfId="0" applyNumberFormat="1" applyFont="1" applyFill="1" applyBorder="1" applyAlignment="1">
      <alignment horizontal="center" vertical="center"/>
    </xf>
    <xf numFmtId="0" fontId="0" fillId="60" borderId="139" xfId="0" applyFill="1" applyBorder="1" applyAlignment="1">
      <alignment horizontal="center" vertical="center"/>
    </xf>
    <xf numFmtId="0" fontId="107" fillId="62" borderId="42" xfId="0" applyFont="1" applyFill="1" applyBorder="1"/>
    <xf numFmtId="0" fontId="107" fillId="62" borderId="42" xfId="0" applyFont="1" applyFill="1" applyBorder="1" applyAlignment="1">
      <alignment horizontal="center"/>
    </xf>
    <xf numFmtId="0" fontId="0" fillId="60" borderId="5" xfId="0" applyFill="1" applyBorder="1" applyAlignment="1">
      <alignment horizontal="center" vertical="center"/>
    </xf>
    <xf numFmtId="0" fontId="0" fillId="60" borderId="24" xfId="0" applyFill="1" applyBorder="1" applyAlignment="1">
      <alignment horizontal="center" vertical="center"/>
    </xf>
    <xf numFmtId="0" fontId="0" fillId="60" borderId="136" xfId="0" applyFill="1" applyBorder="1" applyAlignment="1">
      <alignment horizontal="center" vertical="center"/>
    </xf>
    <xf numFmtId="0" fontId="0" fillId="60" borderId="6" xfId="0" applyFill="1" applyBorder="1" applyAlignment="1">
      <alignment horizontal="center" vertical="center"/>
    </xf>
    <xf numFmtId="0" fontId="0" fillId="60" borderId="7" xfId="0" applyFill="1" applyBorder="1" applyAlignment="1">
      <alignment horizontal="center" vertical="center"/>
    </xf>
    <xf numFmtId="1" fontId="0" fillId="60" borderId="138" xfId="0" applyNumberFormat="1" applyFill="1" applyBorder="1" applyAlignment="1">
      <alignment horizontal="center" vertical="center"/>
    </xf>
    <xf numFmtId="1" fontId="0" fillId="32" borderId="86" xfId="0" applyNumberFormat="1" applyFill="1" applyBorder="1" applyAlignment="1">
      <alignment horizontal="center" vertical="center"/>
    </xf>
    <xf numFmtId="0" fontId="107" fillId="32" borderId="86" xfId="0" applyFont="1" applyFill="1" applyBorder="1" applyAlignment="1">
      <alignment horizontal="center" vertical="center"/>
    </xf>
    <xf numFmtId="1" fontId="0" fillId="32" borderId="82" xfId="0" applyNumberFormat="1" applyFill="1" applyBorder="1" applyAlignment="1">
      <alignment horizontal="center" vertical="center"/>
    </xf>
    <xf numFmtId="0" fontId="108" fillId="59" borderId="66" xfId="0" applyFont="1" applyFill="1" applyBorder="1" applyAlignment="1">
      <alignment horizontal="center"/>
    </xf>
    <xf numFmtId="0" fontId="108" fillId="59" borderId="68" xfId="0" applyFont="1" applyFill="1" applyBorder="1" applyAlignment="1">
      <alignment horizontal="center" vertical="center"/>
    </xf>
    <xf numFmtId="167" fontId="0" fillId="32" borderId="1" xfId="0" applyNumberFormat="1" applyFill="1" applyBorder="1" applyAlignment="1">
      <alignment horizontal="center" vertical="center"/>
    </xf>
    <xf numFmtId="0" fontId="7" fillId="0" borderId="0" xfId="0" applyFont="1" applyAlignment="1">
      <alignment horizontal="center" vertical="center" wrapText="1"/>
    </xf>
    <xf numFmtId="9" fontId="39" fillId="0" borderId="0" xfId="0" applyNumberFormat="1" applyFont="1" applyAlignment="1">
      <alignment horizontal="center"/>
    </xf>
    <xf numFmtId="0" fontId="112" fillId="0" borderId="0" xfId="0" applyFont="1" applyAlignment="1">
      <alignment horizontal="center"/>
    </xf>
    <xf numFmtId="0" fontId="113" fillId="0" borderId="0" xfId="0" applyFont="1" applyAlignment="1">
      <alignment horizontal="center" vertical="center"/>
    </xf>
    <xf numFmtId="9" fontId="0" fillId="0" borderId="0" xfId="0" applyNumberFormat="1" applyAlignment="1">
      <alignment horizontal="center"/>
    </xf>
    <xf numFmtId="0" fontId="107" fillId="32" borderId="103" xfId="0" applyFont="1" applyFill="1" applyBorder="1" applyAlignment="1">
      <alignment horizontal="center"/>
    </xf>
    <xf numFmtId="1" fontId="0" fillId="32" borderId="69" xfId="0" applyNumberFormat="1" applyFill="1" applyBorder="1" applyAlignment="1">
      <alignment horizontal="center"/>
    </xf>
    <xf numFmtId="0" fontId="0" fillId="24" borderId="9" xfId="0" applyFill="1" applyBorder="1"/>
    <xf numFmtId="181" fontId="0" fillId="32" borderId="1" xfId="0" applyNumberFormat="1" applyFill="1" applyBorder="1" applyAlignment="1">
      <alignment horizontal="center" vertical="center"/>
    </xf>
    <xf numFmtId="0" fontId="107" fillId="32" borderId="82" xfId="0" applyFont="1" applyFill="1" applyBorder="1" applyAlignment="1">
      <alignment horizontal="center"/>
    </xf>
    <xf numFmtId="0" fontId="0" fillId="24" borderId="1" xfId="0" applyFill="1" applyBorder="1"/>
    <xf numFmtId="0" fontId="103" fillId="32" borderId="1" xfId="0" applyFont="1" applyFill="1" applyBorder="1" applyAlignment="1">
      <alignment horizontal="center"/>
    </xf>
    <xf numFmtId="0" fontId="107" fillId="32" borderId="1" xfId="0" applyFont="1" applyFill="1" applyBorder="1" applyAlignment="1">
      <alignment horizontal="center"/>
    </xf>
    <xf numFmtId="1" fontId="0" fillId="32" borderId="1" xfId="0" applyNumberFormat="1" applyFill="1" applyBorder="1" applyAlignment="1">
      <alignment horizontal="center"/>
    </xf>
    <xf numFmtId="0" fontId="103" fillId="32" borderId="9" xfId="0" applyFont="1" applyFill="1" applyBorder="1" applyAlignment="1">
      <alignment horizontal="center"/>
    </xf>
    <xf numFmtId="0" fontId="114" fillId="64" borderId="1" xfId="0" applyFont="1" applyFill="1" applyBorder="1" applyAlignment="1">
      <alignment horizontal="center" vertical="center"/>
    </xf>
    <xf numFmtId="9" fontId="71" fillId="41" borderId="1" xfId="0" applyNumberFormat="1" applyFont="1" applyFill="1" applyBorder="1" applyAlignment="1">
      <alignment horizontal="center"/>
    </xf>
    <xf numFmtId="0" fontId="71" fillId="65" borderId="1" xfId="0" applyFont="1" applyFill="1" applyBorder="1" applyAlignment="1">
      <alignment horizontal="center"/>
    </xf>
    <xf numFmtId="9" fontId="71" fillId="48" borderId="1" xfId="0" applyNumberFormat="1" applyFont="1" applyFill="1" applyBorder="1" applyAlignment="1">
      <alignment horizontal="center"/>
    </xf>
    <xf numFmtId="9" fontId="115" fillId="49" borderId="1" xfId="0" applyNumberFormat="1" applyFont="1" applyFill="1" applyBorder="1" applyAlignment="1">
      <alignment horizontal="center"/>
    </xf>
    <xf numFmtId="9" fontId="115" fillId="50" borderId="1" xfId="0" applyNumberFormat="1" applyFont="1" applyFill="1" applyBorder="1" applyAlignment="1">
      <alignment horizontal="center"/>
    </xf>
    <xf numFmtId="9" fontId="37" fillId="66" borderId="1" xfId="0" applyNumberFormat="1" applyFont="1" applyFill="1" applyBorder="1" applyAlignment="1">
      <alignment horizontal="center"/>
    </xf>
    <xf numFmtId="0" fontId="114" fillId="64" borderId="1" xfId="0" applyFont="1" applyFill="1" applyBorder="1" applyAlignment="1">
      <alignment horizontal="center"/>
    </xf>
    <xf numFmtId="0" fontId="81" fillId="0" borderId="9" xfId="0" applyFont="1" applyBorder="1" applyAlignment="1">
      <alignment horizontal="center"/>
    </xf>
    <xf numFmtId="0" fontId="81" fillId="0" borderId="114" xfId="0" applyFont="1" applyBorder="1" applyAlignment="1">
      <alignment horizontal="center"/>
    </xf>
    <xf numFmtId="1" fontId="106" fillId="0" borderId="77" xfId="0" applyNumberFormat="1" applyFont="1" applyBorder="1" applyAlignment="1">
      <alignment horizontal="center"/>
    </xf>
    <xf numFmtId="0" fontId="85" fillId="44" borderId="19" xfId="0" applyFont="1" applyFill="1" applyBorder="1" applyAlignment="1">
      <alignment horizontal="center"/>
    </xf>
    <xf numFmtId="9" fontId="50" fillId="0" borderId="67" xfId="0" applyNumberFormat="1" applyFont="1" applyBorder="1" applyAlignment="1">
      <alignment horizontal="center" vertical="center"/>
    </xf>
    <xf numFmtId="9" fontId="50" fillId="0" borderId="68" xfId="0" applyNumberFormat="1" applyFont="1" applyBorder="1" applyAlignment="1">
      <alignment horizontal="center" vertical="center"/>
    </xf>
    <xf numFmtId="9" fontId="47" fillId="7" borderId="51" xfId="0" applyNumberFormat="1" applyFont="1" applyFill="1" applyBorder="1" applyAlignment="1">
      <alignment horizontal="center" vertical="center"/>
    </xf>
    <xf numFmtId="9" fontId="47" fillId="7" borderId="33" xfId="0" applyNumberFormat="1" applyFont="1" applyFill="1" applyBorder="1" applyAlignment="1">
      <alignment horizontal="center" vertical="center"/>
    </xf>
    <xf numFmtId="9" fontId="47" fillId="7" borderId="52" xfId="0" applyNumberFormat="1" applyFont="1" applyFill="1" applyBorder="1" applyAlignment="1">
      <alignment horizontal="center" vertical="center"/>
    </xf>
    <xf numFmtId="9" fontId="47" fillId="0" borderId="2" xfId="29" applyFont="1" applyFill="1" applyBorder="1" applyAlignment="1">
      <alignment horizontal="center" vertical="center"/>
    </xf>
    <xf numFmtId="9" fontId="47" fillId="0" borderId="27" xfId="29" applyFont="1" applyFill="1" applyBorder="1" applyAlignment="1">
      <alignment horizontal="center" vertical="center"/>
    </xf>
    <xf numFmtId="9" fontId="47" fillId="0" borderId="25" xfId="29" applyFont="1" applyFill="1" applyBorder="1" applyAlignment="1">
      <alignment horizontal="center" vertical="center"/>
    </xf>
    <xf numFmtId="9" fontId="47" fillId="0" borderId="2" xfId="29" applyFont="1" applyBorder="1" applyAlignment="1">
      <alignment horizontal="center" vertical="center"/>
    </xf>
    <xf numFmtId="9" fontId="47" fillId="0" borderId="27" xfId="29" applyFont="1" applyBorder="1" applyAlignment="1">
      <alignment horizontal="center" vertical="center"/>
    </xf>
    <xf numFmtId="9" fontId="47" fillId="0" borderId="25" xfId="29" applyFont="1" applyBorder="1" applyAlignment="1">
      <alignment horizontal="center" vertical="center"/>
    </xf>
    <xf numFmtId="9" fontId="47" fillId="0" borderId="32" xfId="29" applyFont="1" applyBorder="1" applyAlignment="1">
      <alignment horizontal="center" vertical="center"/>
    </xf>
    <xf numFmtId="9" fontId="47" fillId="0" borderId="120" xfId="29" applyFont="1" applyBorder="1" applyAlignment="1">
      <alignment horizontal="center" vertical="center"/>
    </xf>
    <xf numFmtId="9" fontId="47" fillId="0" borderId="125" xfId="29" applyFont="1" applyBorder="1" applyAlignment="1">
      <alignment horizontal="center" vertical="center"/>
    </xf>
    <xf numFmtId="9" fontId="47" fillId="0" borderId="12" xfId="0" applyNumberFormat="1" applyFont="1" applyBorder="1" applyAlignment="1">
      <alignment horizontal="center" vertical="center"/>
    </xf>
    <xf numFmtId="9" fontId="47" fillId="0" borderId="15" xfId="0" applyNumberFormat="1" applyFont="1" applyBorder="1" applyAlignment="1">
      <alignment horizontal="center" vertical="center"/>
    </xf>
    <xf numFmtId="9" fontId="47" fillId="0" borderId="126" xfId="0" applyNumberFormat="1" applyFont="1" applyBorder="1" applyAlignment="1">
      <alignment horizontal="center" vertical="center"/>
    </xf>
    <xf numFmtId="9" fontId="47" fillId="0" borderId="2" xfId="0" applyNumberFormat="1" applyFont="1" applyBorder="1" applyAlignment="1">
      <alignment horizontal="center" vertical="center"/>
    </xf>
    <xf numFmtId="9" fontId="47" fillId="0" borderId="27" xfId="0" applyNumberFormat="1" applyFont="1" applyBorder="1" applyAlignment="1">
      <alignment horizontal="center" vertical="center"/>
    </xf>
    <xf numFmtId="9" fontId="47" fillId="0" borderId="25" xfId="0" applyNumberFormat="1" applyFont="1" applyBorder="1" applyAlignment="1">
      <alignment horizontal="center" vertical="center"/>
    </xf>
    <xf numFmtId="9" fontId="81" fillId="0" borderId="67" xfId="0" applyNumberFormat="1" applyFont="1" applyBorder="1" applyAlignment="1">
      <alignment horizontal="center"/>
    </xf>
    <xf numFmtId="9" fontId="81" fillId="0" borderId="68" xfId="0" applyNumberFormat="1" applyFont="1" applyBorder="1" applyAlignment="1">
      <alignment horizontal="center"/>
    </xf>
    <xf numFmtId="9" fontId="50" fillId="0" borderId="51" xfId="0" applyNumberFormat="1" applyFont="1" applyBorder="1" applyAlignment="1">
      <alignment horizontal="center" vertical="center"/>
    </xf>
    <xf numFmtId="9" fontId="50" fillId="0" borderId="33" xfId="0" applyNumberFormat="1" applyFont="1" applyBorder="1" applyAlignment="1">
      <alignment horizontal="center" vertical="center"/>
    </xf>
    <xf numFmtId="9" fontId="50" fillId="0" borderId="52" xfId="0" applyNumberFormat="1" applyFont="1" applyBorder="1" applyAlignment="1">
      <alignment horizontal="center" vertical="center"/>
    </xf>
    <xf numFmtId="9" fontId="47" fillId="6" borderId="2" xfId="29" applyFont="1" applyFill="1" applyBorder="1" applyAlignment="1">
      <alignment horizontal="center" vertical="center"/>
    </xf>
    <xf numFmtId="9" fontId="47" fillId="6" borderId="25" xfId="29" applyFont="1" applyFill="1" applyBorder="1" applyAlignment="1">
      <alignment horizontal="center" vertical="center"/>
    </xf>
    <xf numFmtId="177" fontId="47" fillId="0" borderId="36" xfId="0" applyNumberFormat="1" applyFont="1" applyBorder="1" applyAlignment="1">
      <alignment horizontal="center" vertical="center"/>
    </xf>
    <xf numFmtId="177" fontId="47" fillId="0" borderId="27" xfId="0" applyNumberFormat="1" applyFont="1" applyBorder="1" applyAlignment="1">
      <alignment horizontal="center" vertical="center"/>
    </xf>
    <xf numFmtId="177" fontId="47" fillId="0" borderId="9" xfId="0" applyNumberFormat="1" applyFont="1" applyBorder="1" applyAlignment="1">
      <alignment horizontal="center" vertical="center"/>
    </xf>
    <xf numFmtId="9" fontId="69" fillId="6" borderId="20" xfId="29" applyFont="1" applyFill="1" applyBorder="1" applyAlignment="1">
      <alignment horizontal="center" vertical="center"/>
    </xf>
    <xf numFmtId="9" fontId="69" fillId="6" borderId="0" xfId="29" applyFont="1" applyFill="1" applyBorder="1" applyAlignment="1">
      <alignment horizontal="center" vertical="center"/>
    </xf>
    <xf numFmtId="9" fontId="69" fillId="6" borderId="14" xfId="29" applyFont="1" applyFill="1" applyBorder="1" applyAlignment="1">
      <alignment horizontal="center" vertical="center"/>
    </xf>
    <xf numFmtId="177" fontId="50" fillId="0" borderId="36" xfId="0" applyNumberFormat="1" applyFont="1" applyBorder="1" applyAlignment="1">
      <alignment horizontal="center" vertical="center"/>
    </xf>
    <xf numFmtId="177" fontId="50" fillId="0" borderId="27" xfId="0" applyNumberFormat="1" applyFont="1" applyBorder="1" applyAlignment="1">
      <alignment horizontal="center" vertical="center"/>
    </xf>
    <xf numFmtId="177" fontId="50" fillId="0" borderId="9" xfId="0" applyNumberFormat="1" applyFont="1" applyBorder="1" applyAlignment="1">
      <alignment horizontal="center" vertical="center"/>
    </xf>
    <xf numFmtId="177" fontId="47" fillId="0" borderId="5" xfId="0" applyNumberFormat="1" applyFont="1" applyBorder="1" applyAlignment="1">
      <alignment horizontal="center" vertical="center"/>
    </xf>
    <xf numFmtId="177" fontId="47" fillId="0" borderId="1" xfId="0" applyNumberFormat="1" applyFont="1" applyBorder="1" applyAlignment="1">
      <alignment horizontal="center" vertical="center"/>
    </xf>
    <xf numFmtId="9" fontId="47" fillId="6" borderId="27" xfId="29" applyFont="1" applyFill="1" applyBorder="1" applyAlignment="1">
      <alignment horizontal="center" vertical="center"/>
    </xf>
    <xf numFmtId="9" fontId="50" fillId="0" borderId="2" xfId="29" applyFont="1" applyFill="1" applyBorder="1" applyAlignment="1">
      <alignment horizontal="center" vertical="center"/>
    </xf>
    <xf numFmtId="9" fontId="50" fillId="0" borderId="27" xfId="29" applyFont="1" applyFill="1" applyBorder="1" applyAlignment="1">
      <alignment horizontal="center" vertical="center"/>
    </xf>
    <xf numFmtId="9" fontId="50" fillId="0" borderId="25" xfId="29" applyFont="1" applyFill="1" applyBorder="1" applyAlignment="1">
      <alignment horizontal="center" vertical="center"/>
    </xf>
    <xf numFmtId="9" fontId="47" fillId="28" borderId="20" xfId="29" applyFont="1" applyFill="1" applyBorder="1" applyAlignment="1">
      <alignment horizontal="center" vertical="center"/>
    </xf>
    <xf numFmtId="9" fontId="47" fillId="28" borderId="0" xfId="29" applyFont="1" applyFill="1" applyBorder="1" applyAlignment="1">
      <alignment horizontal="center" vertical="center"/>
    </xf>
    <xf numFmtId="9" fontId="47" fillId="28" borderId="14" xfId="29" applyFont="1" applyFill="1" applyBorder="1" applyAlignment="1">
      <alignment horizontal="center" vertical="center"/>
    </xf>
    <xf numFmtId="177" fontId="47" fillId="0" borderId="37" xfId="0" applyNumberFormat="1" applyFont="1" applyBorder="1" applyAlignment="1">
      <alignment horizontal="center" vertical="center"/>
    </xf>
    <xf numFmtId="177" fontId="47" fillId="0" borderId="38" xfId="0" applyNumberFormat="1" applyFont="1" applyBorder="1" applyAlignment="1">
      <alignment horizontal="center" vertical="center"/>
    </xf>
    <xf numFmtId="177" fontId="47" fillId="0" borderId="113" xfId="0" applyNumberFormat="1" applyFont="1" applyBorder="1" applyAlignment="1">
      <alignment horizontal="center" vertical="center"/>
    </xf>
    <xf numFmtId="9" fontId="47" fillId="0" borderId="101" xfId="0" applyNumberFormat="1" applyFont="1" applyBorder="1" applyAlignment="1">
      <alignment horizontal="center" vertical="center"/>
    </xf>
    <xf numFmtId="9" fontId="47" fillId="0" borderId="38" xfId="0" applyNumberFormat="1" applyFont="1" applyBorder="1" applyAlignment="1">
      <alignment horizontal="center" vertical="center"/>
    </xf>
    <xf numFmtId="9" fontId="47" fillId="0" borderId="40" xfId="0" applyNumberFormat="1" applyFont="1" applyBorder="1" applyAlignment="1">
      <alignment horizontal="center" vertical="center"/>
    </xf>
    <xf numFmtId="177" fontId="47" fillId="0" borderId="115" xfId="0" applyNumberFormat="1" applyFont="1" applyBorder="1" applyAlignment="1">
      <alignment horizontal="center" vertical="center"/>
    </xf>
    <xf numFmtId="177" fontId="47" fillId="0" borderId="10" xfId="0" applyNumberFormat="1" applyFont="1" applyBorder="1" applyAlignment="1">
      <alignment horizontal="center" vertical="center"/>
    </xf>
    <xf numFmtId="177" fontId="47" fillId="0" borderId="26" xfId="0" applyNumberFormat="1" applyFont="1" applyBorder="1" applyAlignment="1">
      <alignment horizontal="center" vertical="center"/>
    </xf>
    <xf numFmtId="9" fontId="47" fillId="0" borderId="35" xfId="0" applyNumberFormat="1" applyFont="1" applyBorder="1" applyAlignment="1">
      <alignment horizontal="center" vertical="center"/>
    </xf>
    <xf numFmtId="9" fontId="47" fillId="0" borderId="34" xfId="0" applyNumberFormat="1" applyFont="1" applyBorder="1" applyAlignment="1">
      <alignment horizontal="center" vertical="center"/>
    </xf>
    <xf numFmtId="9" fontId="47" fillId="0" borderId="20" xfId="0" applyNumberFormat="1" applyFont="1" applyBorder="1" applyAlignment="1">
      <alignment horizontal="center" vertical="center"/>
    </xf>
    <xf numFmtId="9" fontId="47" fillId="0" borderId="114" xfId="0" applyNumberFormat="1" applyFont="1" applyBorder="1" applyAlignment="1">
      <alignment horizontal="center" vertical="center"/>
    </xf>
    <xf numFmtId="9" fontId="47" fillId="0" borderId="127" xfId="0" applyNumberFormat="1" applyFont="1" applyBorder="1" applyAlignment="1">
      <alignment horizontal="center" vertical="center"/>
    </xf>
    <xf numFmtId="0" fontId="47" fillId="0" borderId="51" xfId="0" applyFont="1" applyBorder="1" applyAlignment="1">
      <alignment horizontal="center"/>
    </xf>
    <xf numFmtId="0" fontId="47" fillId="0" borderId="33" xfId="0" applyFont="1" applyBorder="1" applyAlignment="1">
      <alignment horizontal="center"/>
    </xf>
    <xf numFmtId="0" fontId="47" fillId="0" borderId="52" xfId="0" applyFont="1" applyBorder="1" applyAlignment="1">
      <alignment horizontal="center"/>
    </xf>
    <xf numFmtId="167" fontId="49" fillId="0" borderId="51" xfId="0" applyNumberFormat="1" applyFont="1" applyBorder="1" applyAlignment="1">
      <alignment horizontal="center"/>
    </xf>
    <xf numFmtId="167" fontId="49" fillId="0" borderId="52" xfId="0" applyNumberFormat="1" applyFont="1" applyBorder="1" applyAlignment="1">
      <alignment horizontal="center"/>
    </xf>
    <xf numFmtId="9" fontId="50" fillId="0" borderId="67" xfId="0" applyNumberFormat="1" applyFont="1" applyBorder="1" applyAlignment="1">
      <alignment horizontal="center"/>
    </xf>
    <xf numFmtId="9" fontId="50" fillId="0" borderId="68" xfId="0" applyNumberFormat="1" applyFont="1" applyBorder="1" applyAlignment="1">
      <alignment horizontal="center"/>
    </xf>
    <xf numFmtId="167" fontId="49" fillId="20" borderId="51" xfId="0" applyNumberFormat="1" applyFont="1" applyFill="1" applyBorder="1" applyAlignment="1">
      <alignment horizontal="center"/>
    </xf>
    <xf numFmtId="167" fontId="49" fillId="20" borderId="52" xfId="0" applyNumberFormat="1" applyFont="1" applyFill="1" applyBorder="1" applyAlignment="1">
      <alignment horizontal="center"/>
    </xf>
    <xf numFmtId="0" fontId="49" fillId="0" borderId="51" xfId="0" applyFont="1" applyBorder="1" applyAlignment="1">
      <alignment horizontal="center"/>
    </xf>
    <xf numFmtId="0" fontId="49" fillId="0" borderId="52" xfId="0" applyFont="1" applyBorder="1" applyAlignment="1">
      <alignment horizontal="center"/>
    </xf>
    <xf numFmtId="177" fontId="50" fillId="0" borderId="71" xfId="0" applyNumberFormat="1" applyFont="1" applyBorder="1" applyAlignment="1">
      <alignment horizontal="center" vertical="center"/>
    </xf>
    <xf numFmtId="177" fontId="50" fillId="0" borderId="77" xfId="0" applyNumberFormat="1" applyFont="1" applyBorder="1" applyAlignment="1">
      <alignment horizontal="center" vertical="center"/>
    </xf>
    <xf numFmtId="167" fontId="47" fillId="0" borderId="71" xfId="0" applyNumberFormat="1" applyFont="1" applyBorder="1" applyAlignment="1">
      <alignment horizontal="center" vertical="center"/>
    </xf>
    <xf numFmtId="167" fontId="47" fillId="0" borderId="69" xfId="0" applyNumberFormat="1" applyFont="1" applyBorder="1" applyAlignment="1">
      <alignment horizontal="center" vertical="center"/>
    </xf>
    <xf numFmtId="167" fontId="47" fillId="0" borderId="77" xfId="0" applyNumberFormat="1" applyFont="1" applyBorder="1" applyAlignment="1">
      <alignment horizontal="center" vertical="center"/>
    </xf>
    <xf numFmtId="177" fontId="50" fillId="0" borderId="85" xfId="0" applyNumberFormat="1" applyFont="1" applyBorder="1" applyAlignment="1">
      <alignment horizontal="center" vertical="center"/>
    </xf>
    <xf numFmtId="177" fontId="50" fillId="0" borderId="69" xfId="0" applyNumberFormat="1" applyFont="1" applyBorder="1" applyAlignment="1">
      <alignment horizontal="center" vertical="center"/>
    </xf>
    <xf numFmtId="177" fontId="50" fillId="0" borderId="90" xfId="0" applyNumberFormat="1" applyFont="1" applyBorder="1" applyAlignment="1">
      <alignment horizontal="center" vertical="center"/>
    </xf>
    <xf numFmtId="177" fontId="50" fillId="0" borderId="83" xfId="0" applyNumberFormat="1" applyFont="1" applyBorder="1" applyAlignment="1">
      <alignment horizontal="center" vertical="center"/>
    </xf>
    <xf numFmtId="177" fontId="50" fillId="0" borderId="74" xfId="0" applyNumberFormat="1" applyFont="1" applyBorder="1" applyAlignment="1">
      <alignment horizontal="center" vertical="center"/>
    </xf>
    <xf numFmtId="167" fontId="47" fillId="0" borderId="85" xfId="0" applyNumberFormat="1" applyFont="1" applyBorder="1" applyAlignment="1">
      <alignment horizontal="center" vertical="center"/>
    </xf>
    <xf numFmtId="9" fontId="50" fillId="0" borderId="66" xfId="0" applyNumberFormat="1" applyFont="1" applyBorder="1" applyAlignment="1">
      <alignment horizontal="center"/>
    </xf>
    <xf numFmtId="167" fontId="47" fillId="0" borderId="90" xfId="0" applyNumberFormat="1" applyFont="1" applyBorder="1" applyAlignment="1">
      <alignment horizontal="center" vertical="center"/>
    </xf>
    <xf numFmtId="167" fontId="47" fillId="0" borderId="83" xfId="0" applyNumberFormat="1" applyFont="1" applyBorder="1" applyAlignment="1">
      <alignment horizontal="center" vertical="center"/>
    </xf>
    <xf numFmtId="167" fontId="47" fillId="0" borderId="74" xfId="0" applyNumberFormat="1" applyFont="1" applyBorder="1" applyAlignment="1">
      <alignment horizontal="center" vertical="center"/>
    </xf>
    <xf numFmtId="9" fontId="47" fillId="0" borderId="51" xfId="0" applyNumberFormat="1" applyFont="1" applyBorder="1" applyAlignment="1">
      <alignment horizontal="center" vertical="center"/>
    </xf>
    <xf numFmtId="9" fontId="47" fillId="0" borderId="33" xfId="0" applyNumberFormat="1" applyFont="1" applyBorder="1" applyAlignment="1">
      <alignment horizontal="center" vertical="center"/>
    </xf>
    <xf numFmtId="9" fontId="47" fillId="0" borderId="52" xfId="0" applyNumberFormat="1" applyFont="1" applyBorder="1" applyAlignment="1">
      <alignment horizontal="center" vertical="center"/>
    </xf>
    <xf numFmtId="9" fontId="50" fillId="5" borderId="51" xfId="0" applyNumberFormat="1" applyFont="1" applyFill="1" applyBorder="1" applyAlignment="1">
      <alignment horizontal="center" vertical="center"/>
    </xf>
    <xf numFmtId="9" fontId="50" fillId="5" borderId="33" xfId="0" applyNumberFormat="1" applyFont="1" applyFill="1" applyBorder="1" applyAlignment="1">
      <alignment horizontal="center" vertical="center"/>
    </xf>
    <xf numFmtId="9" fontId="50" fillId="5" borderId="119" xfId="0" applyNumberFormat="1" applyFont="1" applyFill="1" applyBorder="1" applyAlignment="1">
      <alignment horizontal="center" vertical="center"/>
    </xf>
    <xf numFmtId="177" fontId="50" fillId="0" borderId="62" xfId="0" applyNumberFormat="1" applyFont="1" applyBorder="1" applyAlignment="1">
      <alignment horizontal="center" vertical="center"/>
    </xf>
    <xf numFmtId="177" fontId="50" fillId="0" borderId="34" xfId="0" applyNumberFormat="1" applyFont="1" applyBorder="1" applyAlignment="1">
      <alignment horizontal="center" vertical="center"/>
    </xf>
    <xf numFmtId="177" fontId="50" fillId="0" borderId="47" xfId="0" applyNumberFormat="1" applyFont="1" applyBorder="1" applyAlignment="1">
      <alignment horizontal="center" vertical="center"/>
    </xf>
    <xf numFmtId="9" fontId="50" fillId="0" borderId="35" xfId="29" applyFont="1" applyFill="1" applyBorder="1" applyAlignment="1">
      <alignment horizontal="center" vertical="center"/>
    </xf>
    <xf numFmtId="9" fontId="50" fillId="0" borderId="34" xfId="29" applyFont="1" applyFill="1" applyBorder="1" applyAlignment="1">
      <alignment horizontal="center" vertical="center"/>
    </xf>
    <xf numFmtId="177" fontId="47" fillId="0" borderId="62" xfId="0" applyNumberFormat="1" applyFont="1" applyBorder="1" applyAlignment="1">
      <alignment horizontal="center" vertical="center"/>
    </xf>
    <xf numFmtId="177" fontId="47" fillId="0" borderId="34" xfId="0" applyNumberFormat="1" applyFont="1" applyBorder="1" applyAlignment="1">
      <alignment horizontal="center" vertical="center"/>
    </xf>
    <xf numFmtId="177" fontId="47" fillId="0" borderId="47" xfId="0" applyNumberFormat="1" applyFont="1" applyBorder="1" applyAlignment="1">
      <alignment horizontal="center" vertical="center"/>
    </xf>
    <xf numFmtId="177" fontId="50" fillId="0" borderId="5" xfId="0" applyNumberFormat="1" applyFont="1" applyBorder="1" applyAlignment="1">
      <alignment horizontal="center" vertical="center"/>
    </xf>
    <xf numFmtId="177" fontId="50" fillId="0" borderId="1" xfId="0" applyNumberFormat="1" applyFont="1" applyBorder="1" applyAlignment="1">
      <alignment horizontal="center" vertical="center"/>
    </xf>
    <xf numFmtId="177" fontId="47" fillId="0" borderId="24" xfId="0" applyNumberFormat="1" applyFont="1" applyBorder="1" applyAlignment="1">
      <alignment horizontal="center" vertical="center"/>
    </xf>
    <xf numFmtId="177" fontId="47" fillId="0" borderId="45" xfId="0" applyNumberFormat="1" applyFont="1" applyBorder="1" applyAlignment="1">
      <alignment horizontal="center" vertical="center"/>
    </xf>
    <xf numFmtId="9" fontId="47" fillId="0" borderId="45" xfId="29" applyFont="1" applyBorder="1" applyAlignment="1">
      <alignment horizontal="center" vertical="center"/>
    </xf>
    <xf numFmtId="9" fontId="47" fillId="0" borderId="44" xfId="29" applyFont="1" applyBorder="1" applyAlignment="1">
      <alignment horizontal="center" vertical="center"/>
    </xf>
    <xf numFmtId="9" fontId="50" fillId="0" borderId="66" xfId="0" applyNumberFormat="1" applyFont="1" applyBorder="1" applyAlignment="1">
      <alignment horizontal="center" vertical="center"/>
    </xf>
    <xf numFmtId="9" fontId="50" fillId="0" borderId="20" xfId="29" applyFont="1" applyFill="1" applyBorder="1" applyAlignment="1">
      <alignment horizontal="center" vertical="center"/>
    </xf>
    <xf numFmtId="9" fontId="50" fillId="0" borderId="0" xfId="29" applyFont="1" applyFill="1" applyBorder="1" applyAlignment="1">
      <alignment horizontal="center" vertical="center"/>
    </xf>
    <xf numFmtId="9" fontId="50" fillId="0" borderId="14" xfId="29" applyFont="1" applyFill="1" applyBorder="1" applyAlignment="1">
      <alignment horizontal="center" vertical="center"/>
    </xf>
    <xf numFmtId="9" fontId="50" fillId="0" borderId="129" xfId="0" applyNumberFormat="1" applyFont="1" applyBorder="1" applyAlignment="1">
      <alignment horizontal="center" vertical="center"/>
    </xf>
    <xf numFmtId="9" fontId="47" fillId="7" borderId="53" xfId="0" applyNumberFormat="1" applyFont="1" applyFill="1" applyBorder="1" applyAlignment="1">
      <alignment horizontal="center" vertical="center"/>
    </xf>
    <xf numFmtId="9" fontId="47" fillId="7" borderId="49" xfId="0" applyNumberFormat="1" applyFont="1" applyFill="1" applyBorder="1" applyAlignment="1">
      <alignment horizontal="center" vertical="center"/>
    </xf>
    <xf numFmtId="9" fontId="47" fillId="7" borderId="50" xfId="0" applyNumberFormat="1" applyFont="1" applyFill="1" applyBorder="1" applyAlignment="1">
      <alignment horizontal="center" vertical="center"/>
    </xf>
    <xf numFmtId="9" fontId="47" fillId="0" borderId="35" xfId="29" applyFont="1" applyBorder="1" applyAlignment="1">
      <alignment horizontal="center" vertical="center"/>
    </xf>
    <xf numFmtId="9" fontId="50" fillId="0" borderId="119" xfId="0" applyNumberFormat="1" applyFont="1" applyBorder="1" applyAlignment="1">
      <alignment horizontal="center" vertical="center"/>
    </xf>
    <xf numFmtId="167" fontId="49" fillId="0" borderId="39" xfId="0" applyNumberFormat="1" applyFont="1" applyBorder="1" applyAlignment="1">
      <alignment horizontal="center"/>
    </xf>
    <xf numFmtId="167" fontId="49" fillId="0" borderId="17" xfId="0" applyNumberFormat="1" applyFont="1" applyBorder="1" applyAlignment="1">
      <alignment horizontal="center"/>
    </xf>
    <xf numFmtId="167" fontId="49" fillId="0" borderId="33" xfId="0" applyNumberFormat="1" applyFont="1" applyBorder="1" applyAlignment="1">
      <alignment horizontal="center"/>
    </xf>
    <xf numFmtId="9" fontId="47" fillId="0" borderId="3" xfId="29" applyFont="1" applyFill="1" applyBorder="1" applyAlignment="1">
      <alignment horizontal="center" vertical="center"/>
    </xf>
    <xf numFmtId="9" fontId="47" fillId="0" borderId="128" xfId="29" applyFont="1" applyFill="1" applyBorder="1" applyAlignment="1">
      <alignment horizontal="center" vertical="center"/>
    </xf>
    <xf numFmtId="9" fontId="47" fillId="0" borderId="1" xfId="29" applyFont="1" applyBorder="1" applyAlignment="1">
      <alignment horizontal="center" vertical="center"/>
    </xf>
    <xf numFmtId="9" fontId="47" fillId="0" borderId="61" xfId="0" applyNumberFormat="1" applyFont="1" applyBorder="1" applyAlignment="1">
      <alignment horizontal="center" vertical="center"/>
    </xf>
    <xf numFmtId="0" fontId="48" fillId="0" borderId="1" xfId="0" applyFont="1" applyBorder="1" applyAlignment="1">
      <alignment horizontal="center"/>
    </xf>
    <xf numFmtId="9" fontId="47" fillId="8" borderId="51" xfId="0" applyNumberFormat="1" applyFont="1" applyFill="1" applyBorder="1" applyAlignment="1">
      <alignment horizontal="center" vertic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13"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9" fontId="47" fillId="8" borderId="48" xfId="0" applyNumberFormat="1" applyFont="1" applyFill="1" applyBorder="1" applyAlignment="1">
      <alignment horizontal="center" vertical="center"/>
    </xf>
    <xf numFmtId="9" fontId="47" fillId="8" borderId="49" xfId="0" applyNumberFormat="1" applyFont="1" applyFill="1" applyBorder="1" applyAlignment="1">
      <alignment horizontal="center" vertical="center"/>
    </xf>
    <xf numFmtId="9" fontId="47" fillId="8" borderId="50" xfId="0" applyNumberFormat="1" applyFont="1" applyFill="1" applyBorder="1" applyAlignment="1">
      <alignment horizontal="center" vertical="center"/>
    </xf>
    <xf numFmtId="9" fontId="47" fillId="7" borderId="48" xfId="0" applyNumberFormat="1" applyFont="1" applyFill="1" applyBorder="1" applyAlignment="1">
      <alignment horizontal="center" vertical="center"/>
    </xf>
    <xf numFmtId="0" fontId="47" fillId="0" borderId="0" xfId="0" applyFont="1" applyAlignment="1">
      <alignment vertical="center" wrapText="1"/>
    </xf>
    <xf numFmtId="9" fontId="47" fillId="8" borderId="99" xfId="0" applyNumberFormat="1" applyFont="1" applyFill="1" applyBorder="1" applyAlignment="1">
      <alignment horizontal="center" vertical="center"/>
    </xf>
    <xf numFmtId="9" fontId="47" fillId="8" borderId="100" xfId="0" applyNumberFormat="1" applyFont="1" applyFill="1" applyBorder="1" applyAlignment="1">
      <alignment horizontal="center" vertical="center"/>
    </xf>
    <xf numFmtId="9" fontId="47" fillId="8" borderId="101" xfId="0" applyNumberFormat="1" applyFont="1" applyFill="1" applyBorder="1" applyAlignment="1">
      <alignment horizontal="center" vertical="center"/>
    </xf>
    <xf numFmtId="9" fontId="47" fillId="8" borderId="102" xfId="0" applyNumberFormat="1" applyFont="1" applyFill="1" applyBorder="1" applyAlignment="1">
      <alignment horizontal="center" vertical="center"/>
    </xf>
    <xf numFmtId="9" fontId="47" fillId="7" borderId="54" xfId="0" applyNumberFormat="1" applyFont="1" applyFill="1" applyBorder="1" applyAlignment="1">
      <alignment horizontal="center" vertical="center"/>
    </xf>
    <xf numFmtId="9" fontId="47" fillId="0" borderId="99" xfId="0" applyNumberFormat="1" applyFont="1" applyBorder="1" applyAlignment="1">
      <alignment horizontal="center" vertical="center"/>
    </xf>
    <xf numFmtId="9" fontId="47" fillId="0" borderId="100"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47" fillId="8" borderId="129" xfId="0" applyNumberFormat="1" applyFont="1" applyFill="1" applyBorder="1" applyAlignment="1">
      <alignment horizontal="center" vertical="center"/>
    </xf>
    <xf numFmtId="9" fontId="47" fillId="8" borderId="67" xfId="0" applyNumberFormat="1" applyFont="1" applyFill="1" applyBorder="1" applyAlignment="1">
      <alignment horizontal="center" vertical="center"/>
    </xf>
    <xf numFmtId="9" fontId="47" fillId="8" borderId="68" xfId="0" applyNumberFormat="1" applyFont="1" applyFill="1" applyBorder="1" applyAlignment="1">
      <alignment horizontal="center" vertical="center"/>
    </xf>
    <xf numFmtId="0" fontId="47" fillId="0" borderId="35"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3" xfId="0" applyFont="1" applyBorder="1" applyAlignment="1">
      <alignment horizontal="center" vertical="center" wrapText="1"/>
    </xf>
    <xf numFmtId="0" fontId="47" fillId="14" borderId="45" xfId="0" applyFont="1" applyFill="1" applyBorder="1" applyAlignment="1">
      <alignment horizontal="center"/>
    </xf>
    <xf numFmtId="0" fontId="47" fillId="14" borderId="21" xfId="0" applyFont="1" applyFill="1" applyBorder="1" applyAlignment="1">
      <alignment horizontal="center"/>
    </xf>
    <xf numFmtId="0" fontId="47" fillId="14" borderId="46" xfId="0" applyFont="1" applyFill="1" applyBorder="1" applyAlignment="1">
      <alignment horizontal="center"/>
    </xf>
    <xf numFmtId="1" fontId="47" fillId="15" borderId="1" xfId="0" applyNumberFormat="1" applyFont="1" applyFill="1" applyBorder="1" applyAlignment="1">
      <alignment horizontal="center"/>
    </xf>
    <xf numFmtId="0" fontId="47" fillId="0" borderId="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27" xfId="0" applyFont="1" applyBorder="1" applyAlignment="1">
      <alignment horizontal="center" vertical="center" wrapText="1"/>
    </xf>
    <xf numFmtId="9" fontId="47" fillId="0" borderId="8" xfId="29" applyFont="1" applyBorder="1" applyAlignment="1">
      <alignment horizontal="center" vertical="center"/>
    </xf>
    <xf numFmtId="167" fontId="47" fillId="0" borderId="36" xfId="0" applyNumberFormat="1" applyFont="1" applyBorder="1" applyAlignment="1">
      <alignment horizontal="center" vertical="center"/>
    </xf>
    <xf numFmtId="167" fontId="47" fillId="0" borderId="9" xfId="0" applyNumberFormat="1" applyFont="1" applyBorder="1" applyAlignment="1">
      <alignment horizontal="center" vertical="center"/>
    </xf>
    <xf numFmtId="9" fontId="47" fillId="0" borderId="0" xfId="0" applyNumberFormat="1" applyFont="1" applyAlignment="1">
      <alignment horizontal="center" vertical="center"/>
    </xf>
    <xf numFmtId="9" fontId="47" fillId="0" borderId="14" xfId="0" applyNumberFormat="1" applyFont="1" applyBorder="1" applyAlignment="1">
      <alignment horizontal="center" vertical="center"/>
    </xf>
    <xf numFmtId="0" fontId="85" fillId="0" borderId="19" xfId="0" applyFont="1" applyBorder="1" applyAlignment="1">
      <alignment horizontal="center"/>
    </xf>
    <xf numFmtId="9" fontId="47" fillId="28" borderId="10" xfId="29" applyFont="1" applyFill="1" applyBorder="1" applyAlignment="1">
      <alignment horizontal="center" vertical="center"/>
    </xf>
    <xf numFmtId="9" fontId="47" fillId="28" borderId="27" xfId="29" applyFont="1" applyFill="1" applyBorder="1" applyAlignment="1">
      <alignment horizontal="center" vertical="center"/>
    </xf>
    <xf numFmtId="9" fontId="47" fillId="28" borderId="114" xfId="29" applyFont="1" applyFill="1" applyBorder="1" applyAlignment="1">
      <alignment horizontal="center" vertical="center"/>
    </xf>
    <xf numFmtId="9" fontId="50" fillId="0" borderId="114" xfId="29" applyFont="1" applyFill="1" applyBorder="1" applyAlignment="1">
      <alignment horizontal="center" vertical="center"/>
    </xf>
    <xf numFmtId="9" fontId="50" fillId="0" borderId="61" xfId="29" applyFont="1" applyFill="1" applyBorder="1" applyAlignment="1">
      <alignment horizontal="center" vertical="center"/>
    </xf>
    <xf numFmtId="177" fontId="50" fillId="0" borderId="91" xfId="0" applyNumberFormat="1" applyFont="1" applyBorder="1" applyAlignment="1">
      <alignment horizontal="center" vertical="center"/>
    </xf>
    <xf numFmtId="177" fontId="50" fillId="0" borderId="26" xfId="0" applyNumberFormat="1" applyFont="1" applyBorder="1" applyAlignment="1">
      <alignment horizontal="center" vertical="center"/>
    </xf>
    <xf numFmtId="9" fontId="47" fillId="0" borderId="45" xfId="0" applyNumberFormat="1" applyFont="1" applyBorder="1" applyAlignment="1">
      <alignment horizontal="center" vertical="center"/>
    </xf>
    <xf numFmtId="9" fontId="47" fillId="0" borderId="44" xfId="0" applyNumberFormat="1" applyFont="1" applyBorder="1" applyAlignment="1">
      <alignment horizontal="center" vertical="center"/>
    </xf>
    <xf numFmtId="9" fontId="47" fillId="0" borderId="3" xfId="0" applyNumberFormat="1" applyFont="1" applyBorder="1" applyAlignment="1">
      <alignment horizontal="center" vertical="center"/>
    </xf>
    <xf numFmtId="9" fontId="47" fillId="0" borderId="116" xfId="0" applyNumberFormat="1" applyFont="1" applyBorder="1" applyAlignment="1">
      <alignment horizontal="center" vertical="center"/>
    </xf>
    <xf numFmtId="0" fontId="87" fillId="0" borderId="0" xfId="0" applyFont="1" applyAlignment="1">
      <alignment horizontal="center"/>
    </xf>
    <xf numFmtId="0" fontId="7" fillId="0" borderId="14" xfId="0" applyFont="1" applyBorder="1" applyAlignment="1">
      <alignment horizontal="left"/>
    </xf>
    <xf numFmtId="0" fontId="0" fillId="0" borderId="0" xfId="0" applyAlignment="1">
      <alignment horizontal="center" wrapText="1"/>
    </xf>
    <xf numFmtId="0" fontId="102" fillId="0" borderId="34" xfId="0" applyFont="1" applyBorder="1" applyAlignment="1">
      <alignment horizontal="center" vertical="center"/>
    </xf>
    <xf numFmtId="0" fontId="102" fillId="0" borderId="0" xfId="0" applyFont="1" applyAlignment="1">
      <alignment horizontal="center" vertical="center"/>
    </xf>
    <xf numFmtId="0" fontId="102" fillId="0" borderId="34" xfId="0" applyFont="1" applyBorder="1" applyAlignment="1">
      <alignment horizontal="center" vertical="center" wrapText="1"/>
    </xf>
    <xf numFmtId="0" fontId="102" fillId="0" borderId="0" xfId="0" applyFont="1" applyAlignment="1">
      <alignment horizontal="center" vertical="center" wrapText="1"/>
    </xf>
    <xf numFmtId="0" fontId="7" fillId="0" borderId="0" xfId="0" applyFont="1" applyAlignment="1">
      <alignment horizontal="center"/>
    </xf>
    <xf numFmtId="0" fontId="10" fillId="0" borderId="0" xfId="0" applyFont="1" applyAlignment="1">
      <alignment horizontal="center" wrapText="1"/>
    </xf>
    <xf numFmtId="0" fontId="0" fillId="33" borderId="34" xfId="0" applyFill="1" applyBorder="1" applyAlignment="1">
      <alignment horizontal="center"/>
    </xf>
    <xf numFmtId="0" fontId="0" fillId="33" borderId="10" xfId="0" applyFill="1" applyBorder="1" applyAlignment="1">
      <alignment horizontal="center"/>
    </xf>
    <xf numFmtId="170" fontId="0" fillId="19" borderId="34" xfId="0" applyNumberFormat="1" applyFill="1" applyBorder="1" applyAlignment="1">
      <alignment horizontal="center"/>
    </xf>
    <xf numFmtId="170" fontId="0" fillId="19" borderId="10" xfId="0" applyNumberFormat="1" applyFill="1" applyBorder="1" applyAlignment="1">
      <alignment horizontal="center"/>
    </xf>
    <xf numFmtId="170" fontId="7" fillId="19" borderId="47" xfId="0" applyNumberFormat="1" applyFont="1" applyFill="1" applyBorder="1" applyAlignment="1">
      <alignment horizontal="center"/>
    </xf>
    <xf numFmtId="0" fontId="7" fillId="19" borderId="26" xfId="0" applyFont="1" applyFill="1" applyBorder="1" applyAlignment="1">
      <alignment horizontal="center"/>
    </xf>
    <xf numFmtId="170" fontId="7" fillId="33" borderId="47" xfId="0" applyNumberFormat="1" applyFont="1" applyFill="1" applyBorder="1" applyAlignment="1">
      <alignment horizontal="center"/>
    </xf>
    <xf numFmtId="0" fontId="7" fillId="33" borderId="26" xfId="0" applyFont="1" applyFill="1" applyBorder="1" applyAlignment="1">
      <alignment horizontal="center"/>
    </xf>
    <xf numFmtId="170" fontId="5" fillId="19" borderId="34" xfId="1" applyNumberFormat="1" applyFont="1" applyFill="1" applyBorder="1" applyAlignment="1">
      <alignment horizontal="center"/>
    </xf>
    <xf numFmtId="170" fontId="5" fillId="19" borderId="10" xfId="1" applyNumberFormat="1" applyFont="1" applyFill="1" applyBorder="1" applyAlignment="1">
      <alignment horizontal="center"/>
    </xf>
    <xf numFmtId="170" fontId="5" fillId="33" borderId="34" xfId="1" applyNumberFormat="1" applyFont="1" applyFill="1" applyBorder="1" applyAlignment="1">
      <alignment horizontal="center"/>
    </xf>
    <xf numFmtId="170" fontId="5" fillId="33" borderId="10" xfId="1" applyNumberFormat="1" applyFont="1" applyFill="1" applyBorder="1" applyAlignment="1">
      <alignment horizontal="center"/>
    </xf>
    <xf numFmtId="170" fontId="0" fillId="33" borderId="34" xfId="0" applyNumberFormat="1" applyFill="1" applyBorder="1" applyAlignment="1">
      <alignment horizontal="center"/>
    </xf>
    <xf numFmtId="0" fontId="7" fillId="0" borderId="37" xfId="0" applyFont="1" applyBorder="1" applyAlignment="1">
      <alignment horizontal="center"/>
    </xf>
    <xf numFmtId="0" fontId="7" fillId="0" borderId="41" xfId="0" applyFont="1" applyBorder="1" applyAlignment="1">
      <alignment horizontal="center"/>
    </xf>
    <xf numFmtId="17" fontId="7" fillId="19" borderId="35" xfId="0" applyNumberFormat="1" applyFont="1" applyFill="1" applyBorder="1" applyAlignment="1">
      <alignment horizontal="center"/>
    </xf>
    <xf numFmtId="17" fontId="7" fillId="19" borderId="3" xfId="0" applyNumberFormat="1" applyFont="1" applyFill="1" applyBorder="1" applyAlignment="1">
      <alignment horizontal="center"/>
    </xf>
    <xf numFmtId="0" fontId="0" fillId="19" borderId="34" xfId="0" applyFill="1" applyBorder="1" applyAlignment="1">
      <alignment horizontal="center"/>
    </xf>
    <xf numFmtId="0" fontId="0" fillId="19" borderId="10" xfId="0" applyFill="1" applyBorder="1" applyAlignment="1">
      <alignment horizontal="center"/>
    </xf>
    <xf numFmtId="17" fontId="7" fillId="33" borderId="35" xfId="0" applyNumberFormat="1" applyFont="1" applyFill="1" applyBorder="1" applyAlignment="1">
      <alignment horizontal="center"/>
    </xf>
    <xf numFmtId="17" fontId="7" fillId="33" borderId="3" xfId="0" applyNumberFormat="1" applyFont="1" applyFill="1" applyBorder="1" applyAlignment="1">
      <alignment horizontal="center"/>
    </xf>
    <xf numFmtId="0" fontId="34" fillId="0" borderId="35" xfId="0" applyFont="1" applyBorder="1" applyAlignment="1">
      <alignment horizontal="center"/>
    </xf>
    <xf numFmtId="0" fontId="34" fillId="0" borderId="20" xfId="0" applyFont="1" applyBorder="1" applyAlignment="1">
      <alignment horizontal="center"/>
    </xf>
    <xf numFmtId="0" fontId="5" fillId="0" borderId="34" xfId="0" applyFont="1" applyBorder="1" applyAlignment="1">
      <alignment horizontal="left" wrapText="1"/>
    </xf>
    <xf numFmtId="0" fontId="0" fillId="0" borderId="0" xfId="0" applyAlignment="1">
      <alignment horizontal="left" wrapText="1"/>
    </xf>
    <xf numFmtId="0" fontId="5" fillId="0" borderId="0" xfId="0" applyFont="1" applyAlignment="1">
      <alignment horizontal="center"/>
    </xf>
    <xf numFmtId="0" fontId="0" fillId="0" borderId="0" xfId="0" applyAlignment="1">
      <alignment horizontal="center"/>
    </xf>
    <xf numFmtId="0" fontId="5" fillId="21" borderId="0" xfId="0" applyFont="1" applyFill="1" applyAlignment="1">
      <alignment horizontal="center"/>
    </xf>
    <xf numFmtId="0" fontId="5" fillId="0" borderId="0" xfId="0" applyFont="1" applyAlignment="1">
      <alignment horizontal="left" wrapText="1"/>
    </xf>
    <xf numFmtId="0" fontId="5" fillId="0" borderId="47" xfId="0" applyFont="1" applyBorder="1" applyAlignment="1">
      <alignment horizontal="left" wrapText="1"/>
    </xf>
    <xf numFmtId="0" fontId="0" fillId="0" borderId="19" xfId="0" applyBorder="1" applyAlignment="1">
      <alignment horizontal="left" wrapText="1"/>
    </xf>
    <xf numFmtId="0" fontId="5" fillId="15" borderId="0" xfId="0" applyFont="1" applyFill="1" applyAlignment="1">
      <alignment horizontal="center"/>
    </xf>
    <xf numFmtId="0" fontId="0" fillId="24" borderId="0" xfId="0" applyFill="1" applyAlignment="1">
      <alignment horizontal="center" vertical="center"/>
    </xf>
    <xf numFmtId="0" fontId="0" fillId="25" borderId="0" xfId="0" applyFill="1" applyAlignment="1">
      <alignment horizontal="center" vertical="center"/>
    </xf>
    <xf numFmtId="0" fontId="0" fillId="24" borderId="0" xfId="0" applyFill="1" applyAlignment="1">
      <alignment horizontal="center" vertical="center" wrapText="1"/>
    </xf>
    <xf numFmtId="0" fontId="5" fillId="34" borderId="0" xfId="0" applyFont="1" applyFill="1" applyAlignment="1">
      <alignment horizontal="center"/>
    </xf>
    <xf numFmtId="0" fontId="0" fillId="0" borderId="0" xfId="0" applyAlignment="1">
      <alignment horizontal="center" vertical="center"/>
    </xf>
    <xf numFmtId="0" fontId="5" fillId="0" borderId="37" xfId="0" applyFont="1" applyBorder="1" applyAlignment="1">
      <alignment horizontal="center" vertical="center"/>
    </xf>
    <xf numFmtId="0" fontId="5" fillId="0" borderId="38" xfId="0" applyFont="1" applyBorder="1" applyAlignment="1">
      <alignment horizontal="center" vertical="center"/>
    </xf>
    <xf numFmtId="0" fontId="5" fillId="0" borderId="40" xfId="0" applyFont="1" applyBorder="1" applyAlignment="1">
      <alignment horizontal="center" vertical="center"/>
    </xf>
    <xf numFmtId="0" fontId="5" fillId="0" borderId="63" xfId="0" applyFont="1" applyBorder="1" applyAlignment="1">
      <alignment horizontal="center" vertical="center"/>
    </xf>
    <xf numFmtId="0" fontId="5" fillId="0" borderId="64" xfId="0" applyFont="1" applyBorder="1" applyAlignment="1">
      <alignment horizontal="center" vertical="center"/>
    </xf>
    <xf numFmtId="0" fontId="5" fillId="0" borderId="65" xfId="0" applyFont="1" applyBorder="1" applyAlignment="1">
      <alignment horizontal="center" vertical="center"/>
    </xf>
    <xf numFmtId="0" fontId="11" fillId="0" borderId="0" xfId="0" applyFont="1" applyAlignment="1">
      <alignment horizontal="center"/>
    </xf>
    <xf numFmtId="0" fontId="16" fillId="0" borderId="0" xfId="0" applyFont="1" applyAlignment="1">
      <alignment horizontal="left"/>
    </xf>
    <xf numFmtId="0" fontId="16" fillId="0" borderId="19" xfId="0" applyFont="1" applyBorder="1" applyAlignment="1">
      <alignment horizontal="left"/>
    </xf>
    <xf numFmtId="0" fontId="18" fillId="0" borderId="19" xfId="0" applyFont="1" applyBorder="1" applyAlignment="1">
      <alignment horizontal="left"/>
    </xf>
    <xf numFmtId="167" fontId="50" fillId="0" borderId="36" xfId="0" applyNumberFormat="1" applyFont="1" applyBorder="1" applyAlignment="1">
      <alignment horizontal="center" vertical="center"/>
    </xf>
    <xf numFmtId="167" fontId="50" fillId="0" borderId="27" xfId="0" applyNumberFormat="1" applyFont="1" applyBorder="1" applyAlignment="1">
      <alignment horizontal="center" vertical="center"/>
    </xf>
    <xf numFmtId="167" fontId="50" fillId="0" borderId="25" xfId="0" applyNumberFormat="1" applyFont="1" applyBorder="1" applyAlignment="1">
      <alignment horizontal="center" vertical="center"/>
    </xf>
    <xf numFmtId="167" fontId="47" fillId="0" borderId="5" xfId="0" applyNumberFormat="1" applyFont="1" applyBorder="1" applyAlignment="1">
      <alignment horizontal="center" vertical="center"/>
    </xf>
    <xf numFmtId="167" fontId="47" fillId="0" borderId="1" xfId="0" applyNumberFormat="1" applyFont="1" applyBorder="1" applyAlignment="1">
      <alignment horizontal="center" vertical="center"/>
    </xf>
    <xf numFmtId="167" fontId="47" fillId="0" borderId="8" xfId="0" applyNumberFormat="1" applyFont="1" applyBorder="1" applyAlignment="1">
      <alignment horizontal="center" vertical="center"/>
    </xf>
    <xf numFmtId="167" fontId="67" fillId="0" borderId="36" xfId="0" applyNumberFormat="1" applyFont="1" applyBorder="1" applyAlignment="1">
      <alignment horizontal="center" vertical="center"/>
    </xf>
    <xf numFmtId="167" fontId="67" fillId="0" borderId="27" xfId="0" applyNumberFormat="1" applyFont="1" applyBorder="1" applyAlignment="1">
      <alignment horizontal="center" vertical="center"/>
    </xf>
    <xf numFmtId="167" fontId="67" fillId="0" borderId="25" xfId="0" applyNumberFormat="1" applyFont="1" applyBorder="1" applyAlignment="1">
      <alignment horizontal="center" vertical="center"/>
    </xf>
    <xf numFmtId="167" fontId="66" fillId="0" borderId="5" xfId="0" applyNumberFormat="1" applyFont="1" applyBorder="1" applyAlignment="1">
      <alignment horizontal="center" vertical="center"/>
    </xf>
    <xf numFmtId="167" fontId="66" fillId="0" borderId="1" xfId="0" applyNumberFormat="1" applyFont="1" applyBorder="1" applyAlignment="1">
      <alignment horizontal="center" vertical="center"/>
    </xf>
    <xf numFmtId="167" fontId="66" fillId="0" borderId="8" xfId="0" applyNumberFormat="1" applyFont="1" applyBorder="1" applyAlignment="1">
      <alignment horizontal="center" vertical="center"/>
    </xf>
    <xf numFmtId="9" fontId="66" fillId="8" borderId="48" xfId="0" applyNumberFormat="1" applyFont="1" applyFill="1" applyBorder="1" applyAlignment="1">
      <alignment horizontal="center" vertical="center"/>
    </xf>
    <xf numFmtId="9" fontId="66" fillId="8" borderId="49" xfId="0" applyNumberFormat="1" applyFont="1" applyFill="1" applyBorder="1" applyAlignment="1">
      <alignment horizontal="center" vertical="center"/>
    </xf>
    <xf numFmtId="9" fontId="66" fillId="8" borderId="54" xfId="0" applyNumberFormat="1" applyFont="1" applyFill="1" applyBorder="1" applyAlignment="1">
      <alignment horizontal="center" vertical="center"/>
    </xf>
    <xf numFmtId="9" fontId="66" fillId="8" borderId="50" xfId="0" applyNumberFormat="1" applyFont="1" applyFill="1" applyBorder="1" applyAlignment="1">
      <alignment horizontal="center" vertical="center"/>
    </xf>
    <xf numFmtId="0" fontId="47" fillId="0" borderId="34" xfId="0" applyFont="1" applyBorder="1" applyAlignment="1">
      <alignment horizontal="center"/>
    </xf>
    <xf numFmtId="0" fontId="47" fillId="0" borderId="0" xfId="0" applyFont="1" applyAlignment="1">
      <alignment horizontal="center"/>
    </xf>
    <xf numFmtId="0" fontId="48" fillId="0" borderId="45" xfId="0" applyFont="1" applyBorder="1" applyAlignment="1">
      <alignment horizontal="center"/>
    </xf>
    <xf numFmtId="0" fontId="48" fillId="0" borderId="21" xfId="0" applyFont="1" applyBorder="1" applyAlignment="1">
      <alignment horizontal="center"/>
    </xf>
    <xf numFmtId="0" fontId="48" fillId="0" borderId="46" xfId="0" applyFont="1" applyBorder="1" applyAlignment="1">
      <alignment horizontal="center"/>
    </xf>
    <xf numFmtId="2" fontId="68" fillId="0" borderId="0" xfId="0" applyNumberFormat="1" applyFont="1" applyAlignment="1">
      <alignment horizontal="center" vertical="center" wrapText="1"/>
    </xf>
    <xf numFmtId="1" fontId="110" fillId="61" borderId="45" xfId="0" applyNumberFormat="1" applyFont="1" applyFill="1" applyBorder="1" applyAlignment="1">
      <alignment horizontal="center"/>
    </xf>
    <xf numFmtId="1" fontId="110" fillId="61" borderId="21" xfId="0" applyNumberFormat="1" applyFont="1" applyFill="1" applyBorder="1" applyAlignment="1">
      <alignment horizontal="center"/>
    </xf>
    <xf numFmtId="0" fontId="110" fillId="15" borderId="89" xfId="0" applyFont="1" applyFill="1" applyBorder="1" applyAlignment="1">
      <alignment horizontal="center"/>
    </xf>
    <xf numFmtId="0" fontId="110" fillId="15" borderId="18" xfId="0" applyFont="1" applyFill="1" applyBorder="1" applyAlignment="1">
      <alignment horizontal="center"/>
    </xf>
    <xf numFmtId="1" fontId="110" fillId="61" borderId="102" xfId="0" applyNumberFormat="1" applyFont="1" applyFill="1" applyBorder="1" applyAlignment="1">
      <alignment horizontal="center"/>
    </xf>
    <xf numFmtId="1" fontId="110" fillId="61" borderId="11" xfId="0" applyNumberFormat="1" applyFont="1" applyFill="1" applyBorder="1" applyAlignment="1">
      <alignment horizontal="center"/>
    </xf>
    <xf numFmtId="1" fontId="110" fillId="61" borderId="22" xfId="0" applyNumberFormat="1" applyFont="1" applyFill="1" applyBorder="1" applyAlignment="1">
      <alignment horizontal="center"/>
    </xf>
    <xf numFmtId="0" fontId="111" fillId="60" borderId="89" xfId="0" applyFont="1" applyFill="1" applyBorder="1" applyAlignment="1">
      <alignment horizontal="center" vertical="center" wrapText="1"/>
    </xf>
    <xf numFmtId="0" fontId="111" fillId="60" borderId="42" xfId="0" applyFont="1" applyFill="1" applyBorder="1" applyAlignment="1">
      <alignment horizontal="center" vertical="center" wrapText="1"/>
    </xf>
    <xf numFmtId="0" fontId="111" fillId="60" borderId="18" xfId="0" applyFont="1" applyFill="1" applyBorder="1" applyAlignment="1">
      <alignment horizontal="center" vertical="center" wrapText="1"/>
    </xf>
    <xf numFmtId="0" fontId="110" fillId="18" borderId="89" xfId="0" applyFont="1" applyFill="1" applyBorder="1" applyAlignment="1">
      <alignment horizontal="center" wrapText="1"/>
    </xf>
    <xf numFmtId="0" fontId="110" fillId="18" borderId="42" xfId="0" applyFont="1" applyFill="1" applyBorder="1" applyAlignment="1">
      <alignment horizontal="center" wrapText="1"/>
    </xf>
    <xf numFmtId="0" fontId="110" fillId="18" borderId="18" xfId="0" applyFont="1" applyFill="1" applyBorder="1" applyAlignment="1">
      <alignment horizontal="center" wrapText="1"/>
    </xf>
    <xf numFmtId="0" fontId="107" fillId="61" borderId="45" xfId="0" applyFont="1" applyFill="1" applyBorder="1" applyAlignment="1">
      <alignment horizontal="center" vertical="center"/>
    </xf>
    <xf numFmtId="0" fontId="107" fillId="61" borderId="21" xfId="0" applyFont="1" applyFill="1" applyBorder="1" applyAlignment="1">
      <alignment horizontal="center" vertical="center"/>
    </xf>
    <xf numFmtId="0" fontId="107" fillId="61" borderId="46" xfId="0" applyFont="1" applyFill="1" applyBorder="1" applyAlignment="1">
      <alignment horizontal="center" vertical="center"/>
    </xf>
    <xf numFmtId="0" fontId="7" fillId="63" borderId="35" xfId="0" applyFont="1" applyFill="1" applyBorder="1" applyAlignment="1">
      <alignment horizontal="center" vertical="center" wrapText="1"/>
    </xf>
    <xf numFmtId="0" fontId="7" fillId="63" borderId="142" xfId="0" applyFont="1" applyFill="1" applyBorder="1" applyAlignment="1">
      <alignment horizontal="center" vertical="center" wrapText="1"/>
    </xf>
    <xf numFmtId="0" fontId="109" fillId="32" borderId="1" xfId="0" applyFont="1" applyFill="1" applyBorder="1" applyAlignment="1">
      <alignment horizontal="center" vertical="center"/>
    </xf>
    <xf numFmtId="0" fontId="107" fillId="61" borderId="100" xfId="0" applyFont="1" applyFill="1" applyBorder="1" applyAlignment="1">
      <alignment horizontal="center" vertical="center"/>
    </xf>
    <xf numFmtId="0" fontId="107" fillId="61" borderId="141" xfId="0" applyFont="1" applyFill="1" applyBorder="1" applyAlignment="1">
      <alignment horizontal="center" vertical="center"/>
    </xf>
    <xf numFmtId="0" fontId="107" fillId="9" borderId="89" xfId="0" applyFont="1" applyFill="1" applyBorder="1" applyAlignment="1">
      <alignment horizontal="center"/>
    </xf>
    <xf numFmtId="0" fontId="107" fillId="9" borderId="42" xfId="0" applyFont="1" applyFill="1" applyBorder="1" applyAlignment="1">
      <alignment horizontal="center"/>
    </xf>
    <xf numFmtId="0" fontId="107" fillId="9" borderId="18" xfId="0" applyFont="1" applyFill="1" applyBorder="1" applyAlignment="1">
      <alignment horizontal="center"/>
    </xf>
    <xf numFmtId="0" fontId="107" fillId="60" borderId="89" xfId="0" applyFont="1" applyFill="1" applyBorder="1" applyAlignment="1">
      <alignment horizontal="center" vertical="center" wrapText="1"/>
    </xf>
    <xf numFmtId="0" fontId="107" fillId="60" borderId="42" xfId="0" applyFont="1" applyFill="1" applyBorder="1" applyAlignment="1">
      <alignment horizontal="center" vertical="center" wrapText="1"/>
    </xf>
    <xf numFmtId="0" fontId="107" fillId="60" borderId="18" xfId="0" applyFont="1" applyFill="1" applyBorder="1" applyAlignment="1">
      <alignment horizontal="center" vertical="center" wrapText="1"/>
    </xf>
    <xf numFmtId="0" fontId="110" fillId="18" borderId="89" xfId="0" applyFont="1" applyFill="1" applyBorder="1" applyAlignment="1">
      <alignment horizontal="center" vertical="center" wrapText="1"/>
    </xf>
    <xf numFmtId="0" fontId="110" fillId="18" borderId="42" xfId="0" applyFont="1" applyFill="1" applyBorder="1" applyAlignment="1">
      <alignment horizontal="center" vertical="center" wrapText="1"/>
    </xf>
    <xf numFmtId="0" fontId="110" fillId="18" borderId="18" xfId="0" applyFont="1" applyFill="1" applyBorder="1" applyAlignment="1">
      <alignment horizontal="center" vertical="center" wrapText="1"/>
    </xf>
    <xf numFmtId="0" fontId="107" fillId="61" borderId="99" xfId="0" applyFont="1" applyFill="1" applyBorder="1" applyAlignment="1">
      <alignment horizontal="center" vertical="center"/>
    </xf>
    <xf numFmtId="0" fontId="107" fillId="61" borderId="43" xfId="0" applyFont="1" applyFill="1" applyBorder="1" applyAlignment="1">
      <alignment horizontal="center" vertical="center"/>
    </xf>
    <xf numFmtId="0" fontId="107" fillId="61" borderId="140" xfId="0" applyFont="1" applyFill="1" applyBorder="1" applyAlignment="1">
      <alignment horizontal="center" vertical="center"/>
    </xf>
    <xf numFmtId="0" fontId="109" fillId="32" borderId="69" xfId="0" applyFont="1" applyFill="1" applyBorder="1" applyAlignment="1">
      <alignment horizontal="center" vertical="center"/>
    </xf>
    <xf numFmtId="0" fontId="5" fillId="0" borderId="0" xfId="0" applyFont="1" applyAlignment="1"/>
    <xf numFmtId="0" fontId="0" fillId="0" borderId="0" xfId="0" applyAlignment="1"/>
  </cellXfs>
  <cellStyles count="142">
    <cellStyle name="Currency" xfId="1" builtinId="4"/>
    <cellStyle name="Currency 10" xfId="2" xr:uid="{00000000-0005-0000-0000-000001000000}"/>
    <cellStyle name="Currency 10 2" xfId="75" xr:uid="{00000000-0005-0000-0000-000002000000}"/>
    <cellStyle name="Currency 11" xfId="3" xr:uid="{00000000-0005-0000-0000-000003000000}"/>
    <cellStyle name="Currency 11 2" xfId="76" xr:uid="{00000000-0005-0000-0000-000004000000}"/>
    <cellStyle name="Currency 12" xfId="4" xr:uid="{00000000-0005-0000-0000-000005000000}"/>
    <cellStyle name="Currency 12 2" xfId="86" xr:uid="{00000000-0005-0000-0000-000006000000}"/>
    <cellStyle name="Currency 13" xfId="5" xr:uid="{00000000-0005-0000-0000-000007000000}"/>
    <cellStyle name="Currency 13 2" xfId="90" xr:uid="{00000000-0005-0000-0000-000008000000}"/>
    <cellStyle name="Currency 14" xfId="6" xr:uid="{00000000-0005-0000-0000-000009000000}"/>
    <cellStyle name="Currency 14 2" xfId="94" xr:uid="{00000000-0005-0000-0000-00000A000000}"/>
    <cellStyle name="Currency 15" xfId="7" xr:uid="{00000000-0005-0000-0000-00000B000000}"/>
    <cellStyle name="Currency 15 2" xfId="97" xr:uid="{00000000-0005-0000-0000-00000C000000}"/>
    <cellStyle name="Currency 15 2 2" xfId="119" xr:uid="{00000000-0005-0000-0000-00000D000000}"/>
    <cellStyle name="Currency 15 3" xfId="100" xr:uid="{00000000-0005-0000-0000-00000E000000}"/>
    <cellStyle name="Currency 15 3 2" xfId="122" xr:uid="{00000000-0005-0000-0000-00000F000000}"/>
    <cellStyle name="Currency 15 4" xfId="103" xr:uid="{00000000-0005-0000-0000-000010000000}"/>
    <cellStyle name="Currency 16" xfId="8" xr:uid="{00000000-0005-0000-0000-000011000000}"/>
    <cellStyle name="Currency 16 2" xfId="107" xr:uid="{00000000-0005-0000-0000-000012000000}"/>
    <cellStyle name="Currency 17" xfId="49" xr:uid="{00000000-0005-0000-0000-000013000000}"/>
    <cellStyle name="Currency 17 2" xfId="111" xr:uid="{00000000-0005-0000-0000-000014000000}"/>
    <cellStyle name="Currency 18" xfId="85" xr:uid="{00000000-0005-0000-0000-000015000000}"/>
    <cellStyle name="Currency 18 2" xfId="113" xr:uid="{00000000-0005-0000-0000-000016000000}"/>
    <cellStyle name="Currency 19" xfId="89" xr:uid="{00000000-0005-0000-0000-000017000000}"/>
    <cellStyle name="Currency 19 2" xfId="115" xr:uid="{00000000-0005-0000-0000-000018000000}"/>
    <cellStyle name="Currency 2" xfId="9" xr:uid="{00000000-0005-0000-0000-000019000000}"/>
    <cellStyle name="Currency 2 2" xfId="50" xr:uid="{00000000-0005-0000-0000-00001A000000}"/>
    <cellStyle name="Currency 20" xfId="93" xr:uid="{00000000-0005-0000-0000-00001B000000}"/>
    <cellStyle name="Currency 20 2" xfId="117" xr:uid="{00000000-0005-0000-0000-00001C000000}"/>
    <cellStyle name="Currency 21" xfId="99" xr:uid="{00000000-0005-0000-0000-00001D000000}"/>
    <cellStyle name="Currency 21 2" xfId="121" xr:uid="{00000000-0005-0000-0000-00001E000000}"/>
    <cellStyle name="Currency 22" xfId="105" xr:uid="{00000000-0005-0000-0000-00001F000000}"/>
    <cellStyle name="Currency 22 2" xfId="125" xr:uid="{00000000-0005-0000-0000-000020000000}"/>
    <cellStyle name="Currency 3" xfId="10" xr:uid="{00000000-0005-0000-0000-000021000000}"/>
    <cellStyle name="Currency 3 2" xfId="11" xr:uid="{00000000-0005-0000-0000-000022000000}"/>
    <cellStyle name="Currency 3 2 2" xfId="52" xr:uid="{00000000-0005-0000-0000-000023000000}"/>
    <cellStyle name="Currency 3 3" xfId="51" xr:uid="{00000000-0005-0000-0000-000024000000}"/>
    <cellStyle name="Currency 4" xfId="12" xr:uid="{00000000-0005-0000-0000-000025000000}"/>
    <cellStyle name="Currency 4 2" xfId="13" xr:uid="{00000000-0005-0000-0000-000026000000}"/>
    <cellStyle name="Currency 4 2 2" xfId="54" xr:uid="{00000000-0005-0000-0000-000027000000}"/>
    <cellStyle name="Currency 4 3" xfId="53" xr:uid="{00000000-0005-0000-0000-000028000000}"/>
    <cellStyle name="Currency 5" xfId="14" xr:uid="{00000000-0005-0000-0000-000029000000}"/>
    <cellStyle name="Currency 5 2" xfId="15" xr:uid="{00000000-0005-0000-0000-00002A000000}"/>
    <cellStyle name="Currency 5 2 2" xfId="16" xr:uid="{00000000-0005-0000-0000-00002B000000}"/>
    <cellStyle name="Currency 5 2 2 2" xfId="57" xr:uid="{00000000-0005-0000-0000-00002C000000}"/>
    <cellStyle name="Currency 5 2 3" xfId="56" xr:uid="{00000000-0005-0000-0000-00002D000000}"/>
    <cellStyle name="Currency 5 3" xfId="17" xr:uid="{00000000-0005-0000-0000-00002E000000}"/>
    <cellStyle name="Currency 5 3 2" xfId="58" xr:uid="{00000000-0005-0000-0000-00002F000000}"/>
    <cellStyle name="Currency 5 4" xfId="18" xr:uid="{00000000-0005-0000-0000-000030000000}"/>
    <cellStyle name="Currency 5 4 2" xfId="77" xr:uid="{00000000-0005-0000-0000-000031000000}"/>
    <cellStyle name="Currency 5 5" xfId="19" xr:uid="{00000000-0005-0000-0000-000032000000}"/>
    <cellStyle name="Currency 5 5 2" xfId="84" xr:uid="{00000000-0005-0000-0000-000033000000}"/>
    <cellStyle name="Currency 5 6" xfId="55" xr:uid="{00000000-0005-0000-0000-000034000000}"/>
    <cellStyle name="Currency 6" xfId="20" xr:uid="{00000000-0005-0000-0000-000035000000}"/>
    <cellStyle name="Currency 6 2" xfId="21" xr:uid="{00000000-0005-0000-0000-000036000000}"/>
    <cellStyle name="Currency 6 2 2" xfId="60" xr:uid="{00000000-0005-0000-0000-000037000000}"/>
    <cellStyle name="Currency 6 3" xfId="59" xr:uid="{00000000-0005-0000-0000-000038000000}"/>
    <cellStyle name="Currency 7" xfId="22" xr:uid="{00000000-0005-0000-0000-000039000000}"/>
    <cellStyle name="Currency 7 2" xfId="23" xr:uid="{00000000-0005-0000-0000-00003A000000}"/>
    <cellStyle name="Currency 7 2 2" xfId="78" xr:uid="{00000000-0005-0000-0000-00003B000000}"/>
    <cellStyle name="Currency 7 3" xfId="61" xr:uid="{00000000-0005-0000-0000-00003C000000}"/>
    <cellStyle name="Currency 8" xfId="24" xr:uid="{00000000-0005-0000-0000-00003D000000}"/>
    <cellStyle name="Currency 8 2" xfId="25" xr:uid="{00000000-0005-0000-0000-00003E000000}"/>
    <cellStyle name="Currency 8 2 2" xfId="79" xr:uid="{00000000-0005-0000-0000-00003F000000}"/>
    <cellStyle name="Currency 8 3" xfId="62" xr:uid="{00000000-0005-0000-0000-000040000000}"/>
    <cellStyle name="Currency 9" xfId="26" xr:uid="{00000000-0005-0000-0000-000041000000}"/>
    <cellStyle name="Currency 9 2" xfId="27" xr:uid="{00000000-0005-0000-0000-000042000000}"/>
    <cellStyle name="Currency 9 2 2" xfId="108" xr:uid="{00000000-0005-0000-0000-000043000000}"/>
    <cellStyle name="Currency 9 3" xfId="63" xr:uid="{00000000-0005-0000-0000-000044000000}"/>
    <cellStyle name="Normal" xfId="0" builtinId="0"/>
    <cellStyle name="Normal 10" xfId="135" xr:uid="{00000000-0005-0000-0000-000046000000}"/>
    <cellStyle name="Normal 11" xfId="136" xr:uid="{00000000-0005-0000-0000-000047000000}"/>
    <cellStyle name="Normal 12" xfId="137" xr:uid="{00000000-0005-0000-0000-000048000000}"/>
    <cellStyle name="Normal 13" xfId="138" xr:uid="{BAFF9830-7F97-4226-A55A-E9052202A0C8}"/>
    <cellStyle name="Normal 14" xfId="139" xr:uid="{0740AC6E-9098-40F9-A52B-3EDE699AF96B}"/>
    <cellStyle name="Normal 15" xfId="140" xr:uid="{14D687AB-B2D5-454A-A4A7-90FE6D72CBA6}"/>
    <cellStyle name="Normal 16" xfId="141" xr:uid="{8444D0FF-7BDE-4F68-AB32-63D269FDF7AC}"/>
    <cellStyle name="Normal 2" xfId="28" xr:uid="{00000000-0005-0000-0000-000049000000}"/>
    <cellStyle name="Normal 2 2" xfId="64" xr:uid="{00000000-0005-0000-0000-00004A000000}"/>
    <cellStyle name="Normal 3" xfId="127" xr:uid="{00000000-0005-0000-0000-00004B000000}"/>
    <cellStyle name="Normal 3 2" xfId="128" xr:uid="{00000000-0005-0000-0000-00004C000000}"/>
    <cellStyle name="Normal 4" xfId="129" xr:uid="{00000000-0005-0000-0000-00004D000000}"/>
    <cellStyle name="Normal 5" xfId="130" xr:uid="{00000000-0005-0000-0000-00004E000000}"/>
    <cellStyle name="Normal 6" xfId="131" xr:uid="{00000000-0005-0000-0000-00004F000000}"/>
    <cellStyle name="Normal 7" xfId="132" xr:uid="{00000000-0005-0000-0000-000050000000}"/>
    <cellStyle name="Normal 8" xfId="133" xr:uid="{00000000-0005-0000-0000-000051000000}"/>
    <cellStyle name="Normal 9" xfId="134" xr:uid="{00000000-0005-0000-0000-000052000000}"/>
    <cellStyle name="Percent" xfId="29" builtinId="5"/>
    <cellStyle name="Percent 10" xfId="30" xr:uid="{00000000-0005-0000-0000-000054000000}"/>
    <cellStyle name="Percent 10 2" xfId="88" xr:uid="{00000000-0005-0000-0000-000055000000}"/>
    <cellStyle name="Percent 11" xfId="31" xr:uid="{00000000-0005-0000-0000-000056000000}"/>
    <cellStyle name="Percent 11 2" xfId="92" xr:uid="{00000000-0005-0000-0000-000057000000}"/>
    <cellStyle name="Percent 12" xfId="32" xr:uid="{00000000-0005-0000-0000-000058000000}"/>
    <cellStyle name="Percent 12 2" xfId="96" xr:uid="{00000000-0005-0000-0000-000059000000}"/>
    <cellStyle name="Percent 13" xfId="33" xr:uid="{00000000-0005-0000-0000-00005A000000}"/>
    <cellStyle name="Percent 13 2" xfId="98" xr:uid="{00000000-0005-0000-0000-00005B000000}"/>
    <cellStyle name="Percent 13 2 2" xfId="120" xr:uid="{00000000-0005-0000-0000-00005C000000}"/>
    <cellStyle name="Percent 13 3" xfId="102" xr:uid="{00000000-0005-0000-0000-00005D000000}"/>
    <cellStyle name="Percent 13 3 2" xfId="124" xr:uid="{00000000-0005-0000-0000-00005E000000}"/>
    <cellStyle name="Percent 13 4" xfId="104" xr:uid="{00000000-0005-0000-0000-00005F000000}"/>
    <cellStyle name="Percent 14" xfId="34" xr:uid="{00000000-0005-0000-0000-000060000000}"/>
    <cellStyle name="Percent 14 2" xfId="109" xr:uid="{00000000-0005-0000-0000-000061000000}"/>
    <cellStyle name="Percent 15" xfId="65" xr:uid="{00000000-0005-0000-0000-000062000000}"/>
    <cellStyle name="Percent 15 2" xfId="112" xr:uid="{00000000-0005-0000-0000-000063000000}"/>
    <cellStyle name="Percent 16" xfId="87" xr:uid="{00000000-0005-0000-0000-000064000000}"/>
    <cellStyle name="Percent 16 2" xfId="114" xr:uid="{00000000-0005-0000-0000-000065000000}"/>
    <cellStyle name="Percent 17" xfId="91" xr:uid="{00000000-0005-0000-0000-000066000000}"/>
    <cellStyle name="Percent 17 2" xfId="116" xr:uid="{00000000-0005-0000-0000-000067000000}"/>
    <cellStyle name="Percent 18" xfId="95" xr:uid="{00000000-0005-0000-0000-000068000000}"/>
    <cellStyle name="Percent 18 2" xfId="118" xr:uid="{00000000-0005-0000-0000-000069000000}"/>
    <cellStyle name="Percent 19" xfId="101" xr:uid="{00000000-0005-0000-0000-00006A000000}"/>
    <cellStyle name="Percent 19 2" xfId="123" xr:uid="{00000000-0005-0000-0000-00006B000000}"/>
    <cellStyle name="Percent 2" xfId="35" xr:uid="{00000000-0005-0000-0000-00006C000000}"/>
    <cellStyle name="Percent 2 2" xfId="36" xr:uid="{00000000-0005-0000-0000-00006D000000}"/>
    <cellStyle name="Percent 2 2 2" xfId="67" xr:uid="{00000000-0005-0000-0000-00006E000000}"/>
    <cellStyle name="Percent 2 3" xfId="66" xr:uid="{00000000-0005-0000-0000-00006F000000}"/>
    <cellStyle name="Percent 20" xfId="106" xr:uid="{00000000-0005-0000-0000-000070000000}"/>
    <cellStyle name="Percent 20 2" xfId="126" xr:uid="{00000000-0005-0000-0000-000071000000}"/>
    <cellStyle name="Percent 3" xfId="37" xr:uid="{00000000-0005-0000-0000-000072000000}"/>
    <cellStyle name="Percent 3 2" xfId="38" xr:uid="{00000000-0005-0000-0000-000073000000}"/>
    <cellStyle name="Percent 3 2 2" xfId="69" xr:uid="{00000000-0005-0000-0000-000074000000}"/>
    <cellStyle name="Percent 3 3" xfId="68" xr:uid="{00000000-0005-0000-0000-000075000000}"/>
    <cellStyle name="Percent 4" xfId="39" xr:uid="{00000000-0005-0000-0000-000076000000}"/>
    <cellStyle name="Percent 4 2" xfId="40" xr:uid="{00000000-0005-0000-0000-000077000000}"/>
    <cellStyle name="Percent 4 2 2" xfId="71" xr:uid="{00000000-0005-0000-0000-000078000000}"/>
    <cellStyle name="Percent 4 3" xfId="70" xr:uid="{00000000-0005-0000-0000-000079000000}"/>
    <cellStyle name="Percent 5" xfId="41" xr:uid="{00000000-0005-0000-0000-00007A000000}"/>
    <cellStyle name="Percent 5 2" xfId="42" xr:uid="{00000000-0005-0000-0000-00007B000000}"/>
    <cellStyle name="Percent 5 2 2" xfId="80" xr:uid="{00000000-0005-0000-0000-00007C000000}"/>
    <cellStyle name="Percent 5 3" xfId="72" xr:uid="{00000000-0005-0000-0000-00007D000000}"/>
    <cellStyle name="Percent 6" xfId="43" xr:uid="{00000000-0005-0000-0000-00007E000000}"/>
    <cellStyle name="Percent 6 2" xfId="44" xr:uid="{00000000-0005-0000-0000-00007F000000}"/>
    <cellStyle name="Percent 6 2 2" xfId="81" xr:uid="{00000000-0005-0000-0000-000080000000}"/>
    <cellStyle name="Percent 6 3" xfId="73" xr:uid="{00000000-0005-0000-0000-000081000000}"/>
    <cellStyle name="Percent 7" xfId="45" xr:uid="{00000000-0005-0000-0000-000082000000}"/>
    <cellStyle name="Percent 7 2" xfId="46" xr:uid="{00000000-0005-0000-0000-000083000000}"/>
    <cellStyle name="Percent 7 2 2" xfId="110" xr:uid="{00000000-0005-0000-0000-000084000000}"/>
    <cellStyle name="Percent 7 3" xfId="74" xr:uid="{00000000-0005-0000-0000-000085000000}"/>
    <cellStyle name="Percent 8" xfId="47" xr:uid="{00000000-0005-0000-0000-000086000000}"/>
    <cellStyle name="Percent 8 2" xfId="82" xr:uid="{00000000-0005-0000-0000-000087000000}"/>
    <cellStyle name="Percent 9" xfId="48" xr:uid="{00000000-0005-0000-0000-000088000000}"/>
    <cellStyle name="Percent 9 2" xfId="83" xr:uid="{00000000-0005-0000-0000-000089000000}"/>
  </cellStyles>
  <dxfs count="166">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rgb="FFFF0000"/>
      </font>
      <fill>
        <patternFill patternType="solid">
          <bgColor theme="1" tint="4.9989318521683403E-2"/>
        </patternFill>
      </fill>
    </dxf>
    <dxf>
      <font>
        <color rgb="FFE6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E60000"/>
      </font>
      <fill>
        <patternFill patternType="solid">
          <bgColor rgb="FFFFFF00"/>
        </patternFill>
      </fill>
    </dxf>
    <dxf>
      <fill>
        <patternFill patternType="solid">
          <bgColor rgb="FF92D050"/>
        </patternFill>
      </fill>
    </dxf>
    <dxf>
      <fill>
        <patternFill patternType="solid">
          <bgColor rgb="FFFFC000"/>
        </patternFill>
      </fill>
    </dxf>
    <dxf>
      <font>
        <color rgb="FFFFFFFF"/>
      </font>
      <fill>
        <patternFill patternType="solid">
          <bgColor rgb="FFFF0000"/>
        </patternFill>
      </fill>
    </dxf>
    <dxf>
      <font>
        <color rgb="FFFFFFFF"/>
      </font>
      <fill>
        <patternFill patternType="solid">
          <bgColor rgb="FF000000"/>
        </patternFill>
      </fill>
    </dxf>
    <dxf>
      <fill>
        <patternFill patternType="solid">
          <bgColor rgb="FF92D050"/>
        </patternFill>
      </fill>
    </dxf>
    <dxf>
      <font>
        <color rgb="FF000000"/>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FF0000"/>
      </font>
      <fill>
        <patternFill patternType="solid">
          <bgColor rgb="FFFFFF00"/>
        </patternFill>
      </fill>
    </dxf>
    <dxf>
      <fill>
        <patternFill patternType="solid">
          <bgColor rgb="FF92D050"/>
        </patternFill>
      </fill>
    </dxf>
    <dxf>
      <font>
        <color theme="1"/>
      </font>
      <fill>
        <patternFill patternType="solid">
          <bgColor rgb="FFFFC000"/>
        </patternFill>
      </fill>
    </dxf>
    <dxf>
      <font>
        <color theme="0"/>
      </font>
      <fill>
        <patternFill patternType="solid">
          <bgColor rgb="FFFF0000"/>
        </patternFill>
      </fill>
    </dxf>
    <dxf>
      <font>
        <color theme="0"/>
      </font>
      <fill>
        <patternFill patternType="solid">
          <bgColor theme="1" tint="4.9989318521683403E-2"/>
        </patternFill>
      </fill>
    </dxf>
    <dxf>
      <font>
        <color rgb="FFFF0000"/>
      </font>
      <fill>
        <patternFill patternType="solid">
          <bgColor rgb="FFFFFF00"/>
        </patternFill>
      </fill>
    </dxf>
    <dxf>
      <fill>
        <patternFill patternType="solid">
          <bgColor rgb="FF92D050"/>
        </patternFill>
      </fill>
    </dxf>
    <dxf>
      <font>
        <color auto="1"/>
      </font>
      <fill>
        <patternFill patternType="solid">
          <bgColor rgb="FFFFC000"/>
        </patternFill>
      </fill>
    </dxf>
    <dxf>
      <font>
        <color theme="0"/>
      </font>
      <fill>
        <patternFill patternType="solid">
          <bgColor rgb="FFFF0000"/>
        </patternFill>
      </fill>
    </dxf>
    <dxf>
      <font>
        <b/>
        <i val="0"/>
        <color theme="0"/>
      </font>
      <fill>
        <patternFill patternType="solid">
          <bgColor theme="1"/>
        </patternFill>
      </fill>
    </dxf>
    <dxf>
      <font>
        <color rgb="FFFF0000"/>
      </font>
      <fill>
        <patternFill patternType="solid">
          <bgColor rgb="FFFFFF00"/>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b/>
        <i val="0"/>
      </font>
      <fill>
        <patternFill>
          <bgColor rgb="FFFF0000"/>
        </patternFill>
      </fill>
    </dxf>
    <dxf>
      <font>
        <b/>
        <i val="0"/>
      </font>
      <fill>
        <patternFill>
          <bgColor theme="5" tint="0.39994506668294322"/>
        </patternFill>
      </fill>
    </dxf>
    <dxf>
      <font>
        <b/>
        <i val="0"/>
        <strike val="0"/>
      </font>
      <fill>
        <patternFill>
          <bgColor rgb="FFFFC000"/>
        </patternFill>
      </fill>
    </dxf>
    <dxf>
      <fill>
        <patternFill>
          <bgColor rgb="FF92D050"/>
        </patternFill>
      </fill>
    </dxf>
    <dxf>
      <fill>
        <patternFill>
          <bgColor rgb="FFFF0000"/>
        </patternFill>
      </fill>
    </dxf>
    <dxf>
      <font>
        <condense val="0"/>
        <extend val="0"/>
        <color indexed="51"/>
      </font>
      <fill>
        <patternFill>
          <bgColor indexed="51"/>
        </patternFill>
      </fill>
    </dxf>
    <dxf>
      <font>
        <condense val="0"/>
        <extend val="0"/>
        <color indexed="11"/>
      </font>
      <fill>
        <patternFill patternType="solid">
          <bgColor indexed="11"/>
        </patternFill>
      </fill>
    </dxf>
    <dxf>
      <font>
        <condense val="0"/>
        <extend val="0"/>
        <color indexed="10"/>
      </font>
      <fill>
        <patternFill patternType="solid">
          <bgColor indexed="10"/>
        </patternFill>
      </fill>
    </dxf>
    <dxf>
      <numFmt numFmtId="13" formatCode="0%"/>
      <fill>
        <patternFill>
          <bgColor rgb="FF66FF33"/>
        </patternFill>
      </fill>
    </dxf>
    <dxf>
      <numFmt numFmtId="13" formatCode="0%"/>
      <fill>
        <patternFill>
          <bgColor rgb="FFFFCC00"/>
        </patternFill>
      </fill>
    </dxf>
    <dxf>
      <numFmt numFmtId="13" formatCode="0%"/>
      <fill>
        <patternFill>
          <bgColor rgb="FFFF0000"/>
        </patternFill>
      </fill>
    </dxf>
    <dxf>
      <font>
        <strike val="0"/>
      </font>
      <numFmt numFmtId="13" formatCode="0%"/>
      <fill>
        <patternFill>
          <bgColor rgb="FFFF66FF"/>
        </patternFill>
      </fill>
    </dxf>
    <dxf>
      <font>
        <color auto="1"/>
      </font>
      <fill>
        <patternFill>
          <bgColor rgb="FF92D050"/>
        </patternFill>
      </fill>
    </dxf>
    <dxf>
      <fill>
        <patternFill>
          <bgColor rgb="FFFFC0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92D05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name val="Vodafone Rg"/>
      </font>
    </dxf>
    <dxf>
      <font>
        <name val="Vodafone Rg"/>
      </font>
    </dxf>
    <dxf>
      <font>
        <name val="Vodafone Rg"/>
      </font>
    </dxf>
    <dxf>
      <font>
        <name val="Vodafone Rg"/>
      </font>
    </dxf>
    <dxf>
      <font>
        <name val="Vodafone Rg"/>
      </font>
    </dxf>
    <dxf>
      <font>
        <name val="Vodafone Rg"/>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numFmt numFmtId="13" formatCode="0%"/>
    </dxf>
    <dxf>
      <numFmt numFmtId="13" formatCode="0%"/>
    </dxf>
    <dxf>
      <numFmt numFmtId="13" formatCode="0%"/>
    </dxf>
  </dxfs>
  <tableStyles count="0" defaultTableStyle="TableStyleMedium2" defaultPivotStyle="PivotStyleLight16"/>
  <colors>
    <mruColors>
      <color rgb="FFCC9900"/>
      <color rgb="FFBF8F00"/>
      <color rgb="FF558ED5"/>
      <color rgb="FFE60000"/>
      <color rgb="FFF8F8F8"/>
      <color rgb="FFE6B8B7"/>
      <color rgb="FFD1ABAB"/>
      <color rgb="FFEDDFDF"/>
      <color rgb="FF9900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externalLink" Target="externalLinks/externalLink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theme" Target="theme/theme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6.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23.xml"/><Relationship Id="rId1" Type="http://schemas.openxmlformats.org/officeDocument/2006/relationships/themeOverride" Target="../theme/themeOverride7.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8.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30.xml"/><Relationship Id="rId1" Type="http://schemas.openxmlformats.org/officeDocument/2006/relationships/themeOverride" Target="../theme/themeOverride10.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31.xml"/><Relationship Id="rId1" Type="http://schemas.openxmlformats.org/officeDocument/2006/relationships/themeOverride" Target="../theme/themeOverride11.xml"/></Relationships>
</file>

<file path=xl/charts/_rels/chart33.xml.rels><?xml version="1.0" encoding="UTF-8" standalone="yes"?>
<Relationships xmlns="http://schemas.openxmlformats.org/package/2006/relationships"><Relationship Id="rId2" Type="http://schemas.openxmlformats.org/officeDocument/2006/relationships/chartUserShapes" Target="../drawings/drawing33.xml"/><Relationship Id="rId1" Type="http://schemas.openxmlformats.org/officeDocument/2006/relationships/themeOverride" Target="../theme/themeOverride12.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34.xml"/><Relationship Id="rId1" Type="http://schemas.openxmlformats.org/officeDocument/2006/relationships/themeOverride" Target="../theme/themeOverride13.xml"/></Relationships>
</file>

<file path=xl/charts/_rels/chart35.xml.rels><?xml version="1.0" encoding="UTF-8" standalone="yes"?>
<Relationships xmlns="http://schemas.openxmlformats.org/package/2006/relationships"><Relationship Id="rId2" Type="http://schemas.openxmlformats.org/officeDocument/2006/relationships/chartUserShapes" Target="../drawings/drawing36.xml"/><Relationship Id="rId1" Type="http://schemas.openxmlformats.org/officeDocument/2006/relationships/themeOverride" Target="../theme/themeOverride14.xml"/></Relationships>
</file>

<file path=xl/charts/_rels/chart36.xml.rels><?xml version="1.0" encoding="UTF-8" standalone="yes"?>
<Relationships xmlns="http://schemas.openxmlformats.org/package/2006/relationships"><Relationship Id="rId2" Type="http://schemas.openxmlformats.org/officeDocument/2006/relationships/chartUserShapes" Target="../drawings/drawing38.xml"/><Relationship Id="rId1" Type="http://schemas.openxmlformats.org/officeDocument/2006/relationships/themeOverride" Target="../theme/themeOverride15.xml"/></Relationships>
</file>

<file path=xl/charts/_rels/chart37.xml.rels><?xml version="1.0" encoding="UTF-8" standalone="yes"?>
<Relationships xmlns="http://schemas.openxmlformats.org/package/2006/relationships"><Relationship Id="rId2" Type="http://schemas.openxmlformats.org/officeDocument/2006/relationships/chartUserShapes" Target="../drawings/drawing39.xml"/><Relationship Id="rId1" Type="http://schemas.openxmlformats.org/officeDocument/2006/relationships/themeOverride" Target="../theme/themeOverride16.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17.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43.xml"/><Relationship Id="rId1" Type="http://schemas.openxmlformats.org/officeDocument/2006/relationships/themeOverride" Target="../theme/themeOverride1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9.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47.xml"/><Relationship Id="rId1" Type="http://schemas.openxmlformats.org/officeDocument/2006/relationships/themeOverride" Target="../theme/themeOverride2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21.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50.xml"/><Relationship Id="rId1" Type="http://schemas.openxmlformats.org/officeDocument/2006/relationships/themeOverride" Target="../theme/themeOverride22.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23.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53.xml"/><Relationship Id="rId1" Type="http://schemas.openxmlformats.org/officeDocument/2006/relationships/themeOverride" Target="../theme/themeOverride24.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25.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NFV!$K$5</c:f>
              <c:strCache>
                <c:ptCount val="1"/>
                <c:pt idx="0">
                  <c:v>Remaining Capacity kW</c:v>
                </c:pt>
              </c:strCache>
            </c:strRef>
          </c:tx>
          <c:spPr>
            <a:solidFill>
              <a:srgbClr val="FF000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1.7712500000000091</c:v>
                </c:pt>
                <c:pt idx="1">
                  <c:v>41.959549999999922</c:v>
                </c:pt>
                <c:pt idx="2">
                  <c:v>31.342949999999917</c:v>
                </c:pt>
                <c:pt idx="3">
                  <c:v>-14.006500000000017</c:v>
                </c:pt>
                <c:pt idx="4">
                  <c:v>-4.6951750000000061</c:v>
                </c:pt>
                <c:pt idx="5">
                  <c:v>-11.13979999999998</c:v>
                </c:pt>
                <c:pt idx="6">
                  <c:v>22.095649999999921</c:v>
                </c:pt>
                <c:pt idx="7">
                  <c:v>1.5</c:v>
                </c:pt>
              </c:numCache>
            </c:numRef>
          </c:val>
          <c:extLst>
            <c:ext xmlns:c16="http://schemas.microsoft.com/office/drawing/2014/chart" uri="{C3380CC4-5D6E-409C-BE32-E72D297353CC}">
              <c16:uniqueId val="{00000001-1E8C-4960-947B-823235F69C4A}"/>
            </c:ext>
          </c:extLst>
        </c:ser>
        <c:ser>
          <c:idx val="1"/>
          <c:order val="1"/>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8C-4960-947B-823235F69C4A}"/>
            </c:ext>
          </c:extLst>
        </c:ser>
        <c:ser>
          <c:idx val="2"/>
          <c:order val="2"/>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219-4FED-96E0-5FF5DCA371D3}"/>
            </c:ext>
          </c:extLst>
        </c:ser>
        <c:dLbls>
          <c:showLegendKey val="0"/>
          <c:showVal val="0"/>
          <c:showCatName val="0"/>
          <c:showSerName val="0"/>
          <c:showPercent val="0"/>
          <c:showBubbleSize val="0"/>
        </c:dLbls>
        <c:gapWidth val="219"/>
        <c:overlap val="-27"/>
        <c:axId val="301111943"/>
        <c:axId val="460343015"/>
      </c:barChart>
      <c:catAx>
        <c:axId val="301111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43015"/>
        <c:crosses val="autoZero"/>
        <c:auto val="1"/>
        <c:lblAlgn val="ctr"/>
        <c:lblOffset val="100"/>
        <c:noMultiLvlLbl val="0"/>
      </c:catAx>
      <c:valAx>
        <c:axId val="460343015"/>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111943"/>
        <c:crosses val="autoZero"/>
        <c:crossBetween val="between"/>
      </c:valAx>
      <c:spPr>
        <a:noFill/>
        <a:ln>
          <a:noFill/>
        </a:ln>
        <a:effectLst/>
      </c:spPr>
    </c:plotArea>
    <c:legend>
      <c:legendPos val="b"/>
      <c:layout>
        <c:manualLayout>
          <c:xMode val="edge"/>
          <c:yMode val="edge"/>
          <c:x val="1.8763232250093668E-4"/>
          <c:y val="3.7244858320853641E-2"/>
          <c:w val="0.99800467506709589"/>
          <c:h val="5.9023190217934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NFV!$L$5</c:f>
              <c:strCache>
                <c:ptCount val="1"/>
                <c:pt idx="0">
                  <c:v>Remaining kW 
including NFV Reserve</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NFV!$L$6:$L$13</c:f>
              <c:numCache>
                <c:formatCode>0.0</c:formatCode>
                <c:ptCount val="8"/>
                <c:pt idx="0">
                  <c:v>107.33775000000003</c:v>
                </c:pt>
                <c:pt idx="1">
                  <c:v>109.26704999999993</c:v>
                </c:pt>
                <c:pt idx="2">
                  <c:v>151.67894999999993</c:v>
                </c:pt>
                <c:pt idx="3">
                  <c:v>25.015499999999975</c:v>
                </c:pt>
                <c:pt idx="4">
                  <c:v>60.432324999999992</c:v>
                </c:pt>
                <c:pt idx="5">
                  <c:v>17.581700000000012</c:v>
                </c:pt>
                <c:pt idx="6">
                  <c:v>78.012649999999951</c:v>
                </c:pt>
                <c:pt idx="7">
                  <c:v>62.5</c:v>
                </c:pt>
              </c:numCache>
            </c:numRef>
          </c:val>
          <c:extLst>
            <c:ext xmlns:c16="http://schemas.microsoft.com/office/drawing/2014/chart" uri="{C3380CC4-5D6E-409C-BE32-E72D297353CC}">
              <c16:uniqueId val="{00000003-05D9-4690-99CB-691FFA54BE2A}"/>
            </c:ext>
          </c:extLst>
        </c:ser>
        <c:ser>
          <c:idx val="2"/>
          <c:order val="2"/>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05D9-4690-99CB-691FFA54BE2A}"/>
            </c:ext>
          </c:extLst>
        </c:ser>
        <c:ser>
          <c:idx val="3"/>
          <c:order val="3"/>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4706-4338-B526-2B7E8AE8ED60}"/>
            </c:ext>
          </c:extLst>
        </c:ser>
        <c:dLbls>
          <c:showLegendKey val="0"/>
          <c:showVal val="0"/>
          <c:showCatName val="0"/>
          <c:showSerName val="0"/>
          <c:showPercent val="0"/>
          <c:showBubbleSize val="0"/>
        </c:dLbls>
        <c:gapWidth val="219"/>
        <c:overlap val="-27"/>
        <c:axId val="786678920"/>
        <c:axId val="1991255559"/>
        <c:extLst>
          <c:ext xmlns:c15="http://schemas.microsoft.com/office/drawing/2012/chart" uri="{02D57815-91ED-43cb-92C2-25804820EDAC}">
            <c15:filteredBarSeries>
              <c15:ser>
                <c:idx val="0"/>
                <c:order val="0"/>
                <c:tx>
                  <c:strRef>
                    <c:extLst>
                      <c:ext uri="{02D57815-91ED-43cb-92C2-25804820EDAC}">
                        <c15:formulaRef>
                          <c15:sqref>NFV!$K$5</c15:sqref>
                        </c15:formulaRef>
                      </c:ext>
                    </c:extLst>
                    <c:strCache>
                      <c:ptCount val="1"/>
                      <c:pt idx="0">
                        <c:v>Remaining Capacity kW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NFV!$C$6:$C$13</c15:sqref>
                        </c15:formulaRef>
                      </c:ext>
                    </c:extLst>
                    <c:strCache>
                      <c:ptCount val="8"/>
                      <c:pt idx="0">
                        <c:v>XOM</c:v>
                      </c:pt>
                      <c:pt idx="1">
                        <c:v>XGL</c:v>
                      </c:pt>
                      <c:pt idx="2">
                        <c:v>XGR</c:v>
                      </c:pt>
                      <c:pt idx="3">
                        <c:v>XBE</c:v>
                      </c:pt>
                      <c:pt idx="4">
                        <c:v>XEH</c:v>
                      </c:pt>
                      <c:pt idx="5">
                        <c:v>XMS</c:v>
                      </c:pt>
                      <c:pt idx="6">
                        <c:v>XLD</c:v>
                      </c:pt>
                      <c:pt idx="7">
                        <c:v>BKL</c:v>
                      </c:pt>
                    </c:strCache>
                  </c:strRef>
                </c:cat>
                <c:val>
                  <c:numRef>
                    <c:extLst>
                      <c:ext uri="{02D57815-91ED-43cb-92C2-25804820EDAC}">
                        <c15:formulaRef>
                          <c15:sqref>NFV!$K$6:$K$13</c15:sqref>
                        </c15:formulaRef>
                      </c:ext>
                    </c:extLst>
                    <c:numCache>
                      <c:formatCode>0.0</c:formatCode>
                      <c:ptCount val="8"/>
                      <c:pt idx="0">
                        <c:v>1.7712500000000091</c:v>
                      </c:pt>
                      <c:pt idx="1">
                        <c:v>41.959549999999922</c:v>
                      </c:pt>
                      <c:pt idx="2">
                        <c:v>31.342949999999917</c:v>
                      </c:pt>
                      <c:pt idx="3">
                        <c:v>-14.006500000000017</c:v>
                      </c:pt>
                      <c:pt idx="4">
                        <c:v>-4.6951750000000061</c:v>
                      </c:pt>
                      <c:pt idx="5">
                        <c:v>-11.13979999999998</c:v>
                      </c:pt>
                      <c:pt idx="6">
                        <c:v>22.095649999999921</c:v>
                      </c:pt>
                      <c:pt idx="7">
                        <c:v>1.5</c:v>
                      </c:pt>
                    </c:numCache>
                  </c:numRef>
                </c:val>
                <c:extLst>
                  <c:ext xmlns:c16="http://schemas.microsoft.com/office/drawing/2014/chart" uri="{C3380CC4-5D6E-409C-BE32-E72D297353CC}">
                    <c16:uniqueId val="{00000001-05D9-4690-99CB-691FFA54BE2A}"/>
                  </c:ext>
                </c:extLst>
              </c15:ser>
            </c15:filteredBarSeries>
          </c:ext>
        </c:extLst>
      </c:barChart>
      <c:catAx>
        <c:axId val="78667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55559"/>
        <c:crosses val="autoZero"/>
        <c:auto val="1"/>
        <c:lblAlgn val="ctr"/>
        <c:lblOffset val="100"/>
        <c:noMultiLvlLbl val="0"/>
      </c:catAx>
      <c:valAx>
        <c:axId val="199125555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78920"/>
        <c:crosses val="autoZero"/>
        <c:crossBetween val="between"/>
      </c:valAx>
      <c:spPr>
        <a:noFill/>
        <a:ln>
          <a:noFill/>
        </a:ln>
        <a:effectLst/>
      </c:spPr>
    </c:plotArea>
    <c:legend>
      <c:legendPos val="b"/>
      <c:layout>
        <c:manualLayout>
          <c:xMode val="edge"/>
          <c:yMode val="edge"/>
          <c:x val="1.9278468388195773E-4"/>
          <c:y val="2.3871884189097491E-2"/>
          <c:w val="0.9983879628395177"/>
          <c:h val="6.3773456462059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percent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294.57249999999999</c:v>
                </c:pt>
                <c:pt idx="1">
                  <c:v>285.798</c:v>
                </c:pt>
                <c:pt idx="2">
                  <c:v>260.51</c:v>
                </c:pt>
                <c:pt idx="3">
                  <c:v>370.6</c:v>
                </c:pt>
                <c:pt idx="4">
                  <c:v>290.1035</c:v>
                </c:pt>
                <c:pt idx="5">
                  <c:v>368.14749999999998</c:v>
                </c:pt>
                <c:pt idx="6">
                  <c:v>335.55650000000003</c:v>
                </c:pt>
                <c:pt idx="7">
                  <c:v>160</c:v>
                </c:pt>
              </c:numCache>
            </c:numRef>
          </c:val>
          <c:extLst>
            <c:ext xmlns:c16="http://schemas.microsoft.com/office/drawing/2014/chart" uri="{C3380CC4-5D6E-409C-BE32-E72D297353CC}">
              <c16:uniqueId val="{00000001-DF41-441C-8C4A-147E1424AB30}"/>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120.336</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2-DF41-441C-8C4A-147E1424AB30}"/>
            </c:ext>
          </c:extLst>
        </c:ser>
        <c:ser>
          <c:idx val="3"/>
          <c:order val="2"/>
          <c:tx>
            <c:strRef>
              <c:f>NFV!$I$5</c:f>
              <c:strCache>
                <c:ptCount val="1"/>
                <c:pt idx="0">
                  <c:v>Forecast kW</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6.0604000000000005</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3-DF41-441C-8C4A-147E1424AB30}"/>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1.7712500000000091</c:v>
                </c:pt>
                <c:pt idx="1">
                  <c:v>41.959549999999922</c:v>
                </c:pt>
                <c:pt idx="2">
                  <c:v>31.342949999999917</c:v>
                </c:pt>
                <c:pt idx="3">
                  <c:v>-14.006500000000017</c:v>
                </c:pt>
                <c:pt idx="4">
                  <c:v>-4.6951750000000061</c:v>
                </c:pt>
                <c:pt idx="5">
                  <c:v>-11.13979999999998</c:v>
                </c:pt>
                <c:pt idx="6">
                  <c:v>22.095649999999921</c:v>
                </c:pt>
                <c:pt idx="7">
                  <c:v>1.5</c:v>
                </c:pt>
              </c:numCache>
            </c:numRef>
          </c:val>
          <c:extLst>
            <c:ext xmlns:c16="http://schemas.microsoft.com/office/drawing/2014/chart" uri="{C3380CC4-5D6E-409C-BE32-E72D297353CC}">
              <c16:uniqueId val="{00000004-DF41-441C-8C4A-147E1424AB30}"/>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46.461250000000007</c:v>
                </c:pt>
                <c:pt idx="1">
                  <c:v>46.16149999999999</c:v>
                </c:pt>
                <c:pt idx="2">
                  <c:v>46.472149999999999</c:v>
                </c:pt>
                <c:pt idx="3">
                  <c:v>50.358000000000004</c:v>
                </c:pt>
                <c:pt idx="4">
                  <c:v>22.661099999999998</c:v>
                </c:pt>
                <c:pt idx="5">
                  <c:v>47.9818</c:v>
                </c:pt>
                <c:pt idx="6">
                  <c:v>46.739350000000002</c:v>
                </c:pt>
                <c:pt idx="7">
                  <c:v>34.5</c:v>
                </c:pt>
              </c:numCache>
            </c:numRef>
          </c:val>
          <c:extLst>
            <c:ext xmlns:c16="http://schemas.microsoft.com/office/drawing/2014/chart" uri="{C3380CC4-5D6E-409C-BE32-E72D297353CC}">
              <c16:uniqueId val="{00000000-DF41-441C-8C4A-147E1424AB30}"/>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1350202590246567"/>
          <c:y val="1.4951628234950023E-2"/>
          <c:w val="0.64333877027876751"/>
          <c:h val="5.72519048324656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294.57249999999999</c:v>
                </c:pt>
                <c:pt idx="1">
                  <c:v>285.798</c:v>
                </c:pt>
                <c:pt idx="2">
                  <c:v>260.51</c:v>
                </c:pt>
                <c:pt idx="3">
                  <c:v>370.6</c:v>
                </c:pt>
                <c:pt idx="4">
                  <c:v>290.1035</c:v>
                </c:pt>
                <c:pt idx="5">
                  <c:v>368.14749999999998</c:v>
                </c:pt>
                <c:pt idx="6">
                  <c:v>335.55650000000003</c:v>
                </c:pt>
                <c:pt idx="7">
                  <c:v>160</c:v>
                </c:pt>
              </c:numCache>
            </c:numRef>
          </c:val>
          <c:extLst>
            <c:ext xmlns:c16="http://schemas.microsoft.com/office/drawing/2014/chart" uri="{C3380CC4-5D6E-409C-BE32-E72D297353CC}">
              <c16:uniqueId val="{00000000-6FC0-4DCA-9348-C28D7F386DFF}"/>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120.336</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1-6FC0-4DCA-9348-C28D7F386DFF}"/>
            </c:ext>
          </c:extLst>
        </c:ser>
        <c:ser>
          <c:idx val="3"/>
          <c:order val="2"/>
          <c:tx>
            <c:strRef>
              <c:f>NFV!$I$5</c:f>
              <c:strCache>
                <c:ptCount val="1"/>
                <c:pt idx="0">
                  <c:v>Forecast kW</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20.388449999999999</c:v>
                </c:pt>
                <c:pt idx="2">
                  <c:v>6.0604000000000005</c:v>
                </c:pt>
                <c:pt idx="3">
                  <c:v>57.606499999999997</c:v>
                </c:pt>
                <c:pt idx="4">
                  <c:v>6.3765000000000001</c:v>
                </c:pt>
                <c:pt idx="5">
                  <c:v>46.106999999999999</c:v>
                </c:pt>
                <c:pt idx="6">
                  <c:v>7.085</c:v>
                </c:pt>
                <c:pt idx="7">
                  <c:v>88</c:v>
                </c:pt>
              </c:numCache>
            </c:numRef>
          </c:val>
          <c:extLst>
            <c:ext xmlns:c16="http://schemas.microsoft.com/office/drawing/2014/chart" uri="{C3380CC4-5D6E-409C-BE32-E72D297353CC}">
              <c16:uniqueId val="{00000002-6FC0-4DCA-9348-C28D7F386DFF}"/>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1.7712500000000091</c:v>
                </c:pt>
                <c:pt idx="1">
                  <c:v>41.959549999999922</c:v>
                </c:pt>
                <c:pt idx="2">
                  <c:v>31.342949999999917</c:v>
                </c:pt>
                <c:pt idx="3">
                  <c:v>-14.006500000000017</c:v>
                </c:pt>
                <c:pt idx="4">
                  <c:v>-4.6951750000000061</c:v>
                </c:pt>
                <c:pt idx="5">
                  <c:v>-11.13979999999998</c:v>
                </c:pt>
                <c:pt idx="6">
                  <c:v>22.095649999999921</c:v>
                </c:pt>
                <c:pt idx="7">
                  <c:v>1.5</c:v>
                </c:pt>
              </c:numCache>
            </c:numRef>
          </c:val>
          <c:extLst>
            <c:ext xmlns:c16="http://schemas.microsoft.com/office/drawing/2014/chart" uri="{C3380CC4-5D6E-409C-BE32-E72D297353CC}">
              <c16:uniqueId val="{00000003-6FC0-4DCA-9348-C28D7F386DFF}"/>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46.461250000000007</c:v>
                </c:pt>
                <c:pt idx="1">
                  <c:v>46.16149999999999</c:v>
                </c:pt>
                <c:pt idx="2">
                  <c:v>46.472149999999999</c:v>
                </c:pt>
                <c:pt idx="3">
                  <c:v>50.358000000000004</c:v>
                </c:pt>
                <c:pt idx="4">
                  <c:v>22.661099999999998</c:v>
                </c:pt>
                <c:pt idx="5">
                  <c:v>47.9818</c:v>
                </c:pt>
                <c:pt idx="6">
                  <c:v>46.739350000000002</c:v>
                </c:pt>
                <c:pt idx="7">
                  <c:v>34.5</c:v>
                </c:pt>
              </c:numCache>
            </c:numRef>
          </c:val>
          <c:extLst>
            <c:ext xmlns:c16="http://schemas.microsoft.com/office/drawing/2014/chart" uri="{C3380CC4-5D6E-409C-BE32-E72D297353CC}">
              <c16:uniqueId val="{00000004-6FC0-4DCA-9348-C28D7F386DFF}"/>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29291156714893052"/>
          <c:y val="9.4350484620673598E-3"/>
          <c:w val="0.41658788173384131"/>
          <c:h val="3.1560624691667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785601847216476E-2"/>
          <c:y val="3.51335316946179E-2"/>
          <c:w val="0.72841223323956084"/>
          <c:h val="0.88087488869855135"/>
        </c:manualLayout>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figures'!$B$20:$B$27</c15:sqref>
                  </c15:fullRef>
                </c:ext>
              </c:extLst>
              <c:f>'Power figures'!$B$20:$B$26</c:f>
              <c:numCache>
                <c:formatCode>0</c:formatCode>
                <c:ptCount val="7"/>
                <c:pt idx="0">
                  <c:v>81.750000000000014</c:v>
                </c:pt>
                <c:pt idx="1">
                  <c:v>75.210000000000008</c:v>
                </c:pt>
                <c:pt idx="2">
                  <c:v>46.870000000000005</c:v>
                </c:pt>
                <c:pt idx="3">
                  <c:v>33</c:v>
                </c:pt>
                <c:pt idx="4">
                  <c:v>47.960000000000008</c:v>
                </c:pt>
                <c:pt idx="5">
                  <c:v>30.660610000000002</c:v>
                </c:pt>
                <c:pt idx="6">
                  <c:v>55.59</c:v>
                </c:pt>
              </c:numCache>
            </c:numRef>
          </c:val>
          <c:extLst>
            <c:ext xmlns:c16="http://schemas.microsoft.com/office/drawing/2014/chart" uri="{C3380CC4-5D6E-409C-BE32-E72D297353CC}">
              <c16:uniqueId val="{00000000-524B-4C19-A240-ACBD6CBE97B5}"/>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figures'!$C$20:$C$27</c15:sqref>
                  </c15:fullRef>
                </c:ext>
              </c:extLst>
              <c:f>'Power figures'!$C$20:$C$26</c:f>
              <c:numCache>
                <c:formatCode>0</c:formatCode>
                <c:ptCount val="7"/>
                <c:pt idx="0">
                  <c:v>288.85000000000002</c:v>
                </c:pt>
                <c:pt idx="1">
                  <c:v>292.9375</c:v>
                </c:pt>
                <c:pt idx="2">
                  <c:v>288.68650000000002</c:v>
                </c:pt>
                <c:pt idx="3">
                  <c:v>257.1035</c:v>
                </c:pt>
                <c:pt idx="4">
                  <c:v>237.83799999999999</c:v>
                </c:pt>
                <c:pt idx="5">
                  <c:v>229.84939</c:v>
                </c:pt>
                <c:pt idx="6">
                  <c:v>238.98249999999999</c:v>
                </c:pt>
              </c:numCache>
            </c:numRef>
          </c:val>
          <c:extLst>
            <c:ext xmlns:c16="http://schemas.microsoft.com/office/drawing/2014/chart" uri="{C3380CC4-5D6E-409C-BE32-E72D297353CC}">
              <c16:uniqueId val="{00000001-524B-4C19-A240-ACBD6CBE97B5}"/>
            </c:ext>
          </c:extLst>
        </c:ser>
        <c:ser>
          <c:idx val="3"/>
          <c:order val="2"/>
          <c:tx>
            <c:strRef>
              <c:f>'Power figures'!$E$19</c:f>
              <c:strCache>
                <c:ptCount val="1"/>
                <c:pt idx="0">
                  <c:v>Forecast (kW)</c:v>
                </c:pt>
              </c:strCache>
            </c:strRef>
          </c:tx>
          <c:spPr>
            <a:solidFill>
              <a:srgbClr val="80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figures'!$E$20:$E$27</c15:sqref>
                  </c15:fullRef>
                </c:ext>
              </c:extLst>
              <c:f>'Power figures'!$E$20:$E$26</c:f>
              <c:numCache>
                <c:formatCode>0</c:formatCode>
                <c:ptCount val="7"/>
                <c:pt idx="0">
                  <c:v>57.606499999999997</c:v>
                </c:pt>
                <c:pt idx="1">
                  <c:v>46.106999999999999</c:v>
                </c:pt>
                <c:pt idx="2">
                  <c:v>7.085</c:v>
                </c:pt>
                <c:pt idx="3">
                  <c:v>6.3765000000000001</c:v>
                </c:pt>
                <c:pt idx="4">
                  <c:v>20.388449999999999</c:v>
                </c:pt>
                <c:pt idx="5">
                  <c:v>6.0604000000000005</c:v>
                </c:pt>
                <c:pt idx="6">
                  <c:v>16.241</c:v>
                </c:pt>
              </c:numCache>
            </c:numRef>
          </c:val>
          <c:extLst>
            <c:ext xmlns:c16="http://schemas.microsoft.com/office/drawing/2014/chart" uri="{C3380CC4-5D6E-409C-BE32-E72D297353CC}">
              <c16:uniqueId val="{00000003-524B-4C19-A240-ACBD6CBE97B5}"/>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figures'!$D$20:$D$27</c15:sqref>
                  </c15:fullRef>
                </c:ext>
              </c:extLst>
              <c:f>'Power figures'!$D$20:$D$26</c:f>
              <c:numCache>
                <c:formatCode>0</c:formatCode>
                <c:ptCount val="7"/>
                <c:pt idx="0">
                  <c:v>39.021999999999998</c:v>
                </c:pt>
                <c:pt idx="1">
                  <c:v>28.721499999999999</c:v>
                </c:pt>
                <c:pt idx="2">
                  <c:v>55.917000000000002</c:v>
                </c:pt>
                <c:pt idx="3">
                  <c:v>50.085500000000003</c:v>
                </c:pt>
                <c:pt idx="4">
                  <c:v>67.307500000000005</c:v>
                </c:pt>
                <c:pt idx="5">
                  <c:v>120.336</c:v>
                </c:pt>
                <c:pt idx="6">
                  <c:v>105.5665</c:v>
                </c:pt>
              </c:numCache>
            </c:numRef>
          </c:val>
          <c:extLst>
            <c:ext xmlns:c16="http://schemas.microsoft.com/office/drawing/2014/chart" uri="{C3380CC4-5D6E-409C-BE32-E72D297353CC}">
              <c16:uniqueId val="{00000002-524B-4C19-A240-ACBD6CBE97B5}"/>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figures'!$G$20:$G$27</c15:sqref>
                  </c15:fullRef>
                </c:ext>
              </c:extLst>
              <c:f>'Power figures'!$G$20:$G$26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24B-4C19-A240-ACBD6CBE97B5}"/>
            </c:ext>
          </c:extLst>
        </c:ser>
        <c:dLbls>
          <c:showLegendKey val="0"/>
          <c:showVal val="0"/>
          <c:showCatName val="0"/>
          <c:showSerName val="0"/>
          <c:showPercent val="0"/>
          <c:showBubbleSize val="0"/>
        </c:dLbls>
        <c:gapWidth val="50"/>
        <c:overlap val="100"/>
        <c:axId val="205530624"/>
        <c:axId val="205532160"/>
      </c:barChart>
      <c:catAx>
        <c:axId val="205530624"/>
        <c:scaling>
          <c:orientation val="minMax"/>
        </c:scaling>
        <c:delete val="0"/>
        <c:axPos val="b"/>
        <c:numFmt formatCode="General" sourceLinked="0"/>
        <c:majorTickMark val="out"/>
        <c:minorTickMark val="none"/>
        <c:tickLblPos val="nextTo"/>
        <c:txPr>
          <a:bodyPr/>
          <a:lstStyle/>
          <a:p>
            <a:pPr>
              <a:defRPr sz="1400">
                <a:latin typeface="Vodafone Rg" panose="020B0606080202020204" pitchFamily="34" charset="0"/>
              </a:defRPr>
            </a:pPr>
            <a:endParaRPr lang="en-US"/>
          </a:p>
        </c:txPr>
        <c:crossAx val="205532160"/>
        <c:crosses val="autoZero"/>
        <c:auto val="1"/>
        <c:lblAlgn val="ctr"/>
        <c:lblOffset val="100"/>
        <c:noMultiLvlLbl val="0"/>
      </c:catAx>
      <c:valAx>
        <c:axId val="205532160"/>
        <c:scaling>
          <c:orientation val="minMax"/>
        </c:scaling>
        <c:delete val="0"/>
        <c:axPos val="l"/>
        <c:majorGridlines/>
        <c:numFmt formatCode="0" sourceLinked="1"/>
        <c:majorTickMark val="out"/>
        <c:minorTickMark val="none"/>
        <c:tickLblPos val="nextTo"/>
        <c:txPr>
          <a:bodyPr/>
          <a:lstStyle/>
          <a:p>
            <a:pPr>
              <a:defRPr sz="1400">
                <a:latin typeface="Vodafone Rg" panose="020B0606080202020204" pitchFamily="34" charset="0"/>
              </a:defRPr>
            </a:pPr>
            <a:endParaRPr lang="en-US"/>
          </a:p>
        </c:txPr>
        <c:crossAx val="205530624"/>
        <c:crosses val="autoZero"/>
        <c:crossBetween val="between"/>
      </c:valAx>
      <c:spPr>
        <a:solidFill>
          <a:schemeClr val="bg1">
            <a:lumMod val="95000"/>
          </a:schemeClr>
        </a:solidFill>
      </c:spPr>
    </c:plotArea>
    <c:legend>
      <c:legendPos val="r"/>
      <c:layout>
        <c:manualLayout>
          <c:xMode val="edge"/>
          <c:yMode val="edge"/>
          <c:x val="0.79332433947886782"/>
          <c:y val="0.33456452869434866"/>
          <c:w val="0.1975460196203411"/>
          <c:h val="0.432331382239315"/>
        </c:manualLayout>
      </c:layout>
      <c:overlay val="0"/>
      <c:txPr>
        <a:bodyPr/>
        <a:lstStyle/>
        <a:p>
          <a:pPr>
            <a:defRPr sz="1400">
              <a:latin typeface="Vodafone Rg" panose="020B060608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figures'!$B$28:$B$35</c:f>
              <c:numCache>
                <c:formatCode>0</c:formatCode>
                <c:ptCount val="8"/>
                <c:pt idx="0">
                  <c:v>17.440000000000001</c:v>
                </c:pt>
                <c:pt idx="1">
                  <c:v>7.6300000000000008</c:v>
                </c:pt>
                <c:pt idx="2">
                  <c:v>0</c:v>
                </c:pt>
                <c:pt idx="3">
                  <c:v>40.33</c:v>
                </c:pt>
                <c:pt idx="4">
                  <c:v>0</c:v>
                </c:pt>
                <c:pt idx="5">
                  <c:v>8.7200000000000006</c:v>
                </c:pt>
                <c:pt idx="6">
                  <c:v>7.6300000000000008</c:v>
                </c:pt>
                <c:pt idx="7">
                  <c:v>7.6300000000000008</c:v>
                </c:pt>
              </c:numCache>
            </c:numRef>
          </c:val>
          <c:extLst>
            <c:ext xmlns:c16="http://schemas.microsoft.com/office/drawing/2014/chart" uri="{C3380CC4-5D6E-409C-BE32-E72D297353CC}">
              <c16:uniqueId val="{00000000-701D-4954-82DF-9E265EFD15E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figures'!$C$28:$C$35</c:f>
              <c:numCache>
                <c:formatCode>0</c:formatCode>
                <c:ptCount val="8"/>
                <c:pt idx="0">
                  <c:v>109.76300000000001</c:v>
                </c:pt>
                <c:pt idx="1">
                  <c:v>74.9375</c:v>
                </c:pt>
                <c:pt idx="2">
                  <c:v>36.569499999999998</c:v>
                </c:pt>
                <c:pt idx="3">
                  <c:v>27.849500000000006</c:v>
                </c:pt>
                <c:pt idx="4">
                  <c:v>22.236000000000001</c:v>
                </c:pt>
                <c:pt idx="5">
                  <c:v>90.742500000000007</c:v>
                </c:pt>
                <c:pt idx="6">
                  <c:v>85.0745</c:v>
                </c:pt>
                <c:pt idx="7">
                  <c:v>102.242</c:v>
                </c:pt>
              </c:numCache>
            </c:numRef>
          </c:val>
          <c:extLst>
            <c:ext xmlns:c16="http://schemas.microsoft.com/office/drawing/2014/chart" uri="{C3380CC4-5D6E-409C-BE32-E72D297353CC}">
              <c16:uniqueId val="{00000001-701D-4954-82DF-9E265EFD15E0}"/>
            </c:ext>
          </c:extLst>
        </c:ser>
        <c:ser>
          <c:idx val="3"/>
          <c:order val="2"/>
          <c:tx>
            <c:strRef>
              <c:f>'Power figures'!$E$19</c:f>
              <c:strCache>
                <c:ptCount val="1"/>
                <c:pt idx="0">
                  <c:v>Forecast (kW)</c:v>
                </c:pt>
              </c:strCache>
            </c:strRef>
          </c:tx>
          <c:spPr>
            <a:solidFill>
              <a:srgbClr val="990033"/>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figures'!$E$28:$E$35</c:f>
              <c:numCache>
                <c:formatCode>0</c:formatCode>
                <c:ptCount val="8"/>
                <c:pt idx="0">
                  <c:v>8.0660000000000007</c:v>
                </c:pt>
                <c:pt idx="1">
                  <c:v>0</c:v>
                </c:pt>
                <c:pt idx="2">
                  <c:v>0</c:v>
                </c:pt>
                <c:pt idx="3">
                  <c:v>0</c:v>
                </c:pt>
                <c:pt idx="4">
                  <c:v>0</c:v>
                </c:pt>
                <c:pt idx="5">
                  <c:v>14.715</c:v>
                </c:pt>
                <c:pt idx="6">
                  <c:v>18.748000000000001</c:v>
                </c:pt>
                <c:pt idx="7">
                  <c:v>0</c:v>
                </c:pt>
              </c:numCache>
            </c:numRef>
          </c:val>
          <c:extLst>
            <c:ext xmlns:c16="http://schemas.microsoft.com/office/drawing/2014/chart" uri="{C3380CC4-5D6E-409C-BE32-E72D297353CC}">
              <c16:uniqueId val="{00000003-701D-4954-82DF-9E265EFD15E0}"/>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figures'!$D$28:$D$35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01D-4954-82DF-9E265EFD15E0}"/>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figures'!$G$28:$G$35</c:f>
              <c:numCache>
                <c:formatCode>0</c:formatCode>
                <c:ptCount val="8"/>
                <c:pt idx="0">
                  <c:v>0</c:v>
                </c:pt>
                <c:pt idx="1">
                  <c:v>48</c:v>
                </c:pt>
                <c:pt idx="2">
                  <c:v>28</c:v>
                </c:pt>
                <c:pt idx="3">
                  <c:v>28</c:v>
                </c:pt>
                <c:pt idx="4">
                  <c:v>28.000000000000014</c:v>
                </c:pt>
                <c:pt idx="5">
                  <c:v>0</c:v>
                </c:pt>
                <c:pt idx="6">
                  <c:v>48</c:v>
                </c:pt>
                <c:pt idx="7">
                  <c:v>0</c:v>
                </c:pt>
              </c:numCache>
            </c:numRef>
          </c:val>
          <c:extLst>
            <c:ext xmlns:c16="http://schemas.microsoft.com/office/drawing/2014/chart" uri="{C3380CC4-5D6E-409C-BE32-E72D297353CC}">
              <c16:uniqueId val="{00000004-701D-4954-82DF-9E265EFD15E0}"/>
            </c:ext>
          </c:extLst>
        </c:ser>
        <c:dLbls>
          <c:showLegendKey val="0"/>
          <c:showVal val="0"/>
          <c:showCatName val="0"/>
          <c:showSerName val="0"/>
          <c:showPercent val="0"/>
          <c:showBubbleSize val="0"/>
        </c:dLbls>
        <c:gapWidth val="42"/>
        <c:overlap val="100"/>
        <c:axId val="205584640"/>
        <c:axId val="205586432"/>
      </c:barChart>
      <c:catAx>
        <c:axId val="205584640"/>
        <c:scaling>
          <c:orientation val="minMax"/>
        </c:scaling>
        <c:delete val="0"/>
        <c:axPos val="b"/>
        <c:numFmt formatCode="General" sourceLinked="0"/>
        <c:majorTickMark val="out"/>
        <c:minorTickMark val="none"/>
        <c:tickLblPos val="nextTo"/>
        <c:spPr>
          <a:ln>
            <a:solidFill>
              <a:sysClr val="windowText" lastClr="000000">
                <a:alpha val="88000"/>
              </a:sysClr>
            </a:solidFill>
          </a:ln>
        </c:spPr>
        <c:txPr>
          <a:bodyPr rot="0" vert="horz"/>
          <a:lstStyle/>
          <a:p>
            <a:pPr>
              <a:defRPr/>
            </a:pPr>
            <a:endParaRPr lang="en-US"/>
          </a:p>
        </c:txPr>
        <c:crossAx val="205586432"/>
        <c:crosses val="autoZero"/>
        <c:auto val="1"/>
        <c:lblAlgn val="ctr"/>
        <c:lblOffset val="100"/>
        <c:noMultiLvlLbl val="0"/>
      </c:catAx>
      <c:valAx>
        <c:axId val="205586432"/>
        <c:scaling>
          <c:orientation val="minMax"/>
        </c:scaling>
        <c:delete val="0"/>
        <c:axPos val="l"/>
        <c:majorGridlines/>
        <c:numFmt formatCode="0" sourceLinked="1"/>
        <c:majorTickMark val="out"/>
        <c:minorTickMark val="none"/>
        <c:tickLblPos val="nextTo"/>
        <c:crossAx val="205584640"/>
        <c:crosses val="autoZero"/>
        <c:crossBetween val="between"/>
      </c:valAx>
      <c:spPr>
        <a:solidFill>
          <a:schemeClr val="bg1">
            <a:lumMod val="95000"/>
          </a:schemeClr>
        </a:solidFill>
      </c:spPr>
    </c:plotArea>
    <c:legend>
      <c:legendPos val="r"/>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325044843062788E-2"/>
          <c:y val="0.13426225596923821"/>
          <c:w val="0.90417729107693579"/>
          <c:h val="0.72788383456353978"/>
        </c:manualLayout>
      </c:layout>
      <c:barChart>
        <c:barDir val="col"/>
        <c:grouping val="stacked"/>
        <c:varyColors val="0"/>
        <c:ser>
          <c:idx val="0"/>
          <c:order val="0"/>
          <c:tx>
            <c:strRef>
              <c:f>'Cab Floorspace'!$J$21</c:f>
              <c:strCache>
                <c:ptCount val="1"/>
                <c:pt idx="0">
                  <c:v>Used (m²) </c:v>
                </c:pt>
              </c:strCache>
            </c:strRef>
          </c:tx>
          <c:spPr>
            <a:solidFill>
              <a:schemeClr val="tx1"/>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Floorspace'!$J$22:$J$33</c15:sqref>
                  </c15:fullRef>
                </c:ext>
              </c:extLst>
              <c:f>'Cab Floorspace'!$J$22:$J$28</c:f>
              <c:numCache>
                <c:formatCode>0</c:formatCode>
                <c:ptCount val="7"/>
                <c:pt idx="0">
                  <c:v>1713.28</c:v>
                </c:pt>
                <c:pt idx="1">
                  <c:v>1120.32</c:v>
                </c:pt>
                <c:pt idx="2">
                  <c:v>1336.3200000000002</c:v>
                </c:pt>
                <c:pt idx="3">
                  <c:v>1058.24</c:v>
                </c:pt>
                <c:pt idx="4">
                  <c:v>1266.8800000000001</c:v>
                </c:pt>
                <c:pt idx="5">
                  <c:v>1228.8</c:v>
                </c:pt>
                <c:pt idx="6">
                  <c:v>1532.48</c:v>
                </c:pt>
              </c:numCache>
            </c:numRef>
          </c:val>
          <c:extLst>
            <c:ext xmlns:c16="http://schemas.microsoft.com/office/drawing/2014/chart" uri="{C3380CC4-5D6E-409C-BE32-E72D297353CC}">
              <c16:uniqueId val="{00000000-2756-48F8-BDB1-3C4F4190B137}"/>
            </c:ext>
          </c:extLst>
        </c:ser>
        <c:ser>
          <c:idx val="2"/>
          <c:order val="1"/>
          <c:tx>
            <c:strRef>
              <c:f>'Cab Floorspace'!$L$21</c:f>
              <c:strCache>
                <c:ptCount val="1"/>
                <c:pt idx="0">
                  <c:v>Forecast (m²) </c:v>
                </c:pt>
              </c:strCache>
            </c:strRef>
          </c:tx>
          <c:spPr>
            <a:solidFill>
              <a:srgbClr val="FFC00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Floorspace'!$L$22:$L$33</c15:sqref>
                  </c15:fullRef>
                </c:ext>
              </c:extLst>
              <c:f>'Cab Floorspace'!$L$22:$L$28</c:f>
              <c:numCache>
                <c:formatCode>0</c:formatCode>
                <c:ptCount val="7"/>
                <c:pt idx="0">
                  <c:v>12.8</c:v>
                </c:pt>
                <c:pt idx="1">
                  <c:v>15.360000000000001</c:v>
                </c:pt>
                <c:pt idx="2">
                  <c:v>0</c:v>
                </c:pt>
                <c:pt idx="3">
                  <c:v>3.84</c:v>
                </c:pt>
                <c:pt idx="4">
                  <c:v>0</c:v>
                </c:pt>
                <c:pt idx="5">
                  <c:v>12.8</c:v>
                </c:pt>
                <c:pt idx="6">
                  <c:v>0</c:v>
                </c:pt>
              </c:numCache>
            </c:numRef>
          </c:val>
          <c:extLst>
            <c:ext xmlns:c16="http://schemas.microsoft.com/office/drawing/2014/chart" uri="{C3380CC4-5D6E-409C-BE32-E72D297353CC}">
              <c16:uniqueId val="{00000002-2756-48F8-BDB1-3C4F4190B137}"/>
            </c:ext>
          </c:extLst>
        </c:ser>
        <c:ser>
          <c:idx val="1"/>
          <c:order val="2"/>
          <c:tx>
            <c:strRef>
              <c:f>'Cab Floorspace'!$K$21</c:f>
              <c:strCache>
                <c:ptCount val="1"/>
                <c:pt idx="0">
                  <c:v>Reserved (m²)</c:v>
                </c:pt>
              </c:strCache>
            </c:strRef>
          </c:tx>
          <c:spPr>
            <a:solidFill>
              <a:srgbClr val="990033"/>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Floorspace'!$K$22:$K$33</c15:sqref>
                  </c15:fullRef>
                </c:ext>
              </c:extLst>
              <c:f>'Cab Floorspace'!$K$22:$K$28</c:f>
              <c:numCache>
                <c:formatCode>0</c:formatCode>
                <c:ptCount val="7"/>
                <c:pt idx="0">
                  <c:v>1.6</c:v>
                </c:pt>
                <c:pt idx="1">
                  <c:v>1.92</c:v>
                </c:pt>
                <c:pt idx="2">
                  <c:v>20.16</c:v>
                </c:pt>
                <c:pt idx="3">
                  <c:v>7.3599999999999994</c:v>
                </c:pt>
                <c:pt idx="4">
                  <c:v>13.12</c:v>
                </c:pt>
                <c:pt idx="5">
                  <c:v>0</c:v>
                </c:pt>
                <c:pt idx="6">
                  <c:v>10.559999999999999</c:v>
                </c:pt>
              </c:numCache>
            </c:numRef>
          </c:val>
          <c:extLst>
            <c:ext xmlns:c16="http://schemas.microsoft.com/office/drawing/2014/chart" uri="{C3380CC4-5D6E-409C-BE32-E72D297353CC}">
              <c16:uniqueId val="{00000001-2756-48F8-BDB1-3C4F4190B137}"/>
            </c:ext>
          </c:extLst>
        </c:ser>
        <c:ser>
          <c:idx val="3"/>
          <c:order val="3"/>
          <c:tx>
            <c:strRef>
              <c:f>'Cab Floorspace'!$O$21</c:f>
              <c:strCache>
                <c:ptCount val="1"/>
                <c:pt idx="0">
                  <c:v>Remaining (m²) </c:v>
                </c:pt>
              </c:strCache>
            </c:strRef>
          </c:tx>
          <c:spPr>
            <a:solidFill>
              <a:srgbClr val="92D05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Floorspace'!$O$22:$O$33</c15:sqref>
                  </c15:fullRef>
                </c:ext>
              </c:extLst>
              <c:f>'Cab Floorspace'!$O$22:$O$28</c:f>
              <c:numCache>
                <c:formatCode>0</c:formatCode>
                <c:ptCount val="7"/>
                <c:pt idx="0">
                  <c:v>759.36000000000013</c:v>
                </c:pt>
                <c:pt idx="1">
                  <c:v>483.20000000000005</c:v>
                </c:pt>
                <c:pt idx="2">
                  <c:v>375.3599999999999</c:v>
                </c:pt>
                <c:pt idx="3">
                  <c:v>273.2800000000002</c:v>
                </c:pt>
                <c:pt idx="4">
                  <c:v>361.59999999999991</c:v>
                </c:pt>
                <c:pt idx="5">
                  <c:v>584.6400000000001</c:v>
                </c:pt>
                <c:pt idx="6">
                  <c:v>672.96</c:v>
                </c:pt>
              </c:numCache>
            </c:numRef>
          </c:val>
          <c:extLst>
            <c:ext xmlns:c16="http://schemas.microsoft.com/office/drawing/2014/chart" uri="{C3380CC4-5D6E-409C-BE32-E72D297353CC}">
              <c16:uniqueId val="{00000003-2756-48F8-BDB1-3C4F4190B137}"/>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out"/>
        <c:minorTickMark val="none"/>
        <c:tickLblPos val="nextTo"/>
        <c:txPr>
          <a:bodyPr/>
          <a:lstStyle/>
          <a:p>
            <a:pPr>
              <a:defRPr sz="800"/>
            </a:pPr>
            <a:endParaRPr lang="en-US"/>
          </a:p>
        </c:txPr>
        <c:crossAx val="205614464"/>
        <c:crosses val="autoZero"/>
        <c:auto val="1"/>
        <c:lblAlgn val="ctr"/>
        <c:lblOffset val="100"/>
        <c:tickLblSkip val="1"/>
        <c:noMultiLvlLbl val="0"/>
      </c:catAx>
      <c:valAx>
        <c:axId val="205614464"/>
        <c:scaling>
          <c:orientation val="minMax"/>
        </c:scaling>
        <c:delete val="0"/>
        <c:axPos val="l"/>
        <c:majorGridlines>
          <c:spPr>
            <a:ln>
              <a:noFill/>
            </a:ln>
          </c:spPr>
        </c:majorGridlines>
        <c:numFmt formatCode="0" sourceLinked="1"/>
        <c:majorTickMark val="out"/>
        <c:minorTickMark val="none"/>
        <c:tickLblPos val="nextTo"/>
        <c:txPr>
          <a:bodyPr/>
          <a:lstStyle/>
          <a:p>
            <a:pPr>
              <a:defRPr sz="800"/>
            </a:pPr>
            <a:endParaRPr lang="en-US"/>
          </a:p>
        </c:txPr>
        <c:crossAx val="205612928"/>
        <c:crosses val="autoZero"/>
        <c:crossBetween val="between"/>
      </c:valAx>
      <c:spPr>
        <a:noFill/>
      </c:spPr>
    </c:plotArea>
    <c:legend>
      <c:legendPos val="b"/>
      <c:overlay val="0"/>
      <c:txPr>
        <a:bodyPr/>
        <a:lstStyle/>
        <a:p>
          <a:pPr>
            <a:defRPr sz="800"/>
          </a:pPr>
          <a:endParaRPr lang="en-US"/>
        </a:p>
      </c:txPr>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479074667097341E-2"/>
          <c:y val="5.944773175542406E-2"/>
          <c:w val="0.78530519143290034"/>
          <c:h val="0.82841572318253121"/>
        </c:manualLayout>
      </c:layout>
      <c:barChart>
        <c:barDir val="col"/>
        <c:grouping val="stacked"/>
        <c:varyColors val="0"/>
        <c:ser>
          <c:idx val="2"/>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Calc'!$O$22:$O$28</c:f>
              <c:numCache>
                <c:formatCode>0</c:formatCode>
                <c:ptCount val="7"/>
                <c:pt idx="0">
                  <c:v>76.800000000000011</c:v>
                </c:pt>
                <c:pt idx="1">
                  <c:v>92.800000000000011</c:v>
                </c:pt>
                <c:pt idx="2">
                  <c:v>81.600000000000009</c:v>
                </c:pt>
                <c:pt idx="3">
                  <c:v>89.600000000000009</c:v>
                </c:pt>
                <c:pt idx="4">
                  <c:v>32</c:v>
                </c:pt>
                <c:pt idx="5">
                  <c:v>12.8</c:v>
                </c:pt>
                <c:pt idx="6">
                  <c:v>11.200000000000001</c:v>
                </c:pt>
              </c:numCache>
            </c:numRef>
          </c:val>
          <c:extLst>
            <c:ext xmlns:c16="http://schemas.microsoft.com/office/drawing/2014/chart" uri="{C3380CC4-5D6E-409C-BE32-E72D297353CC}">
              <c16:uniqueId val="{00000000-AD32-4468-94BA-D33C45C1A826}"/>
            </c:ext>
          </c:extLst>
        </c:ser>
        <c:ser>
          <c:idx val="1"/>
          <c:order val="1"/>
          <c:tx>
            <c:strRef>
              <c:f>'Floorspace Calc'!$N$21</c:f>
              <c:strCache>
                <c:ptCount val="1"/>
                <c:pt idx="0">
                  <c:v>Forecast (m²) </c:v>
                </c:pt>
              </c:strCache>
            </c:strRef>
          </c:tx>
          <c:spPr>
            <a:solidFill>
              <a:srgbClr val="800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Calc'!$N$22:$N$28</c:f>
              <c:numCache>
                <c:formatCode>0</c:formatCode>
                <c:ptCount val="7"/>
                <c:pt idx="0">
                  <c:v>3.2</c:v>
                </c:pt>
                <c:pt idx="1">
                  <c:v>1.6</c:v>
                </c:pt>
                <c:pt idx="2">
                  <c:v>0</c:v>
                </c:pt>
                <c:pt idx="3">
                  <c:v>4.8000000000000007</c:v>
                </c:pt>
                <c:pt idx="4">
                  <c:v>9.6000000000000014</c:v>
                </c:pt>
                <c:pt idx="5">
                  <c:v>6.4</c:v>
                </c:pt>
                <c:pt idx="6">
                  <c:v>0</c:v>
                </c:pt>
              </c:numCache>
            </c:numRef>
          </c:val>
          <c:extLst>
            <c:ext xmlns:c16="http://schemas.microsoft.com/office/drawing/2014/chart" uri="{C3380CC4-5D6E-409C-BE32-E72D297353CC}">
              <c16:uniqueId val="{00000002-AD32-4468-94BA-D33C45C1A826}"/>
            </c:ext>
          </c:extLst>
        </c:ser>
        <c:ser>
          <c:idx val="0"/>
          <c:order val="2"/>
          <c:tx>
            <c:strRef>
              <c:f>'Floorspace Calc'!$M$21</c:f>
              <c:strCache>
                <c:ptCount val="1"/>
                <c:pt idx="0">
                  <c:v>Reserved (m²) </c:v>
                </c:pt>
              </c:strCache>
            </c:strRef>
          </c:tx>
          <c:spPr>
            <a:solidFill>
              <a:srgbClr val="E46C0A"/>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Calc'!$M$22:$M$28</c:f>
              <c:numCache>
                <c:formatCode>0</c:formatCode>
                <c:ptCount val="7"/>
                <c:pt idx="0">
                  <c:v>1.6</c:v>
                </c:pt>
                <c:pt idx="1">
                  <c:v>0</c:v>
                </c:pt>
                <c:pt idx="2">
                  <c:v>0</c:v>
                </c:pt>
                <c:pt idx="3">
                  <c:v>0</c:v>
                </c:pt>
                <c:pt idx="4">
                  <c:v>0</c:v>
                </c:pt>
                <c:pt idx="5">
                  <c:v>0</c:v>
                </c:pt>
                <c:pt idx="6">
                  <c:v>3.2</c:v>
                </c:pt>
              </c:numCache>
            </c:numRef>
          </c:val>
          <c:extLst>
            <c:ext xmlns:c16="http://schemas.microsoft.com/office/drawing/2014/chart" uri="{C3380CC4-5D6E-409C-BE32-E72D297353CC}">
              <c16:uniqueId val="{00000001-AD32-4468-94BA-D33C45C1A826}"/>
            </c:ext>
          </c:extLst>
        </c:ser>
        <c:ser>
          <c:idx val="3"/>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Calc'!$P$22:$P$28</c:f>
              <c:numCache>
                <c:formatCode>0</c:formatCode>
                <c:ptCount val="7"/>
                <c:pt idx="0">
                  <c:v>14.399999999999991</c:v>
                </c:pt>
                <c:pt idx="1">
                  <c:v>0</c:v>
                </c:pt>
                <c:pt idx="2">
                  <c:v>0</c:v>
                </c:pt>
                <c:pt idx="3">
                  <c:v>4.7999999999999972</c:v>
                </c:pt>
                <c:pt idx="4">
                  <c:v>20.800000000000004</c:v>
                </c:pt>
                <c:pt idx="5">
                  <c:v>8.0000000000000036</c:v>
                </c:pt>
                <c:pt idx="6">
                  <c:v>19.200000000000003</c:v>
                </c:pt>
              </c:numCache>
            </c:numRef>
          </c:val>
          <c:extLst>
            <c:ext xmlns:c16="http://schemas.microsoft.com/office/drawing/2014/chart" uri="{C3380CC4-5D6E-409C-BE32-E72D297353CC}">
              <c16:uniqueId val="{00000003-AD32-4468-94BA-D33C45C1A826}"/>
            </c:ext>
          </c:extLst>
        </c:ser>
        <c:dLbls>
          <c:showLegendKey val="0"/>
          <c:showVal val="0"/>
          <c:showCatName val="0"/>
          <c:showSerName val="0"/>
          <c:showPercent val="0"/>
          <c:showBubbleSize val="0"/>
        </c:dLbls>
        <c:gapWidth val="100"/>
        <c:overlap val="100"/>
        <c:axId val="207754752"/>
        <c:axId val="207756288"/>
      </c:barChart>
      <c:catAx>
        <c:axId val="207754752"/>
        <c:scaling>
          <c:orientation val="minMax"/>
        </c:scaling>
        <c:delete val="0"/>
        <c:axPos val="b"/>
        <c:numFmt formatCode="General" sourceLinked="0"/>
        <c:majorTickMark val="out"/>
        <c:minorTickMark val="none"/>
        <c:tickLblPos val="nextTo"/>
        <c:crossAx val="207756288"/>
        <c:crosses val="autoZero"/>
        <c:auto val="1"/>
        <c:lblAlgn val="ctr"/>
        <c:lblOffset val="100"/>
        <c:noMultiLvlLbl val="0"/>
      </c:catAx>
      <c:valAx>
        <c:axId val="207756288"/>
        <c:scaling>
          <c:orientation val="minMax"/>
        </c:scaling>
        <c:delete val="0"/>
        <c:axPos val="l"/>
        <c:majorGridlines/>
        <c:numFmt formatCode="0" sourceLinked="1"/>
        <c:majorTickMark val="out"/>
        <c:minorTickMark val="none"/>
        <c:tickLblPos val="nextTo"/>
        <c:crossAx val="207754752"/>
        <c:crosses val="autoZero"/>
        <c:crossBetween val="between"/>
      </c:valAx>
      <c:spPr>
        <a:solidFill>
          <a:sysClr val="window" lastClr="FFFFFF">
            <a:lumMod val="95000"/>
          </a:sysClr>
        </a:solidFill>
      </c:spPr>
    </c:plotArea>
    <c:legend>
      <c:legendPos val="r"/>
      <c:layout>
        <c:manualLayout>
          <c:xMode val="edge"/>
          <c:yMode val="edge"/>
          <c:x val="0.8347081453625852"/>
          <c:y val="0.30952964950177686"/>
          <c:w val="0.1622576439114799"/>
          <c:h val="0.38094070099644622"/>
        </c:manualLayout>
      </c:layout>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r>
              <a:rPr lang="en-US" sz="1200" b="1"/>
              <a:t>NFV Sites Power Breakdown</a:t>
            </a:r>
          </a:p>
        </c:rich>
      </c:tx>
      <c:layout>
        <c:manualLayout>
          <c:xMode val="edge"/>
          <c:yMode val="edge"/>
          <c:x val="2.6766819476794906E-2"/>
          <c:y val="1.72413754092281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9.3744301684108508E-2"/>
          <c:y val="0.10920831268740465"/>
          <c:w val="0.84530985734065756"/>
          <c:h val="0.73018084664203853"/>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figures'!$B$20:$B$26</c:f>
              <c:numCache>
                <c:formatCode>0</c:formatCode>
                <c:ptCount val="7"/>
                <c:pt idx="0">
                  <c:v>81.750000000000014</c:v>
                </c:pt>
                <c:pt idx="1">
                  <c:v>75.210000000000008</c:v>
                </c:pt>
                <c:pt idx="2">
                  <c:v>46.870000000000005</c:v>
                </c:pt>
                <c:pt idx="3">
                  <c:v>33</c:v>
                </c:pt>
                <c:pt idx="4">
                  <c:v>47.960000000000008</c:v>
                </c:pt>
                <c:pt idx="5">
                  <c:v>30.660610000000002</c:v>
                </c:pt>
                <c:pt idx="6">
                  <c:v>55.59</c:v>
                </c:pt>
              </c:numCache>
            </c:numRef>
          </c:val>
          <c:extLst>
            <c:ext xmlns:c16="http://schemas.microsoft.com/office/drawing/2014/chart" uri="{C3380CC4-5D6E-409C-BE32-E72D297353CC}">
              <c16:uniqueId val="{00000000-FECE-42BB-9A79-9686734B0B53}"/>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figures'!$C$20:$C$26</c:f>
              <c:numCache>
                <c:formatCode>0</c:formatCode>
                <c:ptCount val="7"/>
                <c:pt idx="0">
                  <c:v>288.85000000000002</c:v>
                </c:pt>
                <c:pt idx="1">
                  <c:v>292.9375</c:v>
                </c:pt>
                <c:pt idx="2">
                  <c:v>288.68650000000002</c:v>
                </c:pt>
                <c:pt idx="3">
                  <c:v>257.1035</c:v>
                </c:pt>
                <c:pt idx="4">
                  <c:v>237.83799999999999</c:v>
                </c:pt>
                <c:pt idx="5">
                  <c:v>229.84939</c:v>
                </c:pt>
                <c:pt idx="6">
                  <c:v>238.98249999999999</c:v>
                </c:pt>
              </c:numCache>
            </c:numRef>
          </c:val>
          <c:extLst>
            <c:ext xmlns:c16="http://schemas.microsoft.com/office/drawing/2014/chart" uri="{C3380CC4-5D6E-409C-BE32-E72D297353CC}">
              <c16:uniqueId val="{00000001-FECE-42BB-9A79-9686734B0B53}"/>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6.0604000000000005</c:v>
                </c:pt>
                <c:pt idx="6">
                  <c:v>16.241</c:v>
                </c:pt>
              </c:numCache>
            </c:numRef>
          </c:val>
          <c:extLst>
            <c:ext xmlns:c16="http://schemas.microsoft.com/office/drawing/2014/chart" uri="{C3380CC4-5D6E-409C-BE32-E72D297353CC}">
              <c16:uniqueId val="{00000003-FECE-42BB-9A79-9686734B0B53}"/>
            </c:ext>
          </c:extLst>
        </c:ser>
        <c:ser>
          <c:idx val="2"/>
          <c:order val="3"/>
          <c:tx>
            <c:strRef>
              <c:f>'Power figures'!$D$19</c:f>
              <c:strCache>
                <c:ptCount val="1"/>
                <c:pt idx="0">
                  <c:v>Reserved (kW)</c:v>
                </c:pt>
              </c:strCache>
            </c:strRef>
          </c:tx>
          <c:spPr>
            <a:solidFill>
              <a:srgbClr val="C00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120.336</c:v>
                </c:pt>
                <c:pt idx="6">
                  <c:v>105.5665</c:v>
                </c:pt>
              </c:numCache>
            </c:numRef>
          </c:val>
          <c:extLst>
            <c:ext xmlns:c16="http://schemas.microsoft.com/office/drawing/2014/chart" uri="{C3380CC4-5D6E-409C-BE32-E72D297353CC}">
              <c16:uniqueId val="{00000002-FECE-42BB-9A79-9686734B0B53}"/>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figures'!$F$20:$F$26</c:f>
              <c:numCache>
                <c:formatCode>0</c:formatCode>
                <c:ptCount val="7"/>
                <c:pt idx="0">
                  <c:v>36.771499999999989</c:v>
                </c:pt>
                <c:pt idx="1">
                  <c:v>40.023999999999972</c:v>
                </c:pt>
                <c:pt idx="2">
                  <c:v>102.44149999999998</c:v>
                </c:pt>
                <c:pt idx="3">
                  <c:v>31.4345</c:v>
                </c:pt>
                <c:pt idx="4">
                  <c:v>109.50604999999996</c:v>
                </c:pt>
                <c:pt idx="5">
                  <c:v>81.093599999999981</c:v>
                </c:pt>
                <c:pt idx="6">
                  <c:v>72.619999999999976</c:v>
                </c:pt>
              </c:numCache>
            </c:numRef>
          </c:val>
          <c:extLst>
            <c:ext xmlns:c16="http://schemas.microsoft.com/office/drawing/2014/chart" uri="{C3380CC4-5D6E-409C-BE32-E72D297353CC}">
              <c16:uniqueId val="{00000004-FECE-42BB-9A79-9686734B0B53}"/>
            </c:ext>
          </c:extLst>
        </c:ser>
        <c:dLbls>
          <c:showLegendKey val="0"/>
          <c:showVal val="0"/>
          <c:showCatName val="0"/>
          <c:showSerName val="0"/>
          <c:showPercent val="0"/>
          <c:showBubbleSize val="0"/>
        </c:dLbls>
        <c:gapWidth val="17"/>
        <c:overlap val="100"/>
        <c:axId val="2043085136"/>
        <c:axId val="1660246544"/>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w="3175">
                    <a:noFill/>
                    <a:prstDash val="dash"/>
                  </a:ln>
                  <a:effectLst/>
                </c:spPr>
                <c:invertIfNegative val="0"/>
                <c:cat>
                  <c:strRef>
                    <c:extLst>
                      <c:ext uri="{02D57815-91ED-43cb-92C2-25804820EDAC}">
                        <c15:formulaRef>
                          <c15:sqref>'Power figures'!$A$20:$A$26</c15:sqref>
                        </c15:formulaRef>
                      </c:ext>
                    </c:extLst>
                    <c:strCache>
                      <c:ptCount val="7"/>
                      <c:pt idx="0">
                        <c:v> XBE</c:v>
                      </c:pt>
                      <c:pt idx="1">
                        <c:v> XMS</c:v>
                      </c:pt>
                      <c:pt idx="2">
                        <c:v> XLD</c:v>
                      </c:pt>
                      <c:pt idx="3">
                        <c:v>XEH</c:v>
                      </c:pt>
                      <c:pt idx="4">
                        <c:v> XGL</c:v>
                      </c:pt>
                      <c:pt idx="5">
                        <c:v>XGR</c:v>
                      </c:pt>
                      <c:pt idx="6">
                        <c:v>XOM</c:v>
                      </c:pt>
                    </c:strCache>
                  </c:strRef>
                </c:cat>
                <c:val>
                  <c:numRef>
                    <c:extLst>
                      <c:ext uri="{02D57815-91ED-43cb-92C2-25804820EDAC}">
                        <c15:formulaRef>
                          <c15:sqref>'Power figures'!$G$20:$G$26</c15:sqref>
                        </c15:formulaRef>
                      </c:ext>
                    </c:extLst>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ECE-42BB-9A79-9686734B0B53}"/>
                  </c:ext>
                </c:extLst>
              </c15:ser>
            </c15:filteredBarSeries>
          </c:ext>
        </c:extLst>
      </c:barChart>
      <c:catAx>
        <c:axId val="20430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1660246544"/>
        <c:crosses val="autoZero"/>
        <c:auto val="1"/>
        <c:lblAlgn val="ctr"/>
        <c:lblOffset val="100"/>
        <c:noMultiLvlLbl val="0"/>
      </c:catAx>
      <c:valAx>
        <c:axId val="1660246544"/>
        <c:scaling>
          <c:orientation val="minMax"/>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r>
                  <a:rPr lang="en-US"/>
                  <a:t>kW</a:t>
                </a:r>
              </a:p>
            </c:rich>
          </c:tx>
          <c:layout>
            <c:manualLayout>
              <c:xMode val="edge"/>
              <c:yMode val="edge"/>
              <c:x val="4.3614982400779691E-2"/>
              <c:y val="0.5022213687635352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2043085136"/>
        <c:crosses val="autoZero"/>
        <c:crossBetween val="between"/>
      </c:valAx>
      <c:spPr>
        <a:noFill/>
        <a:ln>
          <a:noFill/>
        </a:ln>
        <a:effectLst/>
      </c:spPr>
    </c:plotArea>
    <c:legend>
      <c:legendPos val="b"/>
      <c:layout>
        <c:manualLayout>
          <c:xMode val="edge"/>
          <c:yMode val="edge"/>
          <c:x val="2.22746645417118E-2"/>
          <c:y val="0.84872091274435402"/>
          <c:w val="0.92028985246791173"/>
          <c:h val="0.134037685331244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r>
              <a:rPr lang="en-GB" sz="1200" b="1"/>
              <a:t>CORE Sites Power Breakdown</a:t>
            </a:r>
          </a:p>
        </c:rich>
      </c:tx>
      <c:layout>
        <c:manualLayout>
          <c:xMode val="edge"/>
          <c:yMode val="edge"/>
          <c:x val="2.1226028469064597E-2"/>
          <c:y val="2.405531396328107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7.4183323383005553E-2"/>
          <c:y val="0.10799288207261888"/>
          <c:w val="0.88200702351259752"/>
          <c:h val="0.7145922233621137"/>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figures'!$B$27:$B$35</c:f>
              <c:numCache>
                <c:formatCode>0</c:formatCode>
                <c:ptCount val="9"/>
                <c:pt idx="0">
                  <c:v>30.520000000000003</c:v>
                </c:pt>
                <c:pt idx="1">
                  <c:v>17.440000000000001</c:v>
                </c:pt>
                <c:pt idx="2">
                  <c:v>7.6300000000000008</c:v>
                </c:pt>
                <c:pt idx="3">
                  <c:v>0</c:v>
                </c:pt>
                <c:pt idx="4">
                  <c:v>40.33</c:v>
                </c:pt>
                <c:pt idx="5">
                  <c:v>0</c:v>
                </c:pt>
                <c:pt idx="6">
                  <c:v>8.7200000000000006</c:v>
                </c:pt>
                <c:pt idx="7">
                  <c:v>7.6300000000000008</c:v>
                </c:pt>
                <c:pt idx="8">
                  <c:v>7.6300000000000008</c:v>
                </c:pt>
              </c:numCache>
            </c:numRef>
          </c:val>
          <c:extLst>
            <c:ext xmlns:c16="http://schemas.microsoft.com/office/drawing/2014/chart" uri="{C3380CC4-5D6E-409C-BE32-E72D297353CC}">
              <c16:uniqueId val="{00000000-495F-4C24-82F4-4CAABD81C28A}"/>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figures'!$C$27:$C$35</c:f>
              <c:numCache>
                <c:formatCode>0</c:formatCode>
                <c:ptCount val="9"/>
                <c:pt idx="0">
                  <c:v>141.86349999999999</c:v>
                </c:pt>
                <c:pt idx="1">
                  <c:v>109.76300000000001</c:v>
                </c:pt>
                <c:pt idx="2">
                  <c:v>74.9375</c:v>
                </c:pt>
                <c:pt idx="3">
                  <c:v>36.569499999999998</c:v>
                </c:pt>
                <c:pt idx="4">
                  <c:v>27.849500000000006</c:v>
                </c:pt>
                <c:pt idx="5">
                  <c:v>22.236000000000001</c:v>
                </c:pt>
                <c:pt idx="6">
                  <c:v>90.742500000000007</c:v>
                </c:pt>
                <c:pt idx="7">
                  <c:v>85.0745</c:v>
                </c:pt>
                <c:pt idx="8">
                  <c:v>102.242</c:v>
                </c:pt>
              </c:numCache>
            </c:numRef>
          </c:val>
          <c:extLst>
            <c:ext xmlns:c16="http://schemas.microsoft.com/office/drawing/2014/chart" uri="{C3380CC4-5D6E-409C-BE32-E72D297353CC}">
              <c16:uniqueId val="{00000001-495F-4C24-82F4-4CAABD81C28A}"/>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figures'!$E$27:$E$35</c:f>
              <c:numCache>
                <c:formatCode>0</c:formatCode>
                <c:ptCount val="9"/>
                <c:pt idx="0">
                  <c:v>1.526</c:v>
                </c:pt>
                <c:pt idx="1">
                  <c:v>8.0660000000000007</c:v>
                </c:pt>
                <c:pt idx="2">
                  <c:v>0</c:v>
                </c:pt>
                <c:pt idx="3">
                  <c:v>0</c:v>
                </c:pt>
                <c:pt idx="4">
                  <c:v>0</c:v>
                </c:pt>
                <c:pt idx="5">
                  <c:v>0</c:v>
                </c:pt>
                <c:pt idx="6">
                  <c:v>14.715</c:v>
                </c:pt>
                <c:pt idx="7">
                  <c:v>18.748000000000001</c:v>
                </c:pt>
                <c:pt idx="8">
                  <c:v>0</c:v>
                </c:pt>
              </c:numCache>
            </c:numRef>
          </c:val>
          <c:extLst>
            <c:ext xmlns:c16="http://schemas.microsoft.com/office/drawing/2014/chart" uri="{C3380CC4-5D6E-409C-BE32-E72D297353CC}">
              <c16:uniqueId val="{00000003-495F-4C24-82F4-4CAABD81C28A}"/>
            </c:ext>
          </c:extLst>
        </c:ser>
        <c:ser>
          <c:idx val="2"/>
          <c:order val="3"/>
          <c:tx>
            <c:strRef>
              <c:f>'Power figures'!$D$19</c:f>
              <c:strCache>
                <c:ptCount val="1"/>
                <c:pt idx="0">
                  <c:v>Reserved (kW)</c:v>
                </c:pt>
              </c:strCache>
            </c:strRef>
          </c:tx>
          <c:spPr>
            <a:solidFill>
              <a:srgbClr val="990033"/>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figures'!$D$27:$D$35</c:f>
              <c:numCache>
                <c:formatCode>0</c:formatCode>
                <c:ptCount val="9"/>
                <c:pt idx="0">
                  <c:v>13.897500000000001</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95F-4C24-82F4-4CAABD81C28A}"/>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figures'!$F$27:$F$35</c:f>
              <c:numCache>
                <c:formatCode>0</c:formatCode>
                <c:ptCount val="9"/>
                <c:pt idx="0">
                  <c:v>127.19300000000003</c:v>
                </c:pt>
                <c:pt idx="1">
                  <c:v>179.73099999999999</c:v>
                </c:pt>
                <c:pt idx="2">
                  <c:v>169.4325</c:v>
                </c:pt>
                <c:pt idx="3">
                  <c:v>96.430499999999995</c:v>
                </c:pt>
                <c:pt idx="4">
                  <c:v>64.820499999999996</c:v>
                </c:pt>
                <c:pt idx="5">
                  <c:v>110.764</c:v>
                </c:pt>
                <c:pt idx="6">
                  <c:v>200.82249999999996</c:v>
                </c:pt>
                <c:pt idx="7">
                  <c:v>140.54750000000001</c:v>
                </c:pt>
                <c:pt idx="8">
                  <c:v>194.62799999999999</c:v>
                </c:pt>
              </c:numCache>
            </c:numRef>
          </c:val>
          <c:extLst>
            <c:ext xmlns:c16="http://schemas.microsoft.com/office/drawing/2014/chart" uri="{C3380CC4-5D6E-409C-BE32-E72D297353CC}">
              <c16:uniqueId val="{00000004-495F-4C24-82F4-4CAABD81C28A}"/>
            </c:ext>
          </c:extLst>
        </c:ser>
        <c:dLbls>
          <c:showLegendKey val="0"/>
          <c:showVal val="0"/>
          <c:showCatName val="0"/>
          <c:showSerName val="0"/>
          <c:showPercent val="0"/>
          <c:showBubbleSize val="0"/>
        </c:dLbls>
        <c:gapWidth val="17"/>
        <c:overlap val="100"/>
        <c:axId val="1939488448"/>
        <c:axId val="1940412832"/>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a:noFill/>
                    <a:prstDash val="dash"/>
                  </a:ln>
                  <a:effectLst/>
                </c:spPr>
                <c:invertIfNegative val="0"/>
                <c:cat>
                  <c:strRef>
                    <c:extLst>
                      <c:ext uri="{02D57815-91ED-43cb-92C2-25804820EDAC}">
                        <c15:formulaRef>
                          <c15:sqref>'Power figures'!$A$27:$A$35</c15:sqref>
                        </c15:formulaRef>
                      </c:ext>
                    </c:extLst>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extLst>
                      <c:ext uri="{02D57815-91ED-43cb-92C2-25804820EDAC}">
                        <c15:formulaRef>
                          <c15:sqref>'Power figures'!$G$27:$G$35</c15:sqref>
                        </c15:formulaRef>
                      </c:ext>
                    </c:extLst>
                    <c:numCache>
                      <c:formatCode>0</c:formatCode>
                      <c:ptCount val="9"/>
                      <c:pt idx="0">
                        <c:v>0</c:v>
                      </c:pt>
                      <c:pt idx="1">
                        <c:v>0</c:v>
                      </c:pt>
                      <c:pt idx="2">
                        <c:v>48</c:v>
                      </c:pt>
                      <c:pt idx="3">
                        <c:v>28</c:v>
                      </c:pt>
                      <c:pt idx="4">
                        <c:v>28</c:v>
                      </c:pt>
                      <c:pt idx="5">
                        <c:v>28.000000000000014</c:v>
                      </c:pt>
                      <c:pt idx="6">
                        <c:v>0</c:v>
                      </c:pt>
                      <c:pt idx="7">
                        <c:v>48</c:v>
                      </c:pt>
                      <c:pt idx="8">
                        <c:v>0</c:v>
                      </c:pt>
                    </c:numCache>
                  </c:numRef>
                </c:val>
                <c:extLst>
                  <c:ext xmlns:c16="http://schemas.microsoft.com/office/drawing/2014/chart" uri="{C3380CC4-5D6E-409C-BE32-E72D297353CC}">
                    <c16:uniqueId val="{00000005-495F-4C24-82F4-4CAABD81C28A}"/>
                  </c:ext>
                </c:extLst>
              </c15:ser>
            </c15:filteredBarSeries>
          </c:ext>
        </c:extLst>
      </c:barChart>
      <c:catAx>
        <c:axId val="193948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40412832"/>
        <c:crosses val="autoZero"/>
        <c:auto val="1"/>
        <c:lblAlgn val="ctr"/>
        <c:lblOffset val="100"/>
        <c:noMultiLvlLbl val="0"/>
      </c:catAx>
      <c:valAx>
        <c:axId val="19404128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r>
                  <a:rPr lang="en-US"/>
                  <a:t>kW</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3948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68202342374773E-2"/>
          <c:y val="7.9346310308978485E-2"/>
          <c:w val="0.88777785977254664"/>
          <c:h val="0.80694324794128003"/>
        </c:manualLayout>
      </c:layout>
      <c:barChart>
        <c:barDir val="col"/>
        <c:grouping val="stacked"/>
        <c:varyColors val="0"/>
        <c:ser>
          <c:idx val="0"/>
          <c:order val="0"/>
          <c:tx>
            <c:strRef>
              <c:f>'12 Monthly Graph'!$C$1</c:f>
              <c:strCache>
                <c:ptCount val="1"/>
                <c:pt idx="0">
                  <c:v>Actual Load (kW)</c:v>
                </c:pt>
              </c:strCache>
            </c:strRef>
          </c:tx>
          <c:spPr>
            <a:solidFill>
              <a:schemeClr val="tx1"/>
            </a:solidFill>
            <a:ln>
              <a:solidFill>
                <a:schemeClr val="bg1"/>
              </a:solidFill>
            </a:ln>
          </c:spPr>
          <c:invertIfNegative val="0"/>
          <c:cat>
            <c:multiLvlStrRef>
              <c:f>'12 Monthly Graph'!$A$2:$B$98</c:f>
              <c:multiLvlStrCache>
                <c:ptCount val="97"/>
                <c:lvl>
                  <c:pt idx="0">
                    <c:v>Apr-23</c:v>
                  </c:pt>
                  <c:pt idx="1">
                    <c:v>May-23</c:v>
                  </c:pt>
                  <c:pt idx="2">
                    <c:v>Jun-23</c:v>
                  </c:pt>
                  <c:pt idx="3">
                    <c:v>Jul-23</c:v>
                  </c:pt>
                  <c:pt idx="4">
                    <c:v>Aug-23</c:v>
                  </c:pt>
                  <c:pt idx="5">
                    <c:v>Sep-23</c:v>
                  </c:pt>
                  <c:pt idx="6">
                    <c:v>Oct-23</c:v>
                  </c:pt>
                  <c:pt idx="7">
                    <c:v>Nov-23</c:v>
                  </c:pt>
                  <c:pt idx="8">
                    <c:v>Dec-23</c:v>
                  </c:pt>
                  <c:pt idx="9">
                    <c:v>Jan-24</c:v>
                  </c:pt>
                  <c:pt idx="10">
                    <c:v>Feb-24</c:v>
                  </c:pt>
                  <c:pt idx="11">
                    <c:v>Mar-24</c:v>
                  </c:pt>
                  <c:pt idx="12">
                    <c:v>Apr-24</c:v>
                  </c:pt>
                  <c:pt idx="14">
                    <c:v>Apr-23</c:v>
                  </c:pt>
                  <c:pt idx="15">
                    <c:v>May-23</c:v>
                  </c:pt>
                  <c:pt idx="16">
                    <c:v>Jun-23</c:v>
                  </c:pt>
                  <c:pt idx="17">
                    <c:v>Jul-23</c:v>
                  </c:pt>
                  <c:pt idx="18">
                    <c:v>Aug-23</c:v>
                  </c:pt>
                  <c:pt idx="19">
                    <c:v>Sep-23</c:v>
                  </c:pt>
                  <c:pt idx="20">
                    <c:v>Oct-23</c:v>
                  </c:pt>
                  <c:pt idx="21">
                    <c:v>Nov-23</c:v>
                  </c:pt>
                  <c:pt idx="22">
                    <c:v>Dec-23</c:v>
                  </c:pt>
                  <c:pt idx="23">
                    <c:v>Jan-24</c:v>
                  </c:pt>
                  <c:pt idx="24">
                    <c:v>Feb-24</c:v>
                  </c:pt>
                  <c:pt idx="25">
                    <c:v>Mar-24</c:v>
                  </c:pt>
                  <c:pt idx="26">
                    <c:v>Apr-24</c:v>
                  </c:pt>
                  <c:pt idx="28">
                    <c:v>Apr-23</c:v>
                  </c:pt>
                  <c:pt idx="29">
                    <c:v>May-23</c:v>
                  </c:pt>
                  <c:pt idx="30">
                    <c:v>Jun-23</c:v>
                  </c:pt>
                  <c:pt idx="31">
                    <c:v>Jul-23</c:v>
                  </c:pt>
                  <c:pt idx="32">
                    <c:v>Aug-23</c:v>
                  </c:pt>
                  <c:pt idx="33">
                    <c:v>Sep-23</c:v>
                  </c:pt>
                  <c:pt idx="34">
                    <c:v>Oct-23</c:v>
                  </c:pt>
                  <c:pt idx="35">
                    <c:v>Nov-23</c:v>
                  </c:pt>
                  <c:pt idx="36">
                    <c:v>Dec-23</c:v>
                  </c:pt>
                  <c:pt idx="37">
                    <c:v>Jan-24</c:v>
                  </c:pt>
                  <c:pt idx="38">
                    <c:v>Feb-24</c:v>
                  </c:pt>
                  <c:pt idx="39">
                    <c:v>Mar-24</c:v>
                  </c:pt>
                  <c:pt idx="40">
                    <c:v>Apr-24</c:v>
                  </c:pt>
                  <c:pt idx="42">
                    <c:v>Apr-23</c:v>
                  </c:pt>
                  <c:pt idx="43">
                    <c:v>May-23</c:v>
                  </c:pt>
                  <c:pt idx="44">
                    <c:v>Jun-23</c:v>
                  </c:pt>
                  <c:pt idx="45">
                    <c:v>Jul-23</c:v>
                  </c:pt>
                  <c:pt idx="46">
                    <c:v>Aug-23</c:v>
                  </c:pt>
                  <c:pt idx="47">
                    <c:v>Sep-23</c:v>
                  </c:pt>
                  <c:pt idx="48">
                    <c:v>Oct-23</c:v>
                  </c:pt>
                  <c:pt idx="49">
                    <c:v>Nov-23</c:v>
                  </c:pt>
                  <c:pt idx="50">
                    <c:v>Dec-23</c:v>
                  </c:pt>
                  <c:pt idx="51">
                    <c:v>Jan-24</c:v>
                  </c:pt>
                  <c:pt idx="52">
                    <c:v>Feb-24</c:v>
                  </c:pt>
                  <c:pt idx="53">
                    <c:v>Mar-24</c:v>
                  </c:pt>
                  <c:pt idx="54">
                    <c:v>Apr-24</c:v>
                  </c:pt>
                  <c:pt idx="56">
                    <c:v>Apr-23</c:v>
                  </c:pt>
                  <c:pt idx="57">
                    <c:v>May-23</c:v>
                  </c:pt>
                  <c:pt idx="58">
                    <c:v>Jun-23</c:v>
                  </c:pt>
                  <c:pt idx="59">
                    <c:v>Jul-23</c:v>
                  </c:pt>
                  <c:pt idx="60">
                    <c:v>Aug-23</c:v>
                  </c:pt>
                  <c:pt idx="61">
                    <c:v>Sep-23</c:v>
                  </c:pt>
                  <c:pt idx="62">
                    <c:v>Oct-23</c:v>
                  </c:pt>
                  <c:pt idx="63">
                    <c:v>Nov-23</c:v>
                  </c:pt>
                  <c:pt idx="64">
                    <c:v>Dec-23</c:v>
                  </c:pt>
                  <c:pt idx="65">
                    <c:v>Jan-24</c:v>
                  </c:pt>
                  <c:pt idx="66">
                    <c:v>Feb-24</c:v>
                  </c:pt>
                  <c:pt idx="67">
                    <c:v>Mar-24</c:v>
                  </c:pt>
                  <c:pt idx="68">
                    <c:v>Apr-24</c:v>
                  </c:pt>
                  <c:pt idx="70">
                    <c:v>Apr-23</c:v>
                  </c:pt>
                  <c:pt idx="71">
                    <c:v>May-23</c:v>
                  </c:pt>
                  <c:pt idx="72">
                    <c:v>Jun-23</c:v>
                  </c:pt>
                  <c:pt idx="73">
                    <c:v>Jul-23</c:v>
                  </c:pt>
                  <c:pt idx="74">
                    <c:v>Aug-23</c:v>
                  </c:pt>
                  <c:pt idx="75">
                    <c:v>Sep-23</c:v>
                  </c:pt>
                  <c:pt idx="76">
                    <c:v>Oct-23</c:v>
                  </c:pt>
                  <c:pt idx="77">
                    <c:v>Nov-23</c:v>
                  </c:pt>
                  <c:pt idx="78">
                    <c:v>Dec-23</c:v>
                  </c:pt>
                  <c:pt idx="79">
                    <c:v>Jan-24</c:v>
                  </c:pt>
                  <c:pt idx="80">
                    <c:v>Feb-24</c:v>
                  </c:pt>
                  <c:pt idx="81">
                    <c:v>Mar-24</c:v>
                  </c:pt>
                  <c:pt idx="82">
                    <c:v>Apr-24</c:v>
                  </c:pt>
                  <c:pt idx="84">
                    <c:v>Apr-23</c:v>
                  </c:pt>
                  <c:pt idx="85">
                    <c:v>May-23</c:v>
                  </c:pt>
                  <c:pt idx="86">
                    <c:v>Jun-23</c:v>
                  </c:pt>
                  <c:pt idx="87">
                    <c:v>Jul-23</c:v>
                  </c:pt>
                  <c:pt idx="88">
                    <c:v>Aug-23</c:v>
                  </c:pt>
                  <c:pt idx="89">
                    <c:v>Sep-23</c:v>
                  </c:pt>
                  <c:pt idx="90">
                    <c:v>Oct-23</c:v>
                  </c:pt>
                  <c:pt idx="91">
                    <c:v>Nov-23</c:v>
                  </c:pt>
                  <c:pt idx="92">
                    <c:v>Dec-23</c:v>
                  </c:pt>
                  <c:pt idx="93">
                    <c:v>Jan-24</c:v>
                  </c:pt>
                  <c:pt idx="94">
                    <c:v>Feb-24</c:v>
                  </c:pt>
                  <c:pt idx="95">
                    <c:v>Mar-24</c:v>
                  </c:pt>
                  <c:pt idx="96">
                    <c:v>Apr-24</c:v>
                  </c:pt>
                </c:lvl>
                <c:lvl>
                  <c:pt idx="0">
                    <c:v>XBE</c:v>
                  </c:pt>
                  <c:pt idx="13">
                    <c:v>XMS</c:v>
                  </c:pt>
                  <c:pt idx="27">
                    <c:v>XLD</c:v>
                  </c:pt>
                  <c:pt idx="41">
                    <c:v>XEH</c:v>
                  </c:pt>
                  <c:pt idx="55">
                    <c:v>XGL</c:v>
                  </c:pt>
                  <c:pt idx="69">
                    <c:v>XGR</c:v>
                  </c:pt>
                  <c:pt idx="83">
                    <c:v>XOM</c:v>
                  </c:pt>
                </c:lvl>
              </c:multiLvlStrCache>
            </c:multiLvlStrRef>
          </c:cat>
          <c:val>
            <c:numRef>
              <c:f>'12 Monthly Graph'!$C$2:$C$98</c:f>
              <c:numCache>
                <c:formatCode>0</c:formatCode>
                <c:ptCount val="97"/>
                <c:pt idx="0">
                  <c:v>377.29047708129895</c:v>
                </c:pt>
                <c:pt idx="1">
                  <c:v>376.97649999999999</c:v>
                </c:pt>
                <c:pt idx="2">
                  <c:v>378.24525827026378</c:v>
                </c:pt>
                <c:pt idx="3">
                  <c:v>376.93262789916992</c:v>
                </c:pt>
                <c:pt idx="4">
                  <c:v>376.54050000000001</c:v>
                </c:pt>
                <c:pt idx="5">
                  <c:v>376.32249999999999</c:v>
                </c:pt>
                <c:pt idx="6">
                  <c:v>376.75850000000003</c:v>
                </c:pt>
                <c:pt idx="7">
                  <c:v>376.97649999999999</c:v>
                </c:pt>
                <c:pt idx="8">
                  <c:v>376.64949999999999</c:v>
                </c:pt>
                <c:pt idx="9">
                  <c:v>378.91272027587888</c:v>
                </c:pt>
                <c:pt idx="10">
                  <c:v>372.67099999999999</c:v>
                </c:pt>
                <c:pt idx="11">
                  <c:v>367.548</c:v>
                </c:pt>
                <c:pt idx="12">
                  <c:v>370.6</c:v>
                </c:pt>
                <c:pt idx="13" formatCode="General">
                  <c:v>0</c:v>
                </c:pt>
                <c:pt idx="14">
                  <c:v>384.98306106567412</c:v>
                </c:pt>
                <c:pt idx="15">
                  <c:v>384.61649999999997</c:v>
                </c:pt>
                <c:pt idx="16">
                  <c:v>385.57956729126067</c:v>
                </c:pt>
                <c:pt idx="17">
                  <c:v>390.32874798584072</c:v>
                </c:pt>
                <c:pt idx="18">
                  <c:v>389.63049999999998</c:v>
                </c:pt>
                <c:pt idx="19">
                  <c:v>385.43400000000003</c:v>
                </c:pt>
                <c:pt idx="20">
                  <c:v>381.18299999999999</c:v>
                </c:pt>
                <c:pt idx="21">
                  <c:v>377.85849999999999</c:v>
                </c:pt>
                <c:pt idx="22">
                  <c:v>379.43900000000002</c:v>
                </c:pt>
                <c:pt idx="23">
                  <c:v>380.27982815551775</c:v>
                </c:pt>
                <c:pt idx="24">
                  <c:v>379.76600000000002</c:v>
                </c:pt>
                <c:pt idx="25">
                  <c:v>380.09300000000002</c:v>
                </c:pt>
                <c:pt idx="26">
                  <c:v>383.14749999999998</c:v>
                </c:pt>
                <c:pt idx="27" formatCode="General">
                  <c:v>0</c:v>
                </c:pt>
                <c:pt idx="28">
                  <c:v>345.96600000000001</c:v>
                </c:pt>
                <c:pt idx="29">
                  <c:v>347.32850000000002</c:v>
                </c:pt>
                <c:pt idx="30">
                  <c:v>346.23849999999999</c:v>
                </c:pt>
                <c:pt idx="31">
                  <c:v>342.64150000000001</c:v>
                </c:pt>
                <c:pt idx="32">
                  <c:v>344.6035</c:v>
                </c:pt>
                <c:pt idx="33">
                  <c:v>340.84300000000002</c:v>
                </c:pt>
                <c:pt idx="34">
                  <c:v>327.59949999999998</c:v>
                </c:pt>
                <c:pt idx="35">
                  <c:v>330.815</c:v>
                </c:pt>
                <c:pt idx="36">
                  <c:v>330.70600000000002</c:v>
                </c:pt>
                <c:pt idx="37">
                  <c:v>331.52350000000001</c:v>
                </c:pt>
                <c:pt idx="38">
                  <c:v>331.25099999999998</c:v>
                </c:pt>
                <c:pt idx="39">
                  <c:v>335.82900000000001</c:v>
                </c:pt>
                <c:pt idx="40">
                  <c:v>335.55650000000003</c:v>
                </c:pt>
                <c:pt idx="41" formatCode="General">
                  <c:v>0</c:v>
                </c:pt>
                <c:pt idx="42">
                  <c:v>295.35201565551756</c:v>
                </c:pt>
                <c:pt idx="43">
                  <c:v>295.98950000000002</c:v>
                </c:pt>
                <c:pt idx="44">
                  <c:v>295.09728204345703</c:v>
                </c:pt>
                <c:pt idx="45">
                  <c:v>297.4251379089356</c:v>
                </c:pt>
                <c:pt idx="46">
                  <c:v>296.97050000000002</c:v>
                </c:pt>
                <c:pt idx="47">
                  <c:v>294.19099999999997</c:v>
                </c:pt>
                <c:pt idx="48">
                  <c:v>293.2645</c:v>
                </c:pt>
                <c:pt idx="49">
                  <c:v>292.99200000000002</c:v>
                </c:pt>
                <c:pt idx="50">
                  <c:v>287.16050000000001</c:v>
                </c:pt>
                <c:pt idx="51">
                  <c:v>286.98931265258801</c:v>
                </c:pt>
                <c:pt idx="52">
                  <c:v>285.6345</c:v>
                </c:pt>
                <c:pt idx="53">
                  <c:v>286.9425</c:v>
                </c:pt>
                <c:pt idx="54">
                  <c:v>290.1035</c:v>
                </c:pt>
                <c:pt idx="55" formatCode="General">
                  <c:v>0</c:v>
                </c:pt>
                <c:pt idx="56">
                  <c:v>294.26004641723642</c:v>
                </c:pt>
                <c:pt idx="57">
                  <c:v>297.51549999999997</c:v>
                </c:pt>
                <c:pt idx="58">
                  <c:v>291.85992749023444</c:v>
                </c:pt>
                <c:pt idx="59">
                  <c:v>292.66036630249022</c:v>
                </c:pt>
                <c:pt idx="60">
                  <c:v>293.97300000000001</c:v>
                </c:pt>
                <c:pt idx="61">
                  <c:v>295.17200000000003</c:v>
                </c:pt>
                <c:pt idx="62">
                  <c:v>292.55599999999998</c:v>
                </c:pt>
                <c:pt idx="63">
                  <c:v>293.53699999999998</c:v>
                </c:pt>
                <c:pt idx="64">
                  <c:v>289.50400000000002</c:v>
                </c:pt>
                <c:pt idx="65">
                  <c:v>290.37599999999998</c:v>
                </c:pt>
                <c:pt idx="66">
                  <c:v>295.17200000000003</c:v>
                </c:pt>
                <c:pt idx="67">
                  <c:v>295.22649999999999</c:v>
                </c:pt>
                <c:pt idx="68">
                  <c:v>285.798</c:v>
                </c:pt>
                <c:pt idx="69" formatCode="General">
                  <c:v>0</c:v>
                </c:pt>
                <c:pt idx="70">
                  <c:v>280.16694982910167</c:v>
                </c:pt>
                <c:pt idx="71">
                  <c:v>283.99950000000001</c:v>
                </c:pt>
                <c:pt idx="72">
                  <c:v>287.1368990783692</c:v>
                </c:pt>
                <c:pt idx="73">
                  <c:v>287.37849999999997</c:v>
                </c:pt>
                <c:pt idx="74">
                  <c:v>284.05399999999997</c:v>
                </c:pt>
                <c:pt idx="75">
                  <c:v>263.72550000000001</c:v>
                </c:pt>
                <c:pt idx="76">
                  <c:v>262.90800000000002</c:v>
                </c:pt>
                <c:pt idx="77">
                  <c:v>260.78250000000003</c:v>
                </c:pt>
                <c:pt idx="78">
                  <c:v>260.01949999999999</c:v>
                </c:pt>
                <c:pt idx="79">
                  <c:v>260.48231423950193</c:v>
                </c:pt>
                <c:pt idx="80">
                  <c:v>260.18299999999999</c:v>
                </c:pt>
                <c:pt idx="81">
                  <c:v>260.34649999999999</c:v>
                </c:pt>
                <c:pt idx="82">
                  <c:v>260.51</c:v>
                </c:pt>
                <c:pt idx="83" formatCode="General">
                  <c:v>0</c:v>
                </c:pt>
                <c:pt idx="84">
                  <c:v>262.97432540893561</c:v>
                </c:pt>
                <c:pt idx="85">
                  <c:v>282.09199999999998</c:v>
                </c:pt>
                <c:pt idx="86">
                  <c:v>283.17786193847655</c:v>
                </c:pt>
                <c:pt idx="87">
                  <c:v>293.9623188781739</c:v>
                </c:pt>
                <c:pt idx="88">
                  <c:v>296.262</c:v>
                </c:pt>
                <c:pt idx="89">
                  <c:v>289.72199999999998</c:v>
                </c:pt>
                <c:pt idx="90">
                  <c:v>284.49</c:v>
                </c:pt>
                <c:pt idx="91">
                  <c:v>282.69150000000002</c:v>
                </c:pt>
                <c:pt idx="92">
                  <c:v>283.72699999999998</c:v>
                </c:pt>
                <c:pt idx="93">
                  <c:v>292.55599999999998</c:v>
                </c:pt>
                <c:pt idx="94">
                  <c:v>293.20999999999998</c:v>
                </c:pt>
                <c:pt idx="95">
                  <c:v>293.97300000000001</c:v>
                </c:pt>
                <c:pt idx="96">
                  <c:v>294.57249999999999</c:v>
                </c:pt>
              </c:numCache>
            </c:numRef>
          </c:val>
          <c:extLst>
            <c:ext xmlns:c16="http://schemas.microsoft.com/office/drawing/2014/chart" uri="{C3380CC4-5D6E-409C-BE32-E72D297353CC}">
              <c16:uniqueId val="{00000000-1933-4F16-B5BD-1F32102F7C00}"/>
            </c:ext>
          </c:extLst>
        </c:ser>
        <c:ser>
          <c:idx val="1"/>
          <c:order val="1"/>
          <c:tx>
            <c:strRef>
              <c:f>'12 Monthly Graph'!$D$1</c:f>
              <c:strCache>
                <c:ptCount val="1"/>
                <c:pt idx="0">
                  <c:v>Remaining Deployed Usable Capability (kW)</c:v>
                </c:pt>
              </c:strCache>
            </c:strRef>
          </c:tx>
          <c:spPr>
            <a:solidFill>
              <a:srgbClr val="00B050"/>
            </a:solidFill>
            <a:ln>
              <a:solidFill>
                <a:schemeClr val="bg1"/>
              </a:solidFill>
            </a:ln>
          </c:spPr>
          <c:invertIfNegative val="0"/>
          <c:cat>
            <c:multiLvlStrRef>
              <c:f>'12 Monthly Graph'!$A$2:$B$98</c:f>
              <c:multiLvlStrCache>
                <c:ptCount val="97"/>
                <c:lvl>
                  <c:pt idx="0">
                    <c:v>Apr-23</c:v>
                  </c:pt>
                  <c:pt idx="1">
                    <c:v>May-23</c:v>
                  </c:pt>
                  <c:pt idx="2">
                    <c:v>Jun-23</c:v>
                  </c:pt>
                  <c:pt idx="3">
                    <c:v>Jul-23</c:v>
                  </c:pt>
                  <c:pt idx="4">
                    <c:v>Aug-23</c:v>
                  </c:pt>
                  <c:pt idx="5">
                    <c:v>Sep-23</c:v>
                  </c:pt>
                  <c:pt idx="6">
                    <c:v>Oct-23</c:v>
                  </c:pt>
                  <c:pt idx="7">
                    <c:v>Nov-23</c:v>
                  </c:pt>
                  <c:pt idx="8">
                    <c:v>Dec-23</c:v>
                  </c:pt>
                  <c:pt idx="9">
                    <c:v>Jan-24</c:v>
                  </c:pt>
                  <c:pt idx="10">
                    <c:v>Feb-24</c:v>
                  </c:pt>
                  <c:pt idx="11">
                    <c:v>Mar-24</c:v>
                  </c:pt>
                  <c:pt idx="12">
                    <c:v>Apr-24</c:v>
                  </c:pt>
                  <c:pt idx="14">
                    <c:v>Apr-23</c:v>
                  </c:pt>
                  <c:pt idx="15">
                    <c:v>May-23</c:v>
                  </c:pt>
                  <c:pt idx="16">
                    <c:v>Jun-23</c:v>
                  </c:pt>
                  <c:pt idx="17">
                    <c:v>Jul-23</c:v>
                  </c:pt>
                  <c:pt idx="18">
                    <c:v>Aug-23</c:v>
                  </c:pt>
                  <c:pt idx="19">
                    <c:v>Sep-23</c:v>
                  </c:pt>
                  <c:pt idx="20">
                    <c:v>Oct-23</c:v>
                  </c:pt>
                  <c:pt idx="21">
                    <c:v>Nov-23</c:v>
                  </c:pt>
                  <c:pt idx="22">
                    <c:v>Dec-23</c:v>
                  </c:pt>
                  <c:pt idx="23">
                    <c:v>Jan-24</c:v>
                  </c:pt>
                  <c:pt idx="24">
                    <c:v>Feb-24</c:v>
                  </c:pt>
                  <c:pt idx="25">
                    <c:v>Mar-24</c:v>
                  </c:pt>
                  <c:pt idx="26">
                    <c:v>Apr-24</c:v>
                  </c:pt>
                  <c:pt idx="28">
                    <c:v>Apr-23</c:v>
                  </c:pt>
                  <c:pt idx="29">
                    <c:v>May-23</c:v>
                  </c:pt>
                  <c:pt idx="30">
                    <c:v>Jun-23</c:v>
                  </c:pt>
                  <c:pt idx="31">
                    <c:v>Jul-23</c:v>
                  </c:pt>
                  <c:pt idx="32">
                    <c:v>Aug-23</c:v>
                  </c:pt>
                  <c:pt idx="33">
                    <c:v>Sep-23</c:v>
                  </c:pt>
                  <c:pt idx="34">
                    <c:v>Oct-23</c:v>
                  </c:pt>
                  <c:pt idx="35">
                    <c:v>Nov-23</c:v>
                  </c:pt>
                  <c:pt idx="36">
                    <c:v>Dec-23</c:v>
                  </c:pt>
                  <c:pt idx="37">
                    <c:v>Jan-24</c:v>
                  </c:pt>
                  <c:pt idx="38">
                    <c:v>Feb-24</c:v>
                  </c:pt>
                  <c:pt idx="39">
                    <c:v>Mar-24</c:v>
                  </c:pt>
                  <c:pt idx="40">
                    <c:v>Apr-24</c:v>
                  </c:pt>
                  <c:pt idx="42">
                    <c:v>Apr-23</c:v>
                  </c:pt>
                  <c:pt idx="43">
                    <c:v>May-23</c:v>
                  </c:pt>
                  <c:pt idx="44">
                    <c:v>Jun-23</c:v>
                  </c:pt>
                  <c:pt idx="45">
                    <c:v>Jul-23</c:v>
                  </c:pt>
                  <c:pt idx="46">
                    <c:v>Aug-23</c:v>
                  </c:pt>
                  <c:pt idx="47">
                    <c:v>Sep-23</c:v>
                  </c:pt>
                  <c:pt idx="48">
                    <c:v>Oct-23</c:v>
                  </c:pt>
                  <c:pt idx="49">
                    <c:v>Nov-23</c:v>
                  </c:pt>
                  <c:pt idx="50">
                    <c:v>Dec-23</c:v>
                  </c:pt>
                  <c:pt idx="51">
                    <c:v>Jan-24</c:v>
                  </c:pt>
                  <c:pt idx="52">
                    <c:v>Feb-24</c:v>
                  </c:pt>
                  <c:pt idx="53">
                    <c:v>Mar-24</c:v>
                  </c:pt>
                  <c:pt idx="54">
                    <c:v>Apr-24</c:v>
                  </c:pt>
                  <c:pt idx="56">
                    <c:v>Apr-23</c:v>
                  </c:pt>
                  <c:pt idx="57">
                    <c:v>May-23</c:v>
                  </c:pt>
                  <c:pt idx="58">
                    <c:v>Jun-23</c:v>
                  </c:pt>
                  <c:pt idx="59">
                    <c:v>Jul-23</c:v>
                  </c:pt>
                  <c:pt idx="60">
                    <c:v>Aug-23</c:v>
                  </c:pt>
                  <c:pt idx="61">
                    <c:v>Sep-23</c:v>
                  </c:pt>
                  <c:pt idx="62">
                    <c:v>Oct-23</c:v>
                  </c:pt>
                  <c:pt idx="63">
                    <c:v>Nov-23</c:v>
                  </c:pt>
                  <c:pt idx="64">
                    <c:v>Dec-23</c:v>
                  </c:pt>
                  <c:pt idx="65">
                    <c:v>Jan-24</c:v>
                  </c:pt>
                  <c:pt idx="66">
                    <c:v>Feb-24</c:v>
                  </c:pt>
                  <c:pt idx="67">
                    <c:v>Mar-24</c:v>
                  </c:pt>
                  <c:pt idx="68">
                    <c:v>Apr-24</c:v>
                  </c:pt>
                  <c:pt idx="70">
                    <c:v>Apr-23</c:v>
                  </c:pt>
                  <c:pt idx="71">
                    <c:v>May-23</c:v>
                  </c:pt>
                  <c:pt idx="72">
                    <c:v>Jun-23</c:v>
                  </c:pt>
                  <c:pt idx="73">
                    <c:v>Jul-23</c:v>
                  </c:pt>
                  <c:pt idx="74">
                    <c:v>Aug-23</c:v>
                  </c:pt>
                  <c:pt idx="75">
                    <c:v>Sep-23</c:v>
                  </c:pt>
                  <c:pt idx="76">
                    <c:v>Oct-23</c:v>
                  </c:pt>
                  <c:pt idx="77">
                    <c:v>Nov-23</c:v>
                  </c:pt>
                  <c:pt idx="78">
                    <c:v>Dec-23</c:v>
                  </c:pt>
                  <c:pt idx="79">
                    <c:v>Jan-24</c:v>
                  </c:pt>
                  <c:pt idx="80">
                    <c:v>Feb-24</c:v>
                  </c:pt>
                  <c:pt idx="81">
                    <c:v>Mar-24</c:v>
                  </c:pt>
                  <c:pt idx="82">
                    <c:v>Apr-24</c:v>
                  </c:pt>
                  <c:pt idx="84">
                    <c:v>Apr-23</c:v>
                  </c:pt>
                  <c:pt idx="85">
                    <c:v>May-23</c:v>
                  </c:pt>
                  <c:pt idx="86">
                    <c:v>Jun-23</c:v>
                  </c:pt>
                  <c:pt idx="87">
                    <c:v>Jul-23</c:v>
                  </c:pt>
                  <c:pt idx="88">
                    <c:v>Aug-23</c:v>
                  </c:pt>
                  <c:pt idx="89">
                    <c:v>Sep-23</c:v>
                  </c:pt>
                  <c:pt idx="90">
                    <c:v>Oct-23</c:v>
                  </c:pt>
                  <c:pt idx="91">
                    <c:v>Nov-23</c:v>
                  </c:pt>
                  <c:pt idx="92">
                    <c:v>Dec-23</c:v>
                  </c:pt>
                  <c:pt idx="93">
                    <c:v>Jan-24</c:v>
                  </c:pt>
                  <c:pt idx="94">
                    <c:v>Feb-24</c:v>
                  </c:pt>
                  <c:pt idx="95">
                    <c:v>Mar-24</c:v>
                  </c:pt>
                  <c:pt idx="96">
                    <c:v>Apr-24</c:v>
                  </c:pt>
                </c:lvl>
                <c:lvl>
                  <c:pt idx="0">
                    <c:v>XBE</c:v>
                  </c:pt>
                  <c:pt idx="13">
                    <c:v>XMS</c:v>
                  </c:pt>
                  <c:pt idx="27">
                    <c:v>XLD</c:v>
                  </c:pt>
                  <c:pt idx="41">
                    <c:v>XEH</c:v>
                  </c:pt>
                  <c:pt idx="55">
                    <c:v>XGL</c:v>
                  </c:pt>
                  <c:pt idx="69">
                    <c:v>XGR</c:v>
                  </c:pt>
                  <c:pt idx="83">
                    <c:v>XOM</c:v>
                  </c:pt>
                </c:lvl>
              </c:multiLvlStrCache>
            </c:multiLvlStrRef>
          </c:cat>
          <c:val>
            <c:numRef>
              <c:f>'12 Monthly Graph'!$D$2:$D$98</c:f>
              <c:numCache>
                <c:formatCode>0</c:formatCode>
                <c:ptCount val="97"/>
                <c:pt idx="0">
                  <c:v>126.70952291870105</c:v>
                </c:pt>
                <c:pt idx="1">
                  <c:v>127.02350000000001</c:v>
                </c:pt>
                <c:pt idx="2">
                  <c:v>125.75474172973622</c:v>
                </c:pt>
                <c:pt idx="3">
                  <c:v>127.06737210083008</c:v>
                </c:pt>
                <c:pt idx="4">
                  <c:v>127.45949999999999</c:v>
                </c:pt>
                <c:pt idx="5">
                  <c:v>127.67750000000001</c:v>
                </c:pt>
                <c:pt idx="6">
                  <c:v>127.24149999999997</c:v>
                </c:pt>
                <c:pt idx="7">
                  <c:v>127.02350000000001</c:v>
                </c:pt>
                <c:pt idx="8">
                  <c:v>127.35050000000001</c:v>
                </c:pt>
                <c:pt idx="9">
                  <c:v>125.08727972412112</c:v>
                </c:pt>
                <c:pt idx="10">
                  <c:v>131.32900000000001</c:v>
                </c:pt>
                <c:pt idx="11">
                  <c:v>136.452</c:v>
                </c:pt>
                <c:pt idx="12">
                  <c:v>133.39999999999998</c:v>
                </c:pt>
                <c:pt idx="13" formatCode="General">
                  <c:v>0</c:v>
                </c:pt>
                <c:pt idx="14">
                  <c:v>95.016938934325879</c:v>
                </c:pt>
                <c:pt idx="15">
                  <c:v>95.383500000000026</c:v>
                </c:pt>
                <c:pt idx="16">
                  <c:v>94.420432708739327</c:v>
                </c:pt>
                <c:pt idx="17">
                  <c:v>89.671252014159279</c:v>
                </c:pt>
                <c:pt idx="18">
                  <c:v>90.369500000000016</c:v>
                </c:pt>
                <c:pt idx="19">
                  <c:v>94.565999999999974</c:v>
                </c:pt>
                <c:pt idx="20">
                  <c:v>98.817000000000007</c:v>
                </c:pt>
                <c:pt idx="21">
                  <c:v>102.14150000000001</c:v>
                </c:pt>
                <c:pt idx="22">
                  <c:v>100.56099999999998</c:v>
                </c:pt>
                <c:pt idx="23">
                  <c:v>99.720171844482252</c:v>
                </c:pt>
                <c:pt idx="24">
                  <c:v>100.23399999999998</c:v>
                </c:pt>
                <c:pt idx="25">
                  <c:v>99.906999999999982</c:v>
                </c:pt>
                <c:pt idx="26">
                  <c:v>96.85250000000002</c:v>
                </c:pt>
                <c:pt idx="27" formatCode="General">
                  <c:v>0</c:v>
                </c:pt>
                <c:pt idx="28">
                  <c:v>134.03399999999999</c:v>
                </c:pt>
                <c:pt idx="29">
                  <c:v>132.67149999999998</c:v>
                </c:pt>
                <c:pt idx="30">
                  <c:v>133.76150000000001</c:v>
                </c:pt>
                <c:pt idx="31">
                  <c:v>137.35849999999999</c:v>
                </c:pt>
                <c:pt idx="32">
                  <c:v>135.3965</c:v>
                </c:pt>
                <c:pt idx="33">
                  <c:v>139.15699999999998</c:v>
                </c:pt>
                <c:pt idx="34">
                  <c:v>152.40050000000002</c:v>
                </c:pt>
                <c:pt idx="35">
                  <c:v>149.185</c:v>
                </c:pt>
                <c:pt idx="36">
                  <c:v>149.29399999999998</c:v>
                </c:pt>
                <c:pt idx="37">
                  <c:v>148.47649999999999</c:v>
                </c:pt>
                <c:pt idx="38">
                  <c:v>148.74900000000002</c:v>
                </c:pt>
                <c:pt idx="39">
                  <c:v>144.17099999999999</c:v>
                </c:pt>
                <c:pt idx="40">
                  <c:v>144.44349999999997</c:v>
                </c:pt>
                <c:pt idx="41" formatCode="General">
                  <c:v>0</c:v>
                </c:pt>
                <c:pt idx="42">
                  <c:v>82.647984344482438</c:v>
                </c:pt>
                <c:pt idx="43">
                  <c:v>82.010499999999979</c:v>
                </c:pt>
                <c:pt idx="44">
                  <c:v>82.902717956542972</c:v>
                </c:pt>
                <c:pt idx="45">
                  <c:v>80.574862091064404</c:v>
                </c:pt>
                <c:pt idx="46">
                  <c:v>81.029499999999985</c:v>
                </c:pt>
                <c:pt idx="47">
                  <c:v>83.809000000000026</c:v>
                </c:pt>
                <c:pt idx="48">
                  <c:v>84.735500000000002</c:v>
                </c:pt>
                <c:pt idx="49">
                  <c:v>85.007999999999981</c:v>
                </c:pt>
                <c:pt idx="50">
                  <c:v>90.839499999999987</c:v>
                </c:pt>
                <c:pt idx="51">
                  <c:v>91.010687347411988</c:v>
                </c:pt>
                <c:pt idx="52">
                  <c:v>92.365499999999997</c:v>
                </c:pt>
                <c:pt idx="53">
                  <c:v>91.057500000000005</c:v>
                </c:pt>
                <c:pt idx="54">
                  <c:v>87.896500000000003</c:v>
                </c:pt>
                <c:pt idx="55" formatCode="General">
                  <c:v>0</c:v>
                </c:pt>
                <c:pt idx="56">
                  <c:v>167.73995358276358</c:v>
                </c:pt>
                <c:pt idx="57">
                  <c:v>164.48450000000003</c:v>
                </c:pt>
                <c:pt idx="58">
                  <c:v>170.14007250976556</c:v>
                </c:pt>
                <c:pt idx="59">
                  <c:v>169.33963369750978</c:v>
                </c:pt>
                <c:pt idx="60">
                  <c:v>168.02699999999999</c:v>
                </c:pt>
                <c:pt idx="61">
                  <c:v>166.82799999999997</c:v>
                </c:pt>
                <c:pt idx="62">
                  <c:v>169.44400000000002</c:v>
                </c:pt>
                <c:pt idx="63">
                  <c:v>168.46300000000002</c:v>
                </c:pt>
                <c:pt idx="64">
                  <c:v>172.49599999999998</c:v>
                </c:pt>
                <c:pt idx="65">
                  <c:v>171.62400000000002</c:v>
                </c:pt>
                <c:pt idx="66">
                  <c:v>166.82799999999997</c:v>
                </c:pt>
                <c:pt idx="67">
                  <c:v>166.77350000000001</c:v>
                </c:pt>
                <c:pt idx="68">
                  <c:v>176.202</c:v>
                </c:pt>
                <c:pt idx="69" formatCode="General">
                  <c:v>0</c:v>
                </c:pt>
                <c:pt idx="70">
                  <c:v>184.83305017089833</c:v>
                </c:pt>
                <c:pt idx="71">
                  <c:v>181.00049999999999</c:v>
                </c:pt>
                <c:pt idx="72">
                  <c:v>177.8631009216308</c:v>
                </c:pt>
                <c:pt idx="73">
                  <c:v>177.62150000000003</c:v>
                </c:pt>
                <c:pt idx="74">
                  <c:v>180.94600000000003</c:v>
                </c:pt>
                <c:pt idx="75">
                  <c:v>201.27449999999999</c:v>
                </c:pt>
                <c:pt idx="76">
                  <c:v>202.09199999999998</c:v>
                </c:pt>
                <c:pt idx="77">
                  <c:v>204.21749999999997</c:v>
                </c:pt>
                <c:pt idx="78">
                  <c:v>204.98050000000001</c:v>
                </c:pt>
                <c:pt idx="79">
                  <c:v>204.51768576049807</c:v>
                </c:pt>
                <c:pt idx="80">
                  <c:v>204.81700000000001</c:v>
                </c:pt>
                <c:pt idx="81">
                  <c:v>204.65350000000001</c:v>
                </c:pt>
                <c:pt idx="82">
                  <c:v>204.49</c:v>
                </c:pt>
                <c:pt idx="83" formatCode="General">
                  <c:v>0</c:v>
                </c:pt>
                <c:pt idx="84">
                  <c:v>203.02567459106439</c:v>
                </c:pt>
                <c:pt idx="85">
                  <c:v>183.90800000000002</c:v>
                </c:pt>
                <c:pt idx="86">
                  <c:v>182.82213806152345</c:v>
                </c:pt>
                <c:pt idx="87">
                  <c:v>172.0376811218261</c:v>
                </c:pt>
                <c:pt idx="88">
                  <c:v>169.738</c:v>
                </c:pt>
                <c:pt idx="89">
                  <c:v>176.27800000000002</c:v>
                </c:pt>
                <c:pt idx="90">
                  <c:v>181.51</c:v>
                </c:pt>
                <c:pt idx="91">
                  <c:v>183.30849999999998</c:v>
                </c:pt>
                <c:pt idx="92">
                  <c:v>182.27300000000002</c:v>
                </c:pt>
                <c:pt idx="93">
                  <c:v>173.44400000000002</c:v>
                </c:pt>
                <c:pt idx="94">
                  <c:v>172.79000000000002</c:v>
                </c:pt>
                <c:pt idx="95">
                  <c:v>172.02699999999999</c:v>
                </c:pt>
                <c:pt idx="96">
                  <c:v>171.42750000000001</c:v>
                </c:pt>
              </c:numCache>
            </c:numRef>
          </c:val>
          <c:extLst>
            <c:ext xmlns:c16="http://schemas.microsoft.com/office/drawing/2014/chart" uri="{C3380CC4-5D6E-409C-BE32-E72D297353CC}">
              <c16:uniqueId val="{00000001-1933-4F16-B5BD-1F32102F7C00}"/>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majorGridlines>
          <c:spPr>
            <a:ln>
              <a:noFill/>
            </a:ln>
          </c:spPr>
        </c:majorGridlines>
        <c:title>
          <c:tx>
            <c:rich>
              <a:bodyPr rot="-5400000" vert="horz"/>
              <a:lstStyle/>
              <a:p>
                <a:pPr>
                  <a:defRPr/>
                </a:pPr>
                <a:r>
                  <a:rPr lang="en-US"/>
                  <a:t>kW</a:t>
                </a:r>
              </a:p>
            </c:rich>
          </c:tx>
          <c:layout>
            <c:manualLayout>
              <c:xMode val="edge"/>
              <c:yMode val="edge"/>
              <c:x val="3.0641497041427216E-2"/>
              <c:y val="0.51997855279076444"/>
            </c:manualLayout>
          </c:layout>
          <c:overlay val="0"/>
        </c:title>
        <c:numFmt formatCode="0"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overlay val="0"/>
    </c:legend>
    <c:plotVisOnly val="1"/>
    <c:dispBlanksAs val="gap"/>
    <c:showDLblsOverMax val="0"/>
  </c:chart>
  <c:spPr>
    <a:ln>
      <a:solidFill>
        <a:sysClr val="windowText" lastClr="000000"/>
      </a:solidFill>
    </a:ln>
  </c:spPr>
  <c:txPr>
    <a:bodyPr/>
    <a:lstStyle/>
    <a:p>
      <a:pPr>
        <a:defRPr sz="8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Core Sites Load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 Monthly Graph'!$F$80</c:f>
              <c:strCache>
                <c:ptCount val="1"/>
                <c:pt idx="0">
                  <c:v>XAN</c:v>
                </c:pt>
              </c:strCache>
            </c:strRef>
          </c:tx>
          <c:spPr>
            <a:ln w="28575" cap="rnd">
              <a:solidFill>
                <a:schemeClr val="accent1"/>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Graph'!$G$80:$AE$80</c:f>
              <c:numCache>
                <c:formatCode>0</c:formatCode>
                <c:ptCount val="25"/>
                <c:pt idx="0">
                  <c:v>175.8715</c:v>
                </c:pt>
                <c:pt idx="1">
                  <c:v>164.20849999999999</c:v>
                </c:pt>
                <c:pt idx="2">
                  <c:v>166.77</c:v>
                </c:pt>
                <c:pt idx="3">
                  <c:v>171.45699999999999</c:v>
                </c:pt>
                <c:pt idx="4">
                  <c:v>172.32900000000001</c:v>
                </c:pt>
                <c:pt idx="5">
                  <c:v>165.244</c:v>
                </c:pt>
                <c:pt idx="6">
                  <c:v>167.26050000000001</c:v>
                </c:pt>
                <c:pt idx="7">
                  <c:v>168.18700000000001</c:v>
                </c:pt>
                <c:pt idx="8">
                  <c:v>172.874</c:v>
                </c:pt>
                <c:pt idx="9">
                  <c:v>179.08699999999999</c:v>
                </c:pt>
                <c:pt idx="10">
                  <c:v>180.286</c:v>
                </c:pt>
                <c:pt idx="11">
                  <c:v>182.684</c:v>
                </c:pt>
                <c:pt idx="12">
                  <c:v>188.29750000000001</c:v>
                </c:pt>
                <c:pt idx="13">
                  <c:v>190</c:v>
                </c:pt>
                <c:pt idx="14">
                  <c:v>200</c:v>
                </c:pt>
                <c:pt idx="15">
                  <c:v>200</c:v>
                </c:pt>
                <c:pt idx="16">
                  <c:v>198</c:v>
                </c:pt>
              </c:numCache>
            </c:numRef>
          </c:val>
          <c:smooth val="0"/>
          <c:extLst>
            <c:ext xmlns:c16="http://schemas.microsoft.com/office/drawing/2014/chart" uri="{C3380CC4-5D6E-409C-BE32-E72D297353CC}">
              <c16:uniqueId val="{00000000-61FD-462F-9DF5-DF89BFDB7468}"/>
            </c:ext>
          </c:extLst>
        </c:ser>
        <c:ser>
          <c:idx val="1"/>
          <c:order val="1"/>
          <c:tx>
            <c:strRef>
              <c:f>'12 Monthly Graph'!$F$81</c:f>
              <c:strCache>
                <c:ptCount val="1"/>
                <c:pt idx="0">
                  <c:v>XBE</c:v>
                </c:pt>
              </c:strCache>
            </c:strRef>
          </c:tx>
          <c:spPr>
            <a:ln w="28575" cap="rnd">
              <a:solidFill>
                <a:schemeClr val="accent2"/>
              </a:solidFill>
              <a:round/>
            </a:ln>
            <a:effectLst/>
          </c:spPr>
          <c:marker>
            <c:symbol val="none"/>
          </c:marker>
          <c:trendline>
            <c:spPr>
              <a:ln w="19050" cap="rnd">
                <a:solidFill>
                  <a:schemeClr val="accent6"/>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Graph'!$G$81:$AE$81</c:f>
              <c:numCache>
                <c:formatCode>0</c:formatCode>
                <c:ptCount val="25"/>
                <c:pt idx="0">
                  <c:v>294.40899999999999</c:v>
                </c:pt>
                <c:pt idx="1">
                  <c:v>299.2595</c:v>
                </c:pt>
                <c:pt idx="2">
                  <c:v>285.74349999999998</c:v>
                </c:pt>
                <c:pt idx="3">
                  <c:v>286.452</c:v>
                </c:pt>
                <c:pt idx="4">
                  <c:v>305.25450000000001</c:v>
                </c:pt>
                <c:pt idx="5">
                  <c:v>321.11399999999998</c:v>
                </c:pt>
                <c:pt idx="6">
                  <c:v>329.77949999999998</c:v>
                </c:pt>
                <c:pt idx="7">
                  <c:v>330.92399999999998</c:v>
                </c:pt>
                <c:pt idx="8">
                  <c:v>323.56650000000002</c:v>
                </c:pt>
                <c:pt idx="9">
                  <c:v>350.16250000000002</c:v>
                </c:pt>
                <c:pt idx="10">
                  <c:v>340.51600000000002</c:v>
                </c:pt>
                <c:pt idx="11">
                  <c:v>343.24099999999999</c:v>
                </c:pt>
                <c:pt idx="12">
                  <c:v>369.12849999999997</c:v>
                </c:pt>
                <c:pt idx="13">
                  <c:v>369</c:v>
                </c:pt>
                <c:pt idx="14">
                  <c:v>376</c:v>
                </c:pt>
                <c:pt idx="15">
                  <c:v>419</c:v>
                </c:pt>
                <c:pt idx="16">
                  <c:v>406</c:v>
                </c:pt>
              </c:numCache>
            </c:numRef>
          </c:val>
          <c:smooth val="0"/>
          <c:extLst>
            <c:ext xmlns:c16="http://schemas.microsoft.com/office/drawing/2014/chart" uri="{C3380CC4-5D6E-409C-BE32-E72D297353CC}">
              <c16:uniqueId val="{00000001-61FD-462F-9DF5-DF89BFDB7468}"/>
            </c:ext>
          </c:extLst>
        </c:ser>
        <c:ser>
          <c:idx val="2"/>
          <c:order val="2"/>
          <c:tx>
            <c:strRef>
              <c:f>'12 Monthly Graph'!$F$82</c:f>
              <c:strCache>
                <c:ptCount val="1"/>
                <c:pt idx="0">
                  <c:v>XCY</c:v>
                </c:pt>
              </c:strCache>
            </c:strRef>
          </c:tx>
          <c:spPr>
            <a:ln w="28575" cap="rnd">
              <a:solidFill>
                <a:schemeClr val="accent3"/>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Graph'!$G$82:$AE$82</c:f>
              <c:numCache>
                <c:formatCode>0</c:formatCode>
                <c:ptCount val="25"/>
                <c:pt idx="0">
                  <c:v>143.44399999999999</c:v>
                </c:pt>
                <c:pt idx="1">
                  <c:v>145.18799999999999</c:v>
                </c:pt>
                <c:pt idx="2">
                  <c:v>146.65950000000001</c:v>
                </c:pt>
                <c:pt idx="3">
                  <c:v>146.76849999999999</c:v>
                </c:pt>
                <c:pt idx="4">
                  <c:v>146.00550000000001</c:v>
                </c:pt>
                <c:pt idx="5">
                  <c:v>140.93700000000001</c:v>
                </c:pt>
                <c:pt idx="6">
                  <c:v>137.55799999999999</c:v>
                </c:pt>
                <c:pt idx="7">
                  <c:v>140.01050000000001</c:v>
                </c:pt>
                <c:pt idx="8">
                  <c:v>141.482</c:v>
                </c:pt>
                <c:pt idx="9">
                  <c:v>141.42750000000001</c:v>
                </c:pt>
                <c:pt idx="10">
                  <c:v>137.72149999999999</c:v>
                </c:pt>
                <c:pt idx="11">
                  <c:v>141.86349999999999</c:v>
                </c:pt>
                <c:pt idx="12">
                  <c:v>145.624</c:v>
                </c:pt>
                <c:pt idx="13">
                  <c:v>146</c:v>
                </c:pt>
                <c:pt idx="14">
                  <c:v>146</c:v>
                </c:pt>
                <c:pt idx="15">
                  <c:v>147</c:v>
                </c:pt>
                <c:pt idx="16">
                  <c:v>150</c:v>
                </c:pt>
              </c:numCache>
            </c:numRef>
          </c:val>
          <c:smooth val="0"/>
          <c:extLst>
            <c:ext xmlns:c16="http://schemas.microsoft.com/office/drawing/2014/chart" uri="{C3380CC4-5D6E-409C-BE32-E72D297353CC}">
              <c16:uniqueId val="{00000002-61FD-462F-9DF5-DF89BFDB7468}"/>
            </c:ext>
          </c:extLst>
        </c:ser>
        <c:ser>
          <c:idx val="3"/>
          <c:order val="3"/>
          <c:tx>
            <c:strRef>
              <c:f>'12 Monthly Graph'!$F$83</c:f>
              <c:strCache>
                <c:ptCount val="1"/>
                <c:pt idx="0">
                  <c:v>XEH</c:v>
                </c:pt>
              </c:strCache>
            </c:strRef>
          </c:tx>
          <c:spPr>
            <a:ln w="28575" cap="rnd">
              <a:solidFill>
                <a:schemeClr val="accent4"/>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Graph'!$G$83:$AE$83</c:f>
              <c:numCache>
                <c:formatCode>0</c:formatCode>
                <c:ptCount val="25"/>
                <c:pt idx="0">
                  <c:v>148.51249999999999</c:v>
                </c:pt>
                <c:pt idx="1">
                  <c:v>148.785</c:v>
                </c:pt>
                <c:pt idx="2">
                  <c:v>138.1575</c:v>
                </c:pt>
                <c:pt idx="3">
                  <c:v>137.93950000000001</c:v>
                </c:pt>
                <c:pt idx="4">
                  <c:v>137.994</c:v>
                </c:pt>
                <c:pt idx="5">
                  <c:v>130.90899999999999</c:v>
                </c:pt>
                <c:pt idx="6">
                  <c:v>128.72900000000001</c:v>
                </c:pt>
                <c:pt idx="7">
                  <c:v>128.83799999999999</c:v>
                </c:pt>
                <c:pt idx="8">
                  <c:v>196.636</c:v>
                </c:pt>
                <c:pt idx="9">
                  <c:v>189.38749999999999</c:v>
                </c:pt>
                <c:pt idx="10">
                  <c:v>196.52699999999999</c:v>
                </c:pt>
                <c:pt idx="11">
                  <c:v>199.143</c:v>
                </c:pt>
                <c:pt idx="12">
                  <c:v>215.7655</c:v>
                </c:pt>
                <c:pt idx="13">
                  <c:v>207</c:v>
                </c:pt>
                <c:pt idx="14">
                  <c:v>239</c:v>
                </c:pt>
                <c:pt idx="15">
                  <c:v>246</c:v>
                </c:pt>
                <c:pt idx="16">
                  <c:v>246</c:v>
                </c:pt>
              </c:numCache>
            </c:numRef>
          </c:val>
          <c:smooth val="0"/>
          <c:extLst>
            <c:ext xmlns:c16="http://schemas.microsoft.com/office/drawing/2014/chart" uri="{C3380CC4-5D6E-409C-BE32-E72D297353CC}">
              <c16:uniqueId val="{00000003-61FD-462F-9DF5-DF89BFDB7468}"/>
            </c:ext>
          </c:extLst>
        </c:ser>
        <c:ser>
          <c:idx val="4"/>
          <c:order val="4"/>
          <c:tx>
            <c:strRef>
              <c:f>'12 Monthly Graph'!$F$84</c:f>
              <c:strCache>
                <c:ptCount val="1"/>
                <c:pt idx="0">
                  <c:v>XER</c:v>
                </c:pt>
              </c:strCache>
            </c:strRef>
          </c:tx>
          <c:spPr>
            <a:ln w="28575" cap="rnd">
              <a:solidFill>
                <a:schemeClr val="accent5"/>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Graph'!$G$84:$AE$84</c:f>
              <c:numCache>
                <c:formatCode>0</c:formatCode>
                <c:ptCount val="25"/>
                <c:pt idx="0">
                  <c:v>76.5</c:v>
                </c:pt>
                <c:pt idx="1">
                  <c:v>76.5</c:v>
                </c:pt>
                <c:pt idx="2">
                  <c:v>76.5</c:v>
                </c:pt>
                <c:pt idx="3">
                  <c:v>76.5</c:v>
                </c:pt>
                <c:pt idx="4">
                  <c:v>76.5</c:v>
                </c:pt>
                <c:pt idx="5">
                  <c:v>76.5</c:v>
                </c:pt>
                <c:pt idx="6">
                  <c:v>76.5</c:v>
                </c:pt>
                <c:pt idx="7">
                  <c:v>76.5</c:v>
                </c:pt>
                <c:pt idx="8">
                  <c:v>76.5</c:v>
                </c:pt>
                <c:pt idx="9">
                  <c:v>76.5</c:v>
                </c:pt>
                <c:pt idx="10">
                  <c:v>76.5</c:v>
                </c:pt>
                <c:pt idx="11">
                  <c:v>76.5</c:v>
                </c:pt>
                <c:pt idx="12">
                  <c:v>76.5</c:v>
                </c:pt>
                <c:pt idx="13">
                  <c:v>77</c:v>
                </c:pt>
                <c:pt idx="14">
                  <c:v>77</c:v>
                </c:pt>
                <c:pt idx="15">
                  <c:v>77</c:v>
                </c:pt>
                <c:pt idx="16">
                  <c:v>77</c:v>
                </c:pt>
              </c:numCache>
            </c:numRef>
          </c:val>
          <c:smooth val="0"/>
          <c:extLst>
            <c:ext xmlns:c16="http://schemas.microsoft.com/office/drawing/2014/chart" uri="{C3380CC4-5D6E-409C-BE32-E72D297353CC}">
              <c16:uniqueId val="{00000004-61FD-462F-9DF5-DF89BFDB7468}"/>
            </c:ext>
          </c:extLst>
        </c:ser>
        <c:ser>
          <c:idx val="5"/>
          <c:order val="5"/>
          <c:tx>
            <c:strRef>
              <c:f>'12 Monthly Graph'!$F$85</c:f>
              <c:strCache>
                <c:ptCount val="1"/>
                <c:pt idx="0">
                  <c:v>XGR</c:v>
                </c:pt>
              </c:strCache>
            </c:strRef>
          </c:tx>
          <c:spPr>
            <a:ln w="28575" cap="rnd">
              <a:solidFill>
                <a:schemeClr val="accent6"/>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Graph'!$G$85:$AE$85</c:f>
              <c:numCache>
                <c:formatCode>0</c:formatCode>
                <c:ptCount val="25"/>
                <c:pt idx="0">
                  <c:v>161.2655</c:v>
                </c:pt>
                <c:pt idx="1">
                  <c:v>165.0805</c:v>
                </c:pt>
                <c:pt idx="2">
                  <c:v>159.685</c:v>
                </c:pt>
                <c:pt idx="3">
                  <c:v>159.358</c:v>
                </c:pt>
                <c:pt idx="4">
                  <c:v>155.87</c:v>
                </c:pt>
                <c:pt idx="5">
                  <c:v>151.89150000000001</c:v>
                </c:pt>
                <c:pt idx="6">
                  <c:v>151.946</c:v>
                </c:pt>
                <c:pt idx="7">
                  <c:v>152.32749999999999</c:v>
                </c:pt>
                <c:pt idx="8">
                  <c:v>154.2895</c:v>
                </c:pt>
                <c:pt idx="9">
                  <c:v>151.7825</c:v>
                </c:pt>
                <c:pt idx="10">
                  <c:v>142.4085</c:v>
                </c:pt>
                <c:pt idx="11">
                  <c:v>143.77099999999999</c:v>
                </c:pt>
                <c:pt idx="12">
                  <c:v>145.4605</c:v>
                </c:pt>
                <c:pt idx="13">
                  <c:v>147</c:v>
                </c:pt>
                <c:pt idx="14">
                  <c:v>146</c:v>
                </c:pt>
                <c:pt idx="15">
                  <c:v>147</c:v>
                </c:pt>
                <c:pt idx="16">
                  <c:v>157</c:v>
                </c:pt>
              </c:numCache>
            </c:numRef>
          </c:val>
          <c:smooth val="0"/>
          <c:extLst>
            <c:ext xmlns:c16="http://schemas.microsoft.com/office/drawing/2014/chart" uri="{C3380CC4-5D6E-409C-BE32-E72D297353CC}">
              <c16:uniqueId val="{00000005-61FD-462F-9DF5-DF89BFDB7468}"/>
            </c:ext>
          </c:extLst>
        </c:ser>
        <c:ser>
          <c:idx val="6"/>
          <c:order val="6"/>
          <c:tx>
            <c:strRef>
              <c:f>'12 Monthly Graph'!$F$86</c:f>
              <c:strCache>
                <c:ptCount val="1"/>
                <c:pt idx="0">
                  <c:v> XGL</c:v>
                </c:pt>
              </c:strCache>
            </c:strRef>
          </c:tx>
          <c:spPr>
            <a:ln w="28575" cap="rnd">
              <a:solidFill>
                <a:schemeClr val="accent1">
                  <a:lumMod val="60000"/>
                </a:schemeClr>
              </a:solidFill>
              <a:round/>
            </a:ln>
            <a:effectLst/>
          </c:spPr>
          <c:marker>
            <c:symbol val="none"/>
          </c:marker>
          <c:trendline>
            <c:spPr>
              <a:ln w="19050" cap="rnd">
                <a:solidFill>
                  <a:srgbClr val="558ED5"/>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Graph'!$G$86:$AE$86</c:f>
              <c:numCache>
                <c:formatCode>0</c:formatCode>
                <c:ptCount val="25"/>
                <c:pt idx="0">
                  <c:v>294.12200000000001</c:v>
                </c:pt>
                <c:pt idx="1">
                  <c:v>285.767</c:v>
                </c:pt>
                <c:pt idx="2">
                  <c:v>273.43100000000004</c:v>
                </c:pt>
                <c:pt idx="3">
                  <c:v>276.82900000000001</c:v>
                </c:pt>
                <c:pt idx="4">
                  <c:v>279.55399999999997</c:v>
                </c:pt>
                <c:pt idx="5">
                  <c:v>278.6275</c:v>
                </c:pt>
                <c:pt idx="6">
                  <c:v>276.28399999999999</c:v>
                </c:pt>
                <c:pt idx="7">
                  <c:v>275.79349999999999</c:v>
                </c:pt>
                <c:pt idx="8">
                  <c:v>273.77699999999999</c:v>
                </c:pt>
                <c:pt idx="9">
                  <c:v>278.99250000000001</c:v>
                </c:pt>
                <c:pt idx="10">
                  <c:v>277.22950000000003</c:v>
                </c:pt>
                <c:pt idx="11">
                  <c:v>269.43600000000004</c:v>
                </c:pt>
                <c:pt idx="12">
                  <c:v>268.38149999999996</c:v>
                </c:pt>
                <c:pt idx="13">
                  <c:v>268</c:v>
                </c:pt>
                <c:pt idx="14">
                  <c:v>271</c:v>
                </c:pt>
                <c:pt idx="15">
                  <c:v>274</c:v>
                </c:pt>
                <c:pt idx="16">
                  <c:v>296</c:v>
                </c:pt>
              </c:numCache>
            </c:numRef>
          </c:val>
          <c:smooth val="0"/>
          <c:extLst>
            <c:ext xmlns:c16="http://schemas.microsoft.com/office/drawing/2014/chart" uri="{C3380CC4-5D6E-409C-BE32-E72D297353CC}">
              <c16:uniqueId val="{00000006-61FD-462F-9DF5-DF89BFDB7468}"/>
            </c:ext>
          </c:extLst>
        </c:ser>
        <c:ser>
          <c:idx val="7"/>
          <c:order val="7"/>
          <c:tx>
            <c:strRef>
              <c:f>'12 Monthly Graph'!$F$87</c:f>
              <c:strCache>
                <c:ptCount val="1"/>
                <c:pt idx="0">
                  <c:v>XKS</c:v>
                </c:pt>
              </c:strCache>
            </c:strRef>
          </c:tx>
          <c:spPr>
            <a:ln w="28575" cap="rnd">
              <a:solidFill>
                <a:schemeClr val="accent2">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Graph'!$G$87:$AE$87</c:f>
              <c:numCache>
                <c:formatCode>0</c:formatCode>
                <c:ptCount val="25"/>
                <c:pt idx="0">
                  <c:v>209.607</c:v>
                </c:pt>
                <c:pt idx="1">
                  <c:v>208.19</c:v>
                </c:pt>
                <c:pt idx="2">
                  <c:v>201.0505</c:v>
                </c:pt>
                <c:pt idx="3">
                  <c:v>201.214</c:v>
                </c:pt>
                <c:pt idx="4">
                  <c:v>199.57900000000001</c:v>
                </c:pt>
                <c:pt idx="5">
                  <c:v>197.45349999999999</c:v>
                </c:pt>
                <c:pt idx="6">
                  <c:v>188.24299999999999</c:v>
                </c:pt>
                <c:pt idx="7">
                  <c:v>187.262</c:v>
                </c:pt>
                <c:pt idx="8">
                  <c:v>187.262</c:v>
                </c:pt>
                <c:pt idx="9">
                  <c:v>188.29750000000001</c:v>
                </c:pt>
                <c:pt idx="10">
                  <c:v>191.94900000000001</c:v>
                </c:pt>
                <c:pt idx="11">
                  <c:v>185.08199999999999</c:v>
                </c:pt>
                <c:pt idx="12">
                  <c:v>141.91800000000001</c:v>
                </c:pt>
                <c:pt idx="13">
                  <c:v>186</c:v>
                </c:pt>
                <c:pt idx="14">
                  <c:v>184</c:v>
                </c:pt>
                <c:pt idx="15">
                  <c:v>187</c:v>
                </c:pt>
                <c:pt idx="16">
                  <c:v>183</c:v>
                </c:pt>
              </c:numCache>
            </c:numRef>
          </c:val>
          <c:smooth val="0"/>
          <c:extLst>
            <c:ext xmlns:c16="http://schemas.microsoft.com/office/drawing/2014/chart" uri="{C3380CC4-5D6E-409C-BE32-E72D297353CC}">
              <c16:uniqueId val="{00000007-61FD-462F-9DF5-DF89BFDB7468}"/>
            </c:ext>
          </c:extLst>
        </c:ser>
        <c:ser>
          <c:idx val="8"/>
          <c:order val="8"/>
          <c:tx>
            <c:strRef>
              <c:f>'12 Monthly Graph'!$F$88</c:f>
              <c:strCache>
                <c:ptCount val="1"/>
                <c:pt idx="0">
                  <c:v> XLD</c:v>
                </c:pt>
              </c:strCache>
            </c:strRef>
          </c:tx>
          <c:spPr>
            <a:ln w="28575" cap="rnd">
              <a:solidFill>
                <a:schemeClr val="accent3">
                  <a:lumMod val="60000"/>
                </a:schemeClr>
              </a:solidFill>
              <a:round/>
            </a:ln>
            <a:effectLst/>
          </c:spPr>
          <c:marker>
            <c:symbol val="none"/>
          </c:marker>
          <c:trendline>
            <c:spPr>
              <a:ln w="19050" cap="rnd">
                <a:solidFill>
                  <a:schemeClr val="accent3">
                    <a:lumMod val="60000"/>
                  </a:schemeClr>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Graph'!$G$88:$AE$88</c:f>
              <c:numCache>
                <c:formatCode>0</c:formatCode>
                <c:ptCount val="25"/>
                <c:pt idx="0">
                  <c:v>237.34950000000001</c:v>
                </c:pt>
                <c:pt idx="1">
                  <c:v>248.41550000000001</c:v>
                </c:pt>
                <c:pt idx="2">
                  <c:v>238.80449999999999</c:v>
                </c:pt>
                <c:pt idx="3">
                  <c:v>239.29499999999999</c:v>
                </c:pt>
                <c:pt idx="4">
                  <c:v>239.73099999999999</c:v>
                </c:pt>
                <c:pt idx="5">
                  <c:v>235.679</c:v>
                </c:pt>
                <c:pt idx="6">
                  <c:v>235.97049999999999</c:v>
                </c:pt>
                <c:pt idx="7">
                  <c:v>233.89949999999999</c:v>
                </c:pt>
                <c:pt idx="8">
                  <c:v>226.3785</c:v>
                </c:pt>
                <c:pt idx="9">
                  <c:v>234.73599999999999</c:v>
                </c:pt>
                <c:pt idx="10">
                  <c:v>283.98500000000001</c:v>
                </c:pt>
                <c:pt idx="11">
                  <c:v>297.68349999999998</c:v>
                </c:pt>
                <c:pt idx="12">
                  <c:v>300.553</c:v>
                </c:pt>
                <c:pt idx="13">
                  <c:v>311</c:v>
                </c:pt>
                <c:pt idx="14">
                  <c:v>324</c:v>
                </c:pt>
                <c:pt idx="15">
                  <c:v>333</c:v>
                </c:pt>
                <c:pt idx="16">
                  <c:v>382</c:v>
                </c:pt>
              </c:numCache>
            </c:numRef>
          </c:val>
          <c:smooth val="0"/>
          <c:extLst>
            <c:ext xmlns:c16="http://schemas.microsoft.com/office/drawing/2014/chart" uri="{C3380CC4-5D6E-409C-BE32-E72D297353CC}">
              <c16:uniqueId val="{00000008-61FD-462F-9DF5-DF89BFDB7468}"/>
            </c:ext>
          </c:extLst>
        </c:ser>
        <c:ser>
          <c:idx val="9"/>
          <c:order val="9"/>
          <c:tx>
            <c:strRef>
              <c:f>'12 Monthly Graph'!$F$89</c:f>
              <c:strCache>
                <c:ptCount val="1"/>
                <c:pt idx="0">
                  <c:v> XMS</c:v>
                </c:pt>
              </c:strCache>
            </c:strRef>
          </c:tx>
          <c:spPr>
            <a:ln w="28575" cap="rnd">
              <a:solidFill>
                <a:schemeClr val="accent4">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Graph'!$G$89:$AE$89</c:f>
              <c:numCache>
                <c:formatCode>0</c:formatCode>
                <c:ptCount val="25"/>
                <c:pt idx="0">
                  <c:v>241.87100000000001</c:v>
                </c:pt>
                <c:pt idx="1">
                  <c:v>244.65049999999999</c:v>
                </c:pt>
                <c:pt idx="2">
                  <c:v>243.3425</c:v>
                </c:pt>
                <c:pt idx="3">
                  <c:v>246.12200000000001</c:v>
                </c:pt>
                <c:pt idx="4">
                  <c:v>270.75599999999997</c:v>
                </c:pt>
                <c:pt idx="5">
                  <c:v>290.21249999999998</c:v>
                </c:pt>
                <c:pt idx="6">
                  <c:v>299.75</c:v>
                </c:pt>
                <c:pt idx="7">
                  <c:v>302.47500000000002</c:v>
                </c:pt>
                <c:pt idx="8">
                  <c:v>294.46350000000001</c:v>
                </c:pt>
                <c:pt idx="9">
                  <c:v>335.39299999999997</c:v>
                </c:pt>
                <c:pt idx="10">
                  <c:v>318.66149999999999</c:v>
                </c:pt>
                <c:pt idx="11">
                  <c:v>334.35750000000002</c:v>
                </c:pt>
                <c:pt idx="12">
                  <c:v>340.84300000000002</c:v>
                </c:pt>
                <c:pt idx="13">
                  <c:v>346</c:v>
                </c:pt>
                <c:pt idx="14">
                  <c:v>352</c:v>
                </c:pt>
                <c:pt idx="15">
                  <c:v>380</c:v>
                </c:pt>
                <c:pt idx="16">
                  <c:v>380</c:v>
                </c:pt>
              </c:numCache>
            </c:numRef>
          </c:val>
          <c:smooth val="0"/>
          <c:extLst>
            <c:ext xmlns:c16="http://schemas.microsoft.com/office/drawing/2014/chart" uri="{C3380CC4-5D6E-409C-BE32-E72D297353CC}">
              <c16:uniqueId val="{00000009-61FD-462F-9DF5-DF89BFDB7468}"/>
            </c:ext>
          </c:extLst>
        </c:ser>
        <c:ser>
          <c:idx val="10"/>
          <c:order val="10"/>
          <c:tx>
            <c:strRef>
              <c:f>'12 Monthly Graph'!$F$90</c:f>
              <c:strCache>
                <c:ptCount val="1"/>
                <c:pt idx="0">
                  <c:v>XOM</c:v>
                </c:pt>
              </c:strCache>
            </c:strRef>
          </c:tx>
          <c:spPr>
            <a:ln w="28575" cap="rnd">
              <a:solidFill>
                <a:schemeClr val="accent5">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Graph'!$G$90:$AE$90</c:f>
              <c:numCache>
                <c:formatCode>0</c:formatCode>
                <c:ptCount val="25"/>
                <c:pt idx="0">
                  <c:v>228.9</c:v>
                </c:pt>
                <c:pt idx="1">
                  <c:v>231.02549999999999</c:v>
                </c:pt>
                <c:pt idx="2">
                  <c:v>220.61600000000001</c:v>
                </c:pt>
                <c:pt idx="3">
                  <c:v>219.85300000000001</c:v>
                </c:pt>
                <c:pt idx="4">
                  <c:v>225.84800000000001</c:v>
                </c:pt>
                <c:pt idx="5">
                  <c:v>222.30549999999999</c:v>
                </c:pt>
                <c:pt idx="6">
                  <c:v>214.0215</c:v>
                </c:pt>
                <c:pt idx="7">
                  <c:v>211.73249999999999</c:v>
                </c:pt>
                <c:pt idx="8">
                  <c:v>199.9605</c:v>
                </c:pt>
                <c:pt idx="9">
                  <c:v>200.233</c:v>
                </c:pt>
                <c:pt idx="10">
                  <c:v>203.83</c:v>
                </c:pt>
                <c:pt idx="11">
                  <c:v>202.7945</c:v>
                </c:pt>
                <c:pt idx="12">
                  <c:v>203.1215</c:v>
                </c:pt>
                <c:pt idx="13">
                  <c:v>208</c:v>
                </c:pt>
                <c:pt idx="14">
                  <c:v>204</c:v>
                </c:pt>
                <c:pt idx="15">
                  <c:v>205</c:v>
                </c:pt>
                <c:pt idx="16">
                  <c:v>208</c:v>
                </c:pt>
              </c:numCache>
            </c:numRef>
          </c:val>
          <c:smooth val="0"/>
          <c:extLst>
            <c:ext xmlns:c16="http://schemas.microsoft.com/office/drawing/2014/chart" uri="{C3380CC4-5D6E-409C-BE32-E72D297353CC}">
              <c16:uniqueId val="{0000000A-61FD-462F-9DF5-DF89BFDB7468}"/>
            </c:ext>
          </c:extLst>
        </c:ser>
        <c:ser>
          <c:idx val="11"/>
          <c:order val="11"/>
          <c:tx>
            <c:strRef>
              <c:f>'12 Monthly Graph'!$F$91</c:f>
              <c:strCache>
                <c:ptCount val="1"/>
                <c:pt idx="0">
                  <c:v>XRM</c:v>
                </c:pt>
              </c:strCache>
            </c:strRef>
          </c:tx>
          <c:spPr>
            <a:ln w="28575" cap="rnd">
              <a:solidFill>
                <a:schemeClr val="accent6">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Graph'!$G$91:$AE$91</c:f>
              <c:numCache>
                <c:formatCode>0</c:formatCode>
                <c:ptCount val="25"/>
                <c:pt idx="0">
                  <c:v>164.59</c:v>
                </c:pt>
                <c:pt idx="1">
                  <c:v>168.2415</c:v>
                </c:pt>
                <c:pt idx="2">
                  <c:v>159.249</c:v>
                </c:pt>
                <c:pt idx="3">
                  <c:v>152.8725</c:v>
                </c:pt>
                <c:pt idx="4">
                  <c:v>153.8535</c:v>
                </c:pt>
                <c:pt idx="5">
                  <c:v>151.18299999999999</c:v>
                </c:pt>
                <c:pt idx="6">
                  <c:v>153.09049999999999</c:v>
                </c:pt>
                <c:pt idx="7">
                  <c:v>150.965</c:v>
                </c:pt>
                <c:pt idx="8">
                  <c:v>154.453</c:v>
                </c:pt>
                <c:pt idx="9">
                  <c:v>154.23500000000001</c:v>
                </c:pt>
                <c:pt idx="10">
                  <c:v>157.614</c:v>
                </c:pt>
                <c:pt idx="11">
                  <c:v>144.75200000000001</c:v>
                </c:pt>
                <c:pt idx="12">
                  <c:v>144.91550000000001</c:v>
                </c:pt>
                <c:pt idx="13">
                  <c:v>146</c:v>
                </c:pt>
                <c:pt idx="14">
                  <c:v>143</c:v>
                </c:pt>
                <c:pt idx="15">
                  <c:v>142</c:v>
                </c:pt>
                <c:pt idx="16">
                  <c:v>143</c:v>
                </c:pt>
              </c:numCache>
            </c:numRef>
          </c:val>
          <c:smooth val="0"/>
          <c:extLst>
            <c:ext xmlns:c16="http://schemas.microsoft.com/office/drawing/2014/chart" uri="{C3380CC4-5D6E-409C-BE32-E72D297353CC}">
              <c16:uniqueId val="{0000000B-61FD-462F-9DF5-DF89BFDB7468}"/>
            </c:ext>
          </c:extLst>
        </c:ser>
        <c:ser>
          <c:idx val="12"/>
          <c:order val="12"/>
          <c:tx>
            <c:strRef>
              <c:f>'12 Monthly Graph'!$F$92</c:f>
              <c:strCache>
                <c:ptCount val="1"/>
                <c:pt idx="0">
                  <c:v>XSN</c:v>
                </c:pt>
              </c:strCache>
            </c:strRef>
          </c:tx>
          <c:spPr>
            <a:ln w="28575" cap="rnd">
              <a:solidFill>
                <a:schemeClr val="accent1">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Graph'!$G$92:$AE$92</c:f>
              <c:numCache>
                <c:formatCode>0</c:formatCode>
                <c:ptCount val="25"/>
                <c:pt idx="0">
                  <c:v>133.6885</c:v>
                </c:pt>
                <c:pt idx="1">
                  <c:v>132.5985</c:v>
                </c:pt>
                <c:pt idx="2">
                  <c:v>128.72900000000001</c:v>
                </c:pt>
                <c:pt idx="3">
                  <c:v>129.4375</c:v>
                </c:pt>
                <c:pt idx="4">
                  <c:v>130.255</c:v>
                </c:pt>
                <c:pt idx="5">
                  <c:v>126.113</c:v>
                </c:pt>
                <c:pt idx="6">
                  <c:v>125.7315</c:v>
                </c:pt>
                <c:pt idx="7">
                  <c:v>128.40199999999999</c:v>
                </c:pt>
                <c:pt idx="8">
                  <c:v>127.639</c:v>
                </c:pt>
                <c:pt idx="9">
                  <c:v>123.8785</c:v>
                </c:pt>
                <c:pt idx="10">
                  <c:v>126.22199999999999</c:v>
                </c:pt>
                <c:pt idx="11">
                  <c:v>128.89250000000001</c:v>
                </c:pt>
                <c:pt idx="12">
                  <c:v>128.40199999999999</c:v>
                </c:pt>
                <c:pt idx="13">
                  <c:v>132</c:v>
                </c:pt>
                <c:pt idx="14">
                  <c:v>132</c:v>
                </c:pt>
                <c:pt idx="15">
                  <c:v>133</c:v>
                </c:pt>
                <c:pt idx="16">
                  <c:v>133</c:v>
                </c:pt>
              </c:numCache>
            </c:numRef>
          </c:val>
          <c:smooth val="0"/>
          <c:extLst>
            <c:ext xmlns:c16="http://schemas.microsoft.com/office/drawing/2014/chart" uri="{C3380CC4-5D6E-409C-BE32-E72D297353CC}">
              <c16:uniqueId val="{0000000C-61FD-462F-9DF5-DF89BFDB7468}"/>
            </c:ext>
          </c:extLst>
        </c:ser>
        <c:ser>
          <c:idx val="13"/>
          <c:order val="13"/>
          <c:tx>
            <c:strRef>
              <c:f>'12 Monthly Graph'!$F$93</c:f>
              <c:strCache>
                <c:ptCount val="1"/>
                <c:pt idx="0">
                  <c:v>XSY</c:v>
                </c:pt>
              </c:strCache>
            </c:strRef>
          </c:tx>
          <c:spPr>
            <a:ln w="28575" cap="rnd">
              <a:solidFill>
                <a:schemeClr val="accent2">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Graph'!$G$93:$AE$93</c:f>
              <c:numCache>
                <c:formatCode>0</c:formatCode>
                <c:ptCount val="25"/>
                <c:pt idx="0">
                  <c:v>160.99299999999999</c:v>
                </c:pt>
                <c:pt idx="1">
                  <c:v>163.28200000000001</c:v>
                </c:pt>
                <c:pt idx="2">
                  <c:v>158.595</c:v>
                </c:pt>
                <c:pt idx="3">
                  <c:v>158.595</c:v>
                </c:pt>
                <c:pt idx="4">
                  <c:v>157.0145</c:v>
                </c:pt>
                <c:pt idx="5">
                  <c:v>153.363</c:v>
                </c:pt>
                <c:pt idx="6">
                  <c:v>152.4365</c:v>
                </c:pt>
                <c:pt idx="7">
                  <c:v>150.202</c:v>
                </c:pt>
                <c:pt idx="8">
                  <c:v>152.4365</c:v>
                </c:pt>
                <c:pt idx="9">
                  <c:v>151.7825</c:v>
                </c:pt>
                <c:pt idx="10">
                  <c:v>143.33500000000001</c:v>
                </c:pt>
                <c:pt idx="11">
                  <c:v>143.28049999999999</c:v>
                </c:pt>
                <c:pt idx="12">
                  <c:v>143.00800000000001</c:v>
                </c:pt>
                <c:pt idx="13">
                  <c:v>144</c:v>
                </c:pt>
                <c:pt idx="14">
                  <c:v>145</c:v>
                </c:pt>
                <c:pt idx="15">
                  <c:v>146</c:v>
                </c:pt>
                <c:pt idx="16">
                  <c:v>145</c:v>
                </c:pt>
              </c:numCache>
            </c:numRef>
          </c:val>
          <c:smooth val="0"/>
          <c:extLst>
            <c:ext xmlns:c16="http://schemas.microsoft.com/office/drawing/2014/chart" uri="{C3380CC4-5D6E-409C-BE32-E72D297353CC}">
              <c16:uniqueId val="{00000003-D9A2-4657-A305-0F98027DA846}"/>
            </c:ext>
          </c:extLst>
        </c:ser>
        <c:dLbls>
          <c:showLegendKey val="0"/>
          <c:showVal val="0"/>
          <c:showCatName val="0"/>
          <c:showSerName val="0"/>
          <c:showPercent val="0"/>
          <c:showBubbleSize val="0"/>
        </c:dLbls>
        <c:smooth val="0"/>
        <c:axId val="766596447"/>
        <c:axId val="766598527"/>
      </c:lineChart>
      <c:dateAx>
        <c:axId val="76659644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8527"/>
        <c:crosses val="autoZero"/>
        <c:auto val="1"/>
        <c:lblOffset val="100"/>
        <c:baseTimeUnit val="months"/>
        <c:majorUnit val="3"/>
        <c:majorTimeUnit val="months"/>
      </c:dateAx>
      <c:valAx>
        <c:axId val="76659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447"/>
        <c:crosses val="autoZero"/>
        <c:crossBetween val="between"/>
      </c:valAx>
      <c:spPr>
        <a:solidFill>
          <a:schemeClr val="bg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r>
              <a:rPr lang="en-GB">
                <a:solidFill>
                  <a:schemeClr val="tx1"/>
                </a:solidFill>
                <a:latin typeface="Vodafone Rg" panose="020B0606080202020204" pitchFamily="34" charset="0"/>
              </a:rPr>
              <a:t>NFV Sites</a:t>
            </a:r>
            <a:r>
              <a:rPr lang="en-GB" baseline="0">
                <a:solidFill>
                  <a:schemeClr val="tx1"/>
                </a:solidFill>
                <a:latin typeface="Vodafone Rg" panose="020B0606080202020204" pitchFamily="34" charset="0"/>
              </a:rPr>
              <a:t> Load Trend</a:t>
            </a:r>
            <a:endParaRPr lang="en-GB">
              <a:solidFill>
                <a:schemeClr val="tx1"/>
              </a:solidFill>
              <a:latin typeface="Vodafone Rg" panose="020B060608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endParaRPr lang="en-GB"/>
        </a:p>
      </c:txPr>
    </c:title>
    <c:autoTitleDeleted val="0"/>
    <c:plotArea>
      <c:layout>
        <c:manualLayout>
          <c:layoutTarget val="inner"/>
          <c:xMode val="edge"/>
          <c:yMode val="edge"/>
          <c:x val="8.4579663581577577E-2"/>
          <c:y val="9.1746738542873796E-2"/>
          <c:w val="0.87880409604023302"/>
          <c:h val="0.82522366460949126"/>
        </c:manualLayout>
      </c:layout>
      <c:lineChart>
        <c:grouping val="standard"/>
        <c:varyColors val="0"/>
        <c:ser>
          <c:idx val="0"/>
          <c:order val="0"/>
          <c:tx>
            <c:strRef>
              <c:f>'12 Monthly Graph'!$C$155</c:f>
              <c:strCache>
                <c:ptCount val="1"/>
                <c:pt idx="0">
                  <c:v>XBE</c:v>
                </c:pt>
              </c:strCache>
            </c:strRef>
          </c:tx>
          <c:spPr>
            <a:ln w="28575" cap="rnd">
              <a:solidFill>
                <a:schemeClr val="accent1"/>
              </a:solidFill>
              <a:round/>
            </a:ln>
            <a:effectLst/>
          </c:spPr>
          <c:marker>
            <c:symbol val="none"/>
          </c:marker>
          <c:dLbls>
            <c:dLbl>
              <c:idx val="6"/>
              <c:layout>
                <c:manualLayout>
                  <c:x val="0.39911165282328087"/>
                  <c:y val="-7.2298574164715898E-2"/>
                </c:manualLayout>
              </c:layout>
              <c:tx>
                <c:rich>
                  <a:bodyPr/>
                  <a:lstStyle/>
                  <a:p>
                    <a:fld id="{0B751426-5BBE-4D91-9F4F-E8FBB6075103}"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Graph'!$C$156:$C$168</c:f>
              <c:numCache>
                <c:formatCode>0</c:formatCode>
                <c:ptCount val="13"/>
                <c:pt idx="0">
                  <c:v>377.29047708129895</c:v>
                </c:pt>
                <c:pt idx="1">
                  <c:v>376.97649999999999</c:v>
                </c:pt>
                <c:pt idx="2">
                  <c:v>378.24525827026378</c:v>
                </c:pt>
                <c:pt idx="3">
                  <c:v>376.93262789916992</c:v>
                </c:pt>
                <c:pt idx="4">
                  <c:v>376.54050000000001</c:v>
                </c:pt>
                <c:pt idx="5">
                  <c:v>376.32249999999999</c:v>
                </c:pt>
                <c:pt idx="6">
                  <c:v>376.75850000000003</c:v>
                </c:pt>
                <c:pt idx="7">
                  <c:v>376.97649999999999</c:v>
                </c:pt>
                <c:pt idx="8">
                  <c:v>376.64949999999999</c:v>
                </c:pt>
                <c:pt idx="9">
                  <c:v>378.91272027587888</c:v>
                </c:pt>
                <c:pt idx="10">
                  <c:v>372.67099999999999</c:v>
                </c:pt>
                <c:pt idx="11">
                  <c:v>367.548</c:v>
                </c:pt>
                <c:pt idx="12">
                  <c:v>370.6</c:v>
                </c:pt>
              </c:numCache>
            </c:numRef>
          </c:val>
          <c:smooth val="0"/>
          <c:extLst>
            <c:ext xmlns:c16="http://schemas.microsoft.com/office/drawing/2014/chart" uri="{C3380CC4-5D6E-409C-BE32-E72D297353CC}">
              <c16:uniqueId val="{00000001-185D-43A5-9251-67693D0306B0}"/>
            </c:ext>
          </c:extLst>
        </c:ser>
        <c:ser>
          <c:idx val="1"/>
          <c:order val="1"/>
          <c:tx>
            <c:strRef>
              <c:f>'12 Monthly Graph'!$D$155</c:f>
              <c:strCache>
                <c:ptCount val="1"/>
                <c:pt idx="0">
                  <c:v>XMS</c:v>
                </c:pt>
              </c:strCache>
            </c:strRef>
          </c:tx>
          <c:spPr>
            <a:ln w="28575" cap="rnd">
              <a:solidFill>
                <a:schemeClr val="accent2"/>
              </a:solidFill>
              <a:round/>
            </a:ln>
            <a:effectLst/>
          </c:spPr>
          <c:marker>
            <c:symbol val="none"/>
          </c:marker>
          <c:dLbls>
            <c:dLbl>
              <c:idx val="0"/>
              <c:layout>
                <c:manualLayout>
                  <c:x val="0.79903244550230024"/>
                  <c:y val="-8.8864439242392054E-2"/>
                </c:manualLayout>
              </c:layout>
              <c:tx>
                <c:rich>
                  <a:bodyPr/>
                  <a:lstStyle/>
                  <a:p>
                    <a:fld id="{0D31E1ED-D0F4-45D3-AB46-B4FB5C99E78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6000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Graph'!$D$156:$D$168</c:f>
              <c:numCache>
                <c:formatCode>0</c:formatCode>
                <c:ptCount val="13"/>
                <c:pt idx="0">
                  <c:v>384.98306106567412</c:v>
                </c:pt>
                <c:pt idx="1">
                  <c:v>384.61649999999997</c:v>
                </c:pt>
                <c:pt idx="2">
                  <c:v>385.57956729126067</c:v>
                </c:pt>
                <c:pt idx="3">
                  <c:v>390.32874798584072</c:v>
                </c:pt>
                <c:pt idx="4">
                  <c:v>389.63049999999998</c:v>
                </c:pt>
                <c:pt idx="5">
                  <c:v>385.43400000000003</c:v>
                </c:pt>
                <c:pt idx="6">
                  <c:v>381.18299999999999</c:v>
                </c:pt>
                <c:pt idx="7">
                  <c:v>377.85849999999999</c:v>
                </c:pt>
                <c:pt idx="8">
                  <c:v>379.43900000000002</c:v>
                </c:pt>
                <c:pt idx="9">
                  <c:v>380.27982815551775</c:v>
                </c:pt>
                <c:pt idx="10">
                  <c:v>379.76600000000002</c:v>
                </c:pt>
                <c:pt idx="11">
                  <c:v>380.09300000000002</c:v>
                </c:pt>
                <c:pt idx="12">
                  <c:v>383.14749999999998</c:v>
                </c:pt>
              </c:numCache>
            </c:numRef>
          </c:val>
          <c:smooth val="0"/>
          <c:extLst>
            <c:ext xmlns:c16="http://schemas.microsoft.com/office/drawing/2014/chart" uri="{C3380CC4-5D6E-409C-BE32-E72D297353CC}">
              <c16:uniqueId val="{00000003-185D-43A5-9251-67693D0306B0}"/>
            </c:ext>
          </c:extLst>
        </c:ser>
        <c:ser>
          <c:idx val="2"/>
          <c:order val="2"/>
          <c:tx>
            <c:strRef>
              <c:f>'12 Monthly Graph'!$E$155</c:f>
              <c:strCache>
                <c:ptCount val="1"/>
                <c:pt idx="0">
                  <c:v>XLD</c:v>
                </c:pt>
              </c:strCache>
            </c:strRef>
          </c:tx>
          <c:spPr>
            <a:ln w="28575" cap="rnd">
              <a:solidFill>
                <a:schemeClr val="accent3"/>
              </a:solidFill>
              <a:round/>
            </a:ln>
            <a:effectLst/>
          </c:spPr>
          <c:marker>
            <c:symbol val="none"/>
          </c:marker>
          <c:dLbls>
            <c:dLbl>
              <c:idx val="0"/>
              <c:layout>
                <c:manualLayout>
                  <c:x val="0.80342738938976788"/>
                  <c:y val="-0.13066397105767186"/>
                </c:manualLayout>
              </c:layout>
              <c:tx>
                <c:rich>
                  <a:bodyPr/>
                  <a:lstStyle/>
                  <a:p>
                    <a:fld id="{3B8EE11B-29F7-4B19-A5A5-8FDB6304484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Graph'!$E$156:$E$168</c:f>
              <c:numCache>
                <c:formatCode>0</c:formatCode>
                <c:ptCount val="13"/>
                <c:pt idx="0">
                  <c:v>345.96600000000001</c:v>
                </c:pt>
                <c:pt idx="1">
                  <c:v>347.32850000000002</c:v>
                </c:pt>
                <c:pt idx="2">
                  <c:v>346.23849999999999</c:v>
                </c:pt>
                <c:pt idx="3">
                  <c:v>342.64150000000001</c:v>
                </c:pt>
                <c:pt idx="4">
                  <c:v>344.6035</c:v>
                </c:pt>
                <c:pt idx="5">
                  <c:v>340.84300000000002</c:v>
                </c:pt>
                <c:pt idx="6">
                  <c:v>327.59949999999998</c:v>
                </c:pt>
                <c:pt idx="7">
                  <c:v>330.815</c:v>
                </c:pt>
                <c:pt idx="8">
                  <c:v>330.70600000000002</c:v>
                </c:pt>
                <c:pt idx="9">
                  <c:v>331.52350000000001</c:v>
                </c:pt>
                <c:pt idx="10">
                  <c:v>331.25099999999998</c:v>
                </c:pt>
                <c:pt idx="11">
                  <c:v>335.82900000000001</c:v>
                </c:pt>
                <c:pt idx="12">
                  <c:v>335.55650000000003</c:v>
                </c:pt>
              </c:numCache>
            </c:numRef>
          </c:val>
          <c:smooth val="0"/>
          <c:extLst>
            <c:ext xmlns:c16="http://schemas.microsoft.com/office/drawing/2014/chart" uri="{C3380CC4-5D6E-409C-BE32-E72D297353CC}">
              <c16:uniqueId val="{00000005-185D-43A5-9251-67693D0306B0}"/>
            </c:ext>
          </c:extLst>
        </c:ser>
        <c:ser>
          <c:idx val="3"/>
          <c:order val="3"/>
          <c:tx>
            <c:strRef>
              <c:f>'12 Monthly Graph'!$F$155</c:f>
              <c:strCache>
                <c:ptCount val="1"/>
                <c:pt idx="0">
                  <c:v>XEH</c:v>
                </c:pt>
              </c:strCache>
            </c:strRef>
          </c:tx>
          <c:spPr>
            <a:ln w="28575" cap="rnd">
              <a:solidFill>
                <a:schemeClr val="accent4"/>
              </a:solidFill>
              <a:round/>
            </a:ln>
            <a:effectLst/>
          </c:spPr>
          <c:marker>
            <c:symbol val="none"/>
          </c:marker>
          <c:dLbls>
            <c:dLbl>
              <c:idx val="0"/>
              <c:layout>
                <c:manualLayout>
                  <c:x val="0.80193354926219518"/>
                  <c:y val="-0.24399255160672484"/>
                </c:manualLayout>
              </c:layout>
              <c:tx>
                <c:rich>
                  <a:bodyPr/>
                  <a:lstStyle/>
                  <a:p>
                    <a:fld id="{A07E78D6-C9A6-46B8-B9BE-E73316A46E0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030A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Graph'!$F$156:$F$168</c:f>
              <c:numCache>
                <c:formatCode>0</c:formatCode>
                <c:ptCount val="13"/>
                <c:pt idx="0">
                  <c:v>295.35201565551756</c:v>
                </c:pt>
                <c:pt idx="1">
                  <c:v>295.98950000000002</c:v>
                </c:pt>
                <c:pt idx="2">
                  <c:v>295.09728204345703</c:v>
                </c:pt>
                <c:pt idx="3">
                  <c:v>297.4251379089356</c:v>
                </c:pt>
                <c:pt idx="4">
                  <c:v>296.97050000000002</c:v>
                </c:pt>
                <c:pt idx="5">
                  <c:v>294.19099999999997</c:v>
                </c:pt>
                <c:pt idx="6">
                  <c:v>293.2645</c:v>
                </c:pt>
                <c:pt idx="7">
                  <c:v>292.99200000000002</c:v>
                </c:pt>
                <c:pt idx="8">
                  <c:v>287.16050000000001</c:v>
                </c:pt>
                <c:pt idx="9">
                  <c:v>286.98931265258801</c:v>
                </c:pt>
                <c:pt idx="10">
                  <c:v>285.6345</c:v>
                </c:pt>
                <c:pt idx="11">
                  <c:v>286.9425</c:v>
                </c:pt>
                <c:pt idx="12">
                  <c:v>290.1035</c:v>
                </c:pt>
              </c:numCache>
            </c:numRef>
          </c:val>
          <c:smooth val="0"/>
          <c:extLst>
            <c:ext xmlns:c16="http://schemas.microsoft.com/office/drawing/2014/chart" uri="{C3380CC4-5D6E-409C-BE32-E72D297353CC}">
              <c16:uniqueId val="{00000007-185D-43A5-9251-67693D0306B0}"/>
            </c:ext>
          </c:extLst>
        </c:ser>
        <c:ser>
          <c:idx val="4"/>
          <c:order val="4"/>
          <c:tx>
            <c:strRef>
              <c:f>'12 Monthly Graph'!$G$155</c:f>
              <c:strCache>
                <c:ptCount val="1"/>
                <c:pt idx="0">
                  <c:v>XGL</c:v>
                </c:pt>
              </c:strCache>
            </c:strRef>
          </c:tx>
          <c:spPr>
            <a:ln w="28575" cap="rnd">
              <a:solidFill>
                <a:schemeClr val="accent5"/>
              </a:solidFill>
              <a:round/>
            </a:ln>
            <a:effectLst/>
          </c:spPr>
          <c:marker>
            <c:symbol val="none"/>
          </c:marker>
          <c:dLbls>
            <c:dLbl>
              <c:idx val="0"/>
              <c:layout>
                <c:manualLayout>
                  <c:x val="0.80196293553995646"/>
                  <c:y val="-5.2680144711640821E-2"/>
                </c:manualLayout>
              </c:layout>
              <c:tx>
                <c:rich>
                  <a:bodyPr/>
                  <a:lstStyle/>
                  <a:p>
                    <a:fld id="{0B4BBB52-871B-4218-9B1E-236A6B5EF18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Graph'!$G$156:$G$168</c:f>
              <c:numCache>
                <c:formatCode>0</c:formatCode>
                <c:ptCount val="13"/>
                <c:pt idx="0">
                  <c:v>294.26004641723642</c:v>
                </c:pt>
                <c:pt idx="1">
                  <c:v>297.51549999999997</c:v>
                </c:pt>
                <c:pt idx="2">
                  <c:v>291.85992749023444</c:v>
                </c:pt>
                <c:pt idx="3">
                  <c:v>292.66036630249022</c:v>
                </c:pt>
                <c:pt idx="4">
                  <c:v>293.97300000000001</c:v>
                </c:pt>
                <c:pt idx="5">
                  <c:v>295.17200000000003</c:v>
                </c:pt>
                <c:pt idx="6">
                  <c:v>292.55599999999998</c:v>
                </c:pt>
                <c:pt idx="7">
                  <c:v>293.53699999999998</c:v>
                </c:pt>
                <c:pt idx="8">
                  <c:v>289.50400000000002</c:v>
                </c:pt>
                <c:pt idx="9">
                  <c:v>290.37599999999998</c:v>
                </c:pt>
                <c:pt idx="10">
                  <c:v>295.17200000000003</c:v>
                </c:pt>
                <c:pt idx="11">
                  <c:v>295.22649999999999</c:v>
                </c:pt>
                <c:pt idx="12">
                  <c:v>285.798</c:v>
                </c:pt>
              </c:numCache>
            </c:numRef>
          </c:val>
          <c:smooth val="0"/>
          <c:extLst>
            <c:ext xmlns:c16="http://schemas.microsoft.com/office/drawing/2014/chart" uri="{C3380CC4-5D6E-409C-BE32-E72D297353CC}">
              <c16:uniqueId val="{00000009-185D-43A5-9251-67693D0306B0}"/>
            </c:ext>
          </c:extLst>
        </c:ser>
        <c:ser>
          <c:idx val="5"/>
          <c:order val="5"/>
          <c:tx>
            <c:strRef>
              <c:f>'12 Monthly Graph'!$H$155</c:f>
              <c:strCache>
                <c:ptCount val="1"/>
                <c:pt idx="0">
                  <c:v>XGR</c:v>
                </c:pt>
              </c:strCache>
            </c:strRef>
          </c:tx>
          <c:spPr>
            <a:ln w="28575" cap="rnd">
              <a:solidFill>
                <a:schemeClr val="accent6"/>
              </a:solidFill>
              <a:round/>
            </a:ln>
            <a:effectLst/>
          </c:spPr>
          <c:marker>
            <c:symbol val="none"/>
          </c:marker>
          <c:dLbls>
            <c:dLbl>
              <c:idx val="0"/>
              <c:layout>
                <c:manualLayout>
                  <c:x val="0.80342772846220356"/>
                  <c:y val="-3.3271759948925402E-2"/>
                </c:manualLayout>
              </c:layout>
              <c:tx>
                <c:rich>
                  <a:bodyPr/>
                  <a:lstStyle/>
                  <a:p>
                    <a:fld id="{87561A28-E8A7-417C-B34C-4B4E7256121B}"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Graph'!$H$156:$H$168</c:f>
              <c:numCache>
                <c:formatCode>0</c:formatCode>
                <c:ptCount val="13"/>
                <c:pt idx="0">
                  <c:v>280.16694982910167</c:v>
                </c:pt>
                <c:pt idx="1">
                  <c:v>283.99950000000001</c:v>
                </c:pt>
                <c:pt idx="2">
                  <c:v>287.1368990783692</c:v>
                </c:pt>
                <c:pt idx="3">
                  <c:v>287.37849999999997</c:v>
                </c:pt>
                <c:pt idx="4">
                  <c:v>284.05399999999997</c:v>
                </c:pt>
                <c:pt idx="5">
                  <c:v>263.72550000000001</c:v>
                </c:pt>
                <c:pt idx="6">
                  <c:v>262.90800000000002</c:v>
                </c:pt>
                <c:pt idx="7">
                  <c:v>260.78250000000003</c:v>
                </c:pt>
                <c:pt idx="8">
                  <c:v>260.01949999999999</c:v>
                </c:pt>
                <c:pt idx="9">
                  <c:v>260.48231423950193</c:v>
                </c:pt>
                <c:pt idx="10">
                  <c:v>260.18299999999999</c:v>
                </c:pt>
                <c:pt idx="11">
                  <c:v>260.34649999999999</c:v>
                </c:pt>
                <c:pt idx="12">
                  <c:v>260.51</c:v>
                </c:pt>
              </c:numCache>
            </c:numRef>
          </c:val>
          <c:smooth val="0"/>
          <c:extLst>
            <c:ext xmlns:c16="http://schemas.microsoft.com/office/drawing/2014/chart" uri="{C3380CC4-5D6E-409C-BE32-E72D297353CC}">
              <c16:uniqueId val="{0000000B-185D-43A5-9251-67693D0306B0}"/>
            </c:ext>
          </c:extLst>
        </c:ser>
        <c:ser>
          <c:idx val="6"/>
          <c:order val="6"/>
          <c:tx>
            <c:strRef>
              <c:f>'12 Monthly Graph'!$I$155</c:f>
              <c:strCache>
                <c:ptCount val="1"/>
                <c:pt idx="0">
                  <c:v>XOM</c:v>
                </c:pt>
              </c:strCache>
            </c:strRef>
          </c:tx>
          <c:spPr>
            <a:ln w="28575" cap="rnd">
              <a:solidFill>
                <a:schemeClr val="accent1">
                  <a:lumMod val="60000"/>
                </a:schemeClr>
              </a:solidFill>
              <a:round/>
            </a:ln>
            <a:effectLst/>
          </c:spPr>
          <c:marker>
            <c:symbol val="none"/>
          </c:marker>
          <c:dLbls>
            <c:dLbl>
              <c:idx val="0"/>
              <c:layout>
                <c:manualLayout>
                  <c:x val="0.79907234302556807"/>
                  <c:y val="-1.1090657586720579E-2"/>
                </c:manualLayout>
              </c:layout>
              <c:tx>
                <c:rich>
                  <a:bodyPr/>
                  <a:lstStyle/>
                  <a:p>
                    <a:fld id="{7D8E1483-B1C1-47C9-9397-7181ED5B8E84}"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Graph'!$I$156:$I$168</c:f>
              <c:numCache>
                <c:formatCode>0</c:formatCode>
                <c:ptCount val="13"/>
                <c:pt idx="0">
                  <c:v>262.97432540893561</c:v>
                </c:pt>
                <c:pt idx="1">
                  <c:v>282.09199999999998</c:v>
                </c:pt>
                <c:pt idx="2">
                  <c:v>283.17786193847655</c:v>
                </c:pt>
                <c:pt idx="3">
                  <c:v>293.9623188781739</c:v>
                </c:pt>
                <c:pt idx="4">
                  <c:v>296.262</c:v>
                </c:pt>
                <c:pt idx="5">
                  <c:v>289.72199999999998</c:v>
                </c:pt>
                <c:pt idx="6">
                  <c:v>284.49</c:v>
                </c:pt>
                <c:pt idx="7">
                  <c:v>282.69150000000002</c:v>
                </c:pt>
                <c:pt idx="8">
                  <c:v>283.72699999999998</c:v>
                </c:pt>
                <c:pt idx="9">
                  <c:v>292.55599999999998</c:v>
                </c:pt>
                <c:pt idx="10">
                  <c:v>293.20999999999998</c:v>
                </c:pt>
                <c:pt idx="11">
                  <c:v>293.97300000000001</c:v>
                </c:pt>
                <c:pt idx="12">
                  <c:v>294.57249999999999</c:v>
                </c:pt>
              </c:numCache>
            </c:numRef>
          </c:val>
          <c:smooth val="0"/>
          <c:extLst>
            <c:ext xmlns:c16="http://schemas.microsoft.com/office/drawing/2014/chart" uri="{C3380CC4-5D6E-409C-BE32-E72D297353CC}">
              <c16:uniqueId val="{0000000D-185D-43A5-9251-67693D0306B0}"/>
            </c:ext>
          </c:extLst>
        </c:ser>
        <c:dLbls>
          <c:showLegendKey val="0"/>
          <c:showVal val="0"/>
          <c:showCatName val="0"/>
          <c:showSerName val="0"/>
          <c:showPercent val="0"/>
          <c:showBubbleSize val="0"/>
        </c:dLbls>
        <c:smooth val="0"/>
        <c:axId val="1183924431"/>
        <c:axId val="1183938991"/>
      </c:lineChart>
      <c:dateAx>
        <c:axId val="1183924431"/>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38991"/>
        <c:crosses val="autoZero"/>
        <c:auto val="1"/>
        <c:lblOffset val="100"/>
        <c:baseTimeUnit val="months"/>
      </c:dateAx>
      <c:valAx>
        <c:axId val="1183938991"/>
        <c:scaling>
          <c:orientation val="minMax"/>
          <c:min val="100"/>
        </c:scaling>
        <c:delete val="0"/>
        <c:axPos val="l"/>
        <c:majorGridlines>
          <c:spPr>
            <a:ln w="9525" cap="flat" cmpd="sng" algn="ctr">
              <a:solidFill>
                <a:schemeClr val="tx1">
                  <a:lumMod val="50000"/>
                  <a:lumOff val="50000"/>
                </a:schemeClr>
              </a:solidFill>
              <a:round/>
            </a:ln>
            <a:effectLst/>
          </c:spPr>
        </c:majorGridlines>
        <c:minorGridlines>
          <c:spPr>
            <a:ln w="9525" cap="flat" cmpd="sng" algn="ctr">
              <a:solidFill>
                <a:schemeClr val="bg1">
                  <a:lumMod val="8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24431"/>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NFV Sites Power Usage</a:t>
            </a:r>
          </a:p>
        </c:rich>
      </c:tx>
      <c:layout>
        <c:manualLayout>
          <c:xMode val="edge"/>
          <c:yMode val="edge"/>
          <c:x val="0"/>
          <c:y val="4.2892554347932921E-3"/>
        </c:manualLayout>
      </c:layout>
      <c:overlay val="0"/>
    </c:title>
    <c:autoTitleDeleted val="0"/>
    <c:plotArea>
      <c:layout>
        <c:manualLayout>
          <c:layoutTarget val="inner"/>
          <c:xMode val="edge"/>
          <c:yMode val="edge"/>
          <c:x val="9.2495911385163596E-2"/>
          <c:y val="0.12464427860696517"/>
          <c:w val="0.86376623551471132"/>
          <c:h val="0.66982082082082084"/>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ysClr val="windowText" lastClr="0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figures'!$B$20:$B$26</c:f>
              <c:numCache>
                <c:formatCode>0</c:formatCode>
                <c:ptCount val="7"/>
                <c:pt idx="0">
                  <c:v>81.750000000000014</c:v>
                </c:pt>
                <c:pt idx="1">
                  <c:v>75.210000000000008</c:v>
                </c:pt>
                <c:pt idx="2">
                  <c:v>46.870000000000005</c:v>
                </c:pt>
                <c:pt idx="3">
                  <c:v>33</c:v>
                </c:pt>
                <c:pt idx="4">
                  <c:v>47.960000000000008</c:v>
                </c:pt>
                <c:pt idx="5">
                  <c:v>30.660610000000002</c:v>
                </c:pt>
                <c:pt idx="6">
                  <c:v>55.59</c:v>
                </c:pt>
              </c:numCache>
            </c:numRef>
          </c:val>
          <c:extLst>
            <c:ext xmlns:c16="http://schemas.microsoft.com/office/drawing/2014/chart" uri="{C3380CC4-5D6E-409C-BE32-E72D297353CC}">
              <c16:uniqueId val="{00000000-1F76-40B8-8D37-EC1A0CD9FF7E}"/>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figures'!$C$20:$C$26</c:f>
              <c:numCache>
                <c:formatCode>0</c:formatCode>
                <c:ptCount val="7"/>
                <c:pt idx="0">
                  <c:v>288.85000000000002</c:v>
                </c:pt>
                <c:pt idx="1">
                  <c:v>292.9375</c:v>
                </c:pt>
                <c:pt idx="2">
                  <c:v>288.68650000000002</c:v>
                </c:pt>
                <c:pt idx="3">
                  <c:v>257.1035</c:v>
                </c:pt>
                <c:pt idx="4">
                  <c:v>237.83799999999999</c:v>
                </c:pt>
                <c:pt idx="5">
                  <c:v>229.84939</c:v>
                </c:pt>
                <c:pt idx="6">
                  <c:v>238.98249999999999</c:v>
                </c:pt>
              </c:numCache>
            </c:numRef>
          </c:val>
          <c:extLst>
            <c:ext xmlns:c16="http://schemas.microsoft.com/office/drawing/2014/chart" uri="{C3380CC4-5D6E-409C-BE32-E72D297353CC}">
              <c16:uniqueId val="{00000001-1F76-40B8-8D37-EC1A0CD9FF7E}"/>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figures'!$E$20:$E$26</c:f>
              <c:numCache>
                <c:formatCode>0</c:formatCode>
                <c:ptCount val="7"/>
                <c:pt idx="0">
                  <c:v>57.606499999999997</c:v>
                </c:pt>
                <c:pt idx="1">
                  <c:v>46.106999999999999</c:v>
                </c:pt>
                <c:pt idx="2">
                  <c:v>7.085</c:v>
                </c:pt>
                <c:pt idx="3">
                  <c:v>6.3765000000000001</c:v>
                </c:pt>
                <c:pt idx="4">
                  <c:v>20.388449999999999</c:v>
                </c:pt>
                <c:pt idx="5">
                  <c:v>6.0604000000000005</c:v>
                </c:pt>
                <c:pt idx="6">
                  <c:v>16.241</c:v>
                </c:pt>
              </c:numCache>
            </c:numRef>
          </c:val>
          <c:extLst>
            <c:ext xmlns:c16="http://schemas.microsoft.com/office/drawing/2014/chart" uri="{C3380CC4-5D6E-409C-BE32-E72D297353CC}">
              <c16:uniqueId val="{00000002-1F76-40B8-8D37-EC1A0CD9FF7E}"/>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120.336</c:v>
                </c:pt>
                <c:pt idx="6">
                  <c:v>105.5665</c:v>
                </c:pt>
              </c:numCache>
            </c:numRef>
          </c:val>
          <c:extLst>
            <c:ext xmlns:c16="http://schemas.microsoft.com/office/drawing/2014/chart" uri="{C3380CC4-5D6E-409C-BE32-E72D297353CC}">
              <c16:uniqueId val="{00000003-1F76-40B8-8D37-EC1A0CD9FF7E}"/>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figures'!$F$20:$F$26</c:f>
              <c:numCache>
                <c:formatCode>0</c:formatCode>
                <c:ptCount val="7"/>
                <c:pt idx="0">
                  <c:v>36.771499999999989</c:v>
                </c:pt>
                <c:pt idx="1">
                  <c:v>40.023999999999972</c:v>
                </c:pt>
                <c:pt idx="2">
                  <c:v>102.44149999999998</c:v>
                </c:pt>
                <c:pt idx="3">
                  <c:v>31.4345</c:v>
                </c:pt>
                <c:pt idx="4">
                  <c:v>109.50604999999996</c:v>
                </c:pt>
                <c:pt idx="5">
                  <c:v>81.093599999999981</c:v>
                </c:pt>
                <c:pt idx="6">
                  <c:v>72.619999999999976</c:v>
                </c:pt>
              </c:numCache>
            </c:numRef>
          </c:val>
          <c:extLst>
            <c:ext xmlns:c16="http://schemas.microsoft.com/office/drawing/2014/chart" uri="{C3380CC4-5D6E-409C-BE32-E72D297353CC}">
              <c16:uniqueId val="{00000004-1F76-40B8-8D37-EC1A0CD9FF7E}"/>
            </c:ext>
          </c:extLst>
        </c:ser>
        <c:dLbls>
          <c:showLegendKey val="0"/>
          <c:showVal val="0"/>
          <c:showCatName val="0"/>
          <c:showSerName val="0"/>
          <c:showPercent val="0"/>
          <c:showBubbleSize val="0"/>
        </c:dLbls>
        <c:gapWidth val="17"/>
        <c:overlap val="100"/>
        <c:axId val="205530624"/>
        <c:axId val="205532160"/>
      </c:barChart>
      <c:catAx>
        <c:axId val="205530624"/>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532160"/>
        <c:crosses val="autoZero"/>
        <c:auto val="1"/>
        <c:lblAlgn val="ctr"/>
        <c:lblOffset val="100"/>
        <c:noMultiLvlLbl val="0"/>
      </c:catAx>
      <c:valAx>
        <c:axId val="205532160"/>
        <c:scaling>
          <c:orientation val="minMax"/>
        </c:scaling>
        <c:delete val="0"/>
        <c:axPos val="l"/>
        <c:title>
          <c:tx>
            <c:rich>
              <a:bodyPr/>
              <a:lstStyle/>
              <a:p>
                <a:pPr>
                  <a:defRPr sz="800"/>
                </a:pPr>
                <a:r>
                  <a:rPr lang="en-US" sz="800"/>
                  <a:t>Kilowatts</a:t>
                </a:r>
              </a:p>
            </c:rich>
          </c:tx>
          <c:layout>
            <c:manualLayout>
              <c:xMode val="edge"/>
              <c:yMode val="edge"/>
              <c:x val="5.9263038548752851E-3"/>
              <c:y val="0.31634584584584585"/>
            </c:manualLayout>
          </c:layout>
          <c:overlay val="0"/>
        </c:title>
        <c:numFmt formatCode="0"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30624"/>
        <c:crosses val="autoZero"/>
        <c:crossBetween val="between"/>
      </c:valAx>
      <c:spPr>
        <a:noFill/>
      </c:spPr>
    </c:plotArea>
    <c:legend>
      <c:legendPos val="b"/>
      <c:layout>
        <c:manualLayout>
          <c:xMode val="edge"/>
          <c:yMode val="edge"/>
          <c:x val="0.10503197278911566"/>
          <c:y val="0.91957507507507508"/>
          <c:w val="0.77994797494672652"/>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a:latin typeface="Vodafone Rg" panose="020B060608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CORE Sites Power Breakdown</a:t>
            </a:r>
          </a:p>
        </c:rich>
      </c:tx>
      <c:layout>
        <c:manualLayout>
          <c:xMode val="edge"/>
          <c:yMode val="edge"/>
          <c:x val="4.3061224489795297E-4"/>
          <c:y val="0"/>
        </c:manualLayout>
      </c:layout>
      <c:overlay val="0"/>
    </c:title>
    <c:autoTitleDeleted val="0"/>
    <c:plotArea>
      <c:layout>
        <c:manualLayout>
          <c:layoutTarget val="inner"/>
          <c:xMode val="edge"/>
          <c:yMode val="edge"/>
          <c:x val="0.11251451247165532"/>
          <c:y val="0.1160035035035035"/>
          <c:w val="0.85580748299319731"/>
          <c:h val="0.64650600600600605"/>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chemeClr val="tx1"/>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figures'!$B$28:$B$35</c:f>
              <c:numCache>
                <c:formatCode>General</c:formatCode>
                <c:ptCount val="8"/>
                <c:pt idx="0">
                  <c:v>18.53</c:v>
                </c:pt>
                <c:pt idx="1">
                  <c:v>7.6300000000000008</c:v>
                </c:pt>
                <c:pt idx="2">
                  <c:v>0</c:v>
                </c:pt>
                <c:pt idx="3">
                  <c:v>52.320000000000007</c:v>
                </c:pt>
                <c:pt idx="4">
                  <c:v>0</c:v>
                </c:pt>
                <c:pt idx="5">
                  <c:v>8.7200000000000006</c:v>
                </c:pt>
                <c:pt idx="6">
                  <c:v>9.81</c:v>
                </c:pt>
                <c:pt idx="7">
                  <c:v>7.6300000000000008</c:v>
                </c:pt>
              </c:numCache>
            </c:numRef>
          </c:val>
          <c:extLst>
            <c:ext xmlns:c16="http://schemas.microsoft.com/office/drawing/2014/chart" uri="{C3380CC4-5D6E-409C-BE32-E72D297353CC}">
              <c16:uniqueId val="{00000000-964A-443F-9DE1-4C5A69E97EAA}"/>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figures'!$C$28:$C$35</c:f>
              <c:numCache>
                <c:formatCode>General</c:formatCode>
                <c:ptCount val="8"/>
                <c:pt idx="0">
                  <c:v>133.36150000000001</c:v>
                </c:pt>
                <c:pt idx="1">
                  <c:v>106.384</c:v>
                </c:pt>
                <c:pt idx="2">
                  <c:v>48.668500000000002</c:v>
                </c:pt>
                <c:pt idx="3">
                  <c:v>58.532999999999987</c:v>
                </c:pt>
                <c:pt idx="4">
                  <c:v>25.996500000000001</c:v>
                </c:pt>
                <c:pt idx="5">
                  <c:v>131.89000000000001</c:v>
                </c:pt>
                <c:pt idx="6">
                  <c:v>122.84299999999999</c:v>
                </c:pt>
                <c:pt idx="7">
                  <c:v>136.52250000000001</c:v>
                </c:pt>
              </c:numCache>
            </c:numRef>
          </c:val>
          <c:extLst>
            <c:ext xmlns:c16="http://schemas.microsoft.com/office/drawing/2014/chart" uri="{C3380CC4-5D6E-409C-BE32-E72D297353CC}">
              <c16:uniqueId val="{00000001-964A-443F-9DE1-4C5A69E97EAA}"/>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figures'!$E$28:$E$35</c:f>
              <c:numCache>
                <c:formatCode>General</c:formatCode>
                <c:ptCount val="8"/>
                <c:pt idx="0">
                  <c:v>7.7389999999999999</c:v>
                </c:pt>
                <c:pt idx="1">
                  <c:v>1.5232000000000001</c:v>
                </c:pt>
                <c:pt idx="2">
                  <c:v>0</c:v>
                </c:pt>
                <c:pt idx="3">
                  <c:v>0</c:v>
                </c:pt>
                <c:pt idx="4">
                  <c:v>0</c:v>
                </c:pt>
                <c:pt idx="5">
                  <c:v>12.262499999999999</c:v>
                </c:pt>
                <c:pt idx="6">
                  <c:v>18.966000000000001</c:v>
                </c:pt>
                <c:pt idx="7">
                  <c:v>1.417</c:v>
                </c:pt>
              </c:numCache>
            </c:numRef>
          </c:val>
          <c:extLst>
            <c:ext xmlns:c16="http://schemas.microsoft.com/office/drawing/2014/chart" uri="{C3380CC4-5D6E-409C-BE32-E72D297353CC}">
              <c16:uniqueId val="{00000002-964A-443F-9DE1-4C5A69E97EAA}"/>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figures'!$D$28:$D$35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964A-443F-9DE1-4C5A69E97EAA}"/>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figures'!$F$28:$F$35</c:f>
              <c:numCache>
                <c:formatCode>General</c:formatCode>
                <c:ptCount val="8"/>
                <c:pt idx="0">
                  <c:v>155.36950000000002</c:v>
                </c:pt>
                <c:pt idx="1">
                  <c:v>184.46279999999999</c:v>
                </c:pt>
                <c:pt idx="2">
                  <c:v>112.33150000000001</c:v>
                </c:pt>
                <c:pt idx="3">
                  <c:v>50.147000000000006</c:v>
                </c:pt>
                <c:pt idx="4">
                  <c:v>135.0035</c:v>
                </c:pt>
                <c:pt idx="5">
                  <c:v>162.12749999999997</c:v>
                </c:pt>
                <c:pt idx="6">
                  <c:v>148.381</c:v>
                </c:pt>
                <c:pt idx="7">
                  <c:v>158.93049999999999</c:v>
                </c:pt>
              </c:numCache>
            </c:numRef>
          </c:val>
          <c:extLst>
            <c:ext xmlns:c16="http://schemas.microsoft.com/office/drawing/2014/chart" uri="{C3380CC4-5D6E-409C-BE32-E72D297353CC}">
              <c16:uniqueId val="{00000004-964A-443F-9DE1-4C5A69E97EAA}"/>
            </c:ext>
          </c:extLst>
        </c:ser>
        <c:dLbls>
          <c:showLegendKey val="0"/>
          <c:showVal val="0"/>
          <c:showCatName val="0"/>
          <c:showSerName val="0"/>
          <c:showPercent val="0"/>
          <c:showBubbleSize val="0"/>
        </c:dLbls>
        <c:gapWidth val="17"/>
        <c:overlap val="100"/>
        <c:axId val="205584640"/>
        <c:axId val="205586432"/>
      </c:barChart>
      <c:catAx>
        <c:axId val="205584640"/>
        <c:scaling>
          <c:orientation val="minMax"/>
        </c:scaling>
        <c:delete val="0"/>
        <c:axPos val="b"/>
        <c:numFmt formatCode="General" sourceLinked="0"/>
        <c:majorTickMark val="none"/>
        <c:minorTickMark val="none"/>
        <c:tickLblPos val="nextTo"/>
        <c:spPr>
          <a:ln>
            <a:solidFill>
              <a:schemeClr val="tx1"/>
            </a:solidFill>
          </a:ln>
        </c:spPr>
        <c:txPr>
          <a:bodyPr rot="0" vert="horz"/>
          <a:lstStyle/>
          <a:p>
            <a:pPr>
              <a:defRPr sz="600">
                <a:solidFill>
                  <a:schemeClr val="tx1"/>
                </a:solidFill>
              </a:defRPr>
            </a:pPr>
            <a:endParaRPr lang="en-US"/>
          </a:p>
        </c:txPr>
        <c:crossAx val="205586432"/>
        <c:crosses val="autoZero"/>
        <c:auto val="1"/>
        <c:lblAlgn val="ctr"/>
        <c:lblOffset val="100"/>
        <c:noMultiLvlLbl val="0"/>
      </c:catAx>
      <c:valAx>
        <c:axId val="205586432"/>
        <c:scaling>
          <c:orientation val="minMax"/>
        </c:scaling>
        <c:delete val="0"/>
        <c:axPos val="l"/>
        <c:title>
          <c:tx>
            <c:rich>
              <a:bodyPr/>
              <a:lstStyle/>
              <a:p>
                <a:pPr>
                  <a:defRPr sz="800"/>
                </a:pPr>
                <a:r>
                  <a:rPr lang="en-GB" sz="800"/>
                  <a:t>Killowatts</a:t>
                </a:r>
              </a:p>
            </c:rich>
          </c:tx>
          <c:layout>
            <c:manualLayout>
              <c:xMode val="edge"/>
              <c:yMode val="edge"/>
              <c:x val="2.8798185941043084E-3"/>
              <c:y val="0.30105355355355357"/>
            </c:manualLayout>
          </c:layout>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84640"/>
        <c:crosses val="autoZero"/>
        <c:crossBetween val="between"/>
      </c:valAx>
      <c:spPr>
        <a:noFill/>
      </c:spPr>
    </c:plotArea>
    <c:legend>
      <c:legendPos val="b"/>
      <c:layout>
        <c:manualLayout>
          <c:xMode val="edge"/>
          <c:yMode val="edge"/>
          <c:x val="0.11079160997732428"/>
          <c:y val="0.9068623623623624"/>
          <c:w val="0.77841655328798187"/>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Technology Load February 20 - February 21</a:t>
            </a:r>
          </a:p>
        </c:rich>
      </c:tx>
      <c:layout>
        <c:manualLayout>
          <c:xMode val="edge"/>
          <c:yMode val="edge"/>
          <c:x val="2.8292517006802717E-3"/>
          <c:y val="3.5115115115115125E-3"/>
        </c:manualLayout>
      </c:layout>
      <c:overlay val="0"/>
    </c:title>
    <c:autoTitleDeleted val="0"/>
    <c:plotArea>
      <c:layout>
        <c:manualLayout>
          <c:layoutTarget val="inner"/>
          <c:xMode val="edge"/>
          <c:yMode val="edge"/>
          <c:x val="7.2687448381552722E-2"/>
          <c:y val="0.20206092011000867"/>
          <c:w val="0.8964017291559665"/>
          <c:h val="0.59676929543387214"/>
        </c:manualLayout>
      </c:layout>
      <c:barChart>
        <c:barDir val="col"/>
        <c:grouping val="stacked"/>
        <c:varyColors val="0"/>
        <c:ser>
          <c:idx val="0"/>
          <c:order val="0"/>
          <c:tx>
            <c:strRef>
              <c:f>'[5]12 Monthly Graph'!$C$1</c:f>
              <c:strCache>
                <c:ptCount val="1"/>
                <c:pt idx="0">
                  <c:v>Load (kW)</c:v>
                </c:pt>
              </c:strCache>
            </c:strRef>
          </c:tx>
          <c:spPr>
            <a:solidFill>
              <a:schemeClr val="tx1"/>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Graph'!$C$2:$C$98</c:f>
              <c:numCache>
                <c:formatCode>General</c:formatCode>
                <c:ptCount val="97"/>
                <c:pt idx="0">
                  <c:v>368.31099999999998</c:v>
                </c:pt>
                <c:pt idx="1">
                  <c:v>369</c:v>
                </c:pt>
                <c:pt idx="2">
                  <c:v>368.96499999999997</c:v>
                </c:pt>
                <c:pt idx="3">
                  <c:v>375.0145</c:v>
                </c:pt>
                <c:pt idx="4">
                  <c:v>375.77749999999997</c:v>
                </c:pt>
                <c:pt idx="5">
                  <c:v>379.75599999999997</c:v>
                </c:pt>
                <c:pt idx="6">
                  <c:v>381.28199999999998</c:v>
                </c:pt>
                <c:pt idx="7">
                  <c:v>419.26850000000002</c:v>
                </c:pt>
                <c:pt idx="8">
                  <c:v>411.4205</c:v>
                </c:pt>
                <c:pt idx="9">
                  <c:v>411.911</c:v>
                </c:pt>
                <c:pt idx="10">
                  <c:v>409.45850000000002</c:v>
                </c:pt>
                <c:pt idx="11">
                  <c:v>412.02</c:v>
                </c:pt>
                <c:pt idx="12">
                  <c:v>402.21</c:v>
                </c:pt>
                <c:pt idx="14">
                  <c:v>344.87599999999998</c:v>
                </c:pt>
                <c:pt idx="15">
                  <c:v>346</c:v>
                </c:pt>
                <c:pt idx="16">
                  <c:v>344.65800000000002</c:v>
                </c:pt>
                <c:pt idx="17">
                  <c:v>346.02050000000003</c:v>
                </c:pt>
                <c:pt idx="18">
                  <c:v>347.16500000000002</c:v>
                </c:pt>
                <c:pt idx="19">
                  <c:v>351.19799999999998</c:v>
                </c:pt>
                <c:pt idx="20">
                  <c:v>352.56049999999999</c:v>
                </c:pt>
                <c:pt idx="21">
                  <c:v>377.19450000000001</c:v>
                </c:pt>
                <c:pt idx="22">
                  <c:v>380.13749999999999</c:v>
                </c:pt>
                <c:pt idx="23">
                  <c:v>383.40750000000003</c:v>
                </c:pt>
                <c:pt idx="24">
                  <c:v>379.15649999999999</c:v>
                </c:pt>
                <c:pt idx="25">
                  <c:v>377.46699999999998</c:v>
                </c:pt>
                <c:pt idx="26">
                  <c:v>380.51900000000001</c:v>
                </c:pt>
                <c:pt idx="28">
                  <c:v>309.81799999999998</c:v>
                </c:pt>
                <c:pt idx="29">
                  <c:v>310</c:v>
                </c:pt>
                <c:pt idx="30">
                  <c:v>318.15649999999999</c:v>
                </c:pt>
                <c:pt idx="31">
                  <c:v>317.012</c:v>
                </c:pt>
                <c:pt idx="32">
                  <c:v>322.73450000000003</c:v>
                </c:pt>
                <c:pt idx="33">
                  <c:v>321.20850000000002</c:v>
                </c:pt>
                <c:pt idx="34">
                  <c:v>324.642</c:v>
                </c:pt>
                <c:pt idx="35">
                  <c:v>324.69650000000001</c:v>
                </c:pt>
                <c:pt idx="36">
                  <c:v>328.40249999999997</c:v>
                </c:pt>
                <c:pt idx="37">
                  <c:v>376.79849999999999</c:v>
                </c:pt>
                <c:pt idx="38">
                  <c:v>374.23700000000002</c:v>
                </c:pt>
                <c:pt idx="39">
                  <c:v>367.37</c:v>
                </c:pt>
                <c:pt idx="40">
                  <c:v>370.47649999999999</c:v>
                </c:pt>
                <c:pt idx="42">
                  <c:v>211.24199999999999</c:v>
                </c:pt>
                <c:pt idx="43">
                  <c:v>207</c:v>
                </c:pt>
                <c:pt idx="44">
                  <c:v>208.3535</c:v>
                </c:pt>
                <c:pt idx="45">
                  <c:v>210.04300000000001</c:v>
                </c:pt>
                <c:pt idx="46">
                  <c:v>239.364</c:v>
                </c:pt>
                <c:pt idx="47">
                  <c:v>240</c:v>
                </c:pt>
                <c:pt idx="48">
                  <c:v>247.04849999999999</c:v>
                </c:pt>
                <c:pt idx="49">
                  <c:v>246.1765</c:v>
                </c:pt>
                <c:pt idx="50">
                  <c:v>248.35650000000001</c:v>
                </c:pt>
                <c:pt idx="51">
                  <c:v>251.46299999999999</c:v>
                </c:pt>
                <c:pt idx="52">
                  <c:v>249.44649999999999</c:v>
                </c:pt>
                <c:pt idx="53">
                  <c:v>245.7405</c:v>
                </c:pt>
                <c:pt idx="54">
                  <c:v>286.452</c:v>
                </c:pt>
                <c:pt idx="56">
                  <c:v>267.94550000000004</c:v>
                </c:pt>
                <c:pt idx="57">
                  <c:v>268</c:v>
                </c:pt>
                <c:pt idx="58">
                  <c:v>266.85550000000001</c:v>
                </c:pt>
                <c:pt idx="59">
                  <c:v>265.43849999999998</c:v>
                </c:pt>
                <c:pt idx="60">
                  <c:v>264.512</c:v>
                </c:pt>
                <c:pt idx="61">
                  <c:v>265.11149999999998</c:v>
                </c:pt>
                <c:pt idx="62">
                  <c:v>266.52850000000001</c:v>
                </c:pt>
                <c:pt idx="63">
                  <c:v>267.23699999999997</c:v>
                </c:pt>
                <c:pt idx="64">
                  <c:v>266.58299999999997</c:v>
                </c:pt>
                <c:pt idx="65">
                  <c:v>280.75299999999999</c:v>
                </c:pt>
                <c:pt idx="66">
                  <c:v>289.69100000000003</c:v>
                </c:pt>
                <c:pt idx="67">
                  <c:v>289.03700000000003</c:v>
                </c:pt>
                <c:pt idx="68">
                  <c:v>299.82799999999997</c:v>
                </c:pt>
                <c:pt idx="70">
                  <c:v>146</c:v>
                </c:pt>
                <c:pt idx="71">
                  <c:v>147</c:v>
                </c:pt>
                <c:pt idx="72">
                  <c:v>147</c:v>
                </c:pt>
                <c:pt idx="73">
                  <c:v>147</c:v>
                </c:pt>
                <c:pt idx="74">
                  <c:v>145</c:v>
                </c:pt>
                <c:pt idx="75">
                  <c:v>145</c:v>
                </c:pt>
                <c:pt idx="76">
                  <c:v>146</c:v>
                </c:pt>
                <c:pt idx="77">
                  <c:v>147</c:v>
                </c:pt>
                <c:pt idx="78">
                  <c:v>147</c:v>
                </c:pt>
                <c:pt idx="79">
                  <c:v>146</c:v>
                </c:pt>
                <c:pt idx="80">
                  <c:v>146</c:v>
                </c:pt>
                <c:pt idx="81">
                  <c:v>156</c:v>
                </c:pt>
                <c:pt idx="82">
                  <c:v>158.70400000000001</c:v>
                </c:pt>
                <c:pt idx="84">
                  <c:v>204</c:v>
                </c:pt>
                <c:pt idx="85">
                  <c:v>205</c:v>
                </c:pt>
                <c:pt idx="86">
                  <c:v>208</c:v>
                </c:pt>
                <c:pt idx="87">
                  <c:v>208</c:v>
                </c:pt>
                <c:pt idx="88">
                  <c:v>204</c:v>
                </c:pt>
                <c:pt idx="89">
                  <c:v>204</c:v>
                </c:pt>
                <c:pt idx="90">
                  <c:v>203</c:v>
                </c:pt>
                <c:pt idx="91">
                  <c:v>203</c:v>
                </c:pt>
                <c:pt idx="92">
                  <c:v>205</c:v>
                </c:pt>
                <c:pt idx="93">
                  <c:v>197</c:v>
                </c:pt>
                <c:pt idx="94">
                  <c:v>209</c:v>
                </c:pt>
                <c:pt idx="95">
                  <c:v>208</c:v>
                </c:pt>
                <c:pt idx="96">
                  <c:v>207.42699999999999</c:v>
                </c:pt>
              </c:numCache>
            </c:numRef>
          </c:val>
          <c:extLst>
            <c:ext xmlns:c16="http://schemas.microsoft.com/office/drawing/2014/chart" uri="{C3380CC4-5D6E-409C-BE32-E72D297353CC}">
              <c16:uniqueId val="{00000000-8814-44F8-9BD4-110CF44AD7CE}"/>
            </c:ext>
          </c:extLst>
        </c:ser>
        <c:ser>
          <c:idx val="1"/>
          <c:order val="1"/>
          <c:tx>
            <c:strRef>
              <c:f>'[5]12 Monthly Graph'!$D$1</c:f>
              <c:strCache>
                <c:ptCount val="1"/>
                <c:pt idx="0">
                  <c:v>Power Capability (kW)</c:v>
                </c:pt>
              </c:strCache>
            </c:strRef>
          </c:tx>
          <c:spPr>
            <a:solidFill>
              <a:srgbClr val="92D050"/>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Graph'!$D$2:$D$98</c:f>
              <c:numCache>
                <c:formatCode>General</c:formatCode>
                <c:ptCount val="97"/>
                <c:pt idx="0">
                  <c:v>135.68900000000002</c:v>
                </c:pt>
                <c:pt idx="1">
                  <c:v>135</c:v>
                </c:pt>
                <c:pt idx="2">
                  <c:v>135.03500000000003</c:v>
                </c:pt>
                <c:pt idx="3">
                  <c:v>128.9855</c:v>
                </c:pt>
                <c:pt idx="4">
                  <c:v>128.22250000000003</c:v>
                </c:pt>
                <c:pt idx="5">
                  <c:v>124.24400000000003</c:v>
                </c:pt>
                <c:pt idx="6">
                  <c:v>122.71800000000002</c:v>
                </c:pt>
                <c:pt idx="7">
                  <c:v>84.731499999999983</c:v>
                </c:pt>
                <c:pt idx="8">
                  <c:v>92.579499999999996</c:v>
                </c:pt>
                <c:pt idx="9">
                  <c:v>92.088999999999999</c:v>
                </c:pt>
                <c:pt idx="10">
                  <c:v>94.541499999999985</c:v>
                </c:pt>
                <c:pt idx="11">
                  <c:v>91.980000000000018</c:v>
                </c:pt>
                <c:pt idx="12">
                  <c:v>101.79000000000002</c:v>
                </c:pt>
                <c:pt idx="14">
                  <c:v>62.124000000000024</c:v>
                </c:pt>
                <c:pt idx="15">
                  <c:v>61</c:v>
                </c:pt>
                <c:pt idx="16">
                  <c:v>62.341999999999985</c:v>
                </c:pt>
                <c:pt idx="17">
                  <c:v>60.979499999999973</c:v>
                </c:pt>
                <c:pt idx="18">
                  <c:v>59.83499999999998</c:v>
                </c:pt>
                <c:pt idx="19">
                  <c:v>55.802000000000021</c:v>
                </c:pt>
                <c:pt idx="20">
                  <c:v>54.43950000000001</c:v>
                </c:pt>
                <c:pt idx="21">
                  <c:v>29.805499999999995</c:v>
                </c:pt>
                <c:pt idx="22">
                  <c:v>26.862500000000011</c:v>
                </c:pt>
                <c:pt idx="23">
                  <c:v>23.592499999999973</c:v>
                </c:pt>
                <c:pt idx="24">
                  <c:v>27.843500000000006</c:v>
                </c:pt>
                <c:pt idx="25">
                  <c:v>29.533000000000015</c:v>
                </c:pt>
                <c:pt idx="26">
                  <c:v>26.480999999999995</c:v>
                </c:pt>
                <c:pt idx="28">
                  <c:v>97.182000000000016</c:v>
                </c:pt>
                <c:pt idx="29">
                  <c:v>97</c:v>
                </c:pt>
                <c:pt idx="30">
                  <c:v>88.843500000000006</c:v>
                </c:pt>
                <c:pt idx="31">
                  <c:v>89.988</c:v>
                </c:pt>
                <c:pt idx="32">
                  <c:v>84.265499999999975</c:v>
                </c:pt>
                <c:pt idx="33">
                  <c:v>85.791499999999985</c:v>
                </c:pt>
                <c:pt idx="34">
                  <c:v>82.358000000000004</c:v>
                </c:pt>
                <c:pt idx="35">
                  <c:v>82.303499999999985</c:v>
                </c:pt>
                <c:pt idx="36">
                  <c:v>78.597500000000025</c:v>
                </c:pt>
                <c:pt idx="37">
                  <c:v>30.20150000000001</c:v>
                </c:pt>
                <c:pt idx="38">
                  <c:v>32.762999999999977</c:v>
                </c:pt>
                <c:pt idx="39">
                  <c:v>39.629999999999995</c:v>
                </c:pt>
                <c:pt idx="40">
                  <c:v>36.523500000000013</c:v>
                </c:pt>
                <c:pt idx="42">
                  <c:v>50.75800000000001</c:v>
                </c:pt>
                <c:pt idx="43">
                  <c:v>55</c:v>
                </c:pt>
                <c:pt idx="44">
                  <c:v>53.646500000000003</c:v>
                </c:pt>
                <c:pt idx="45">
                  <c:v>51.956999999999994</c:v>
                </c:pt>
                <c:pt idx="46">
                  <c:v>22.635999999999996</c:v>
                </c:pt>
                <c:pt idx="47">
                  <c:v>22</c:v>
                </c:pt>
                <c:pt idx="48">
                  <c:v>14.95150000000001</c:v>
                </c:pt>
                <c:pt idx="49">
                  <c:v>15.823499999999996</c:v>
                </c:pt>
                <c:pt idx="50">
                  <c:v>13.643499999999989</c:v>
                </c:pt>
                <c:pt idx="51">
                  <c:v>10.537000000000006</c:v>
                </c:pt>
                <c:pt idx="52">
                  <c:v>12.553500000000014</c:v>
                </c:pt>
                <c:pt idx="53">
                  <c:v>132.2595</c:v>
                </c:pt>
                <c:pt idx="54">
                  <c:v>91.548000000000002</c:v>
                </c:pt>
                <c:pt idx="56">
                  <c:v>182.05449999999996</c:v>
                </c:pt>
                <c:pt idx="57">
                  <c:v>182</c:v>
                </c:pt>
                <c:pt idx="58">
                  <c:v>183.14449999999999</c:v>
                </c:pt>
                <c:pt idx="59">
                  <c:v>184.56150000000002</c:v>
                </c:pt>
                <c:pt idx="60">
                  <c:v>185.488</c:v>
                </c:pt>
                <c:pt idx="61">
                  <c:v>184.88850000000002</c:v>
                </c:pt>
                <c:pt idx="62">
                  <c:v>183.47149999999999</c:v>
                </c:pt>
                <c:pt idx="63">
                  <c:v>182.76300000000003</c:v>
                </c:pt>
                <c:pt idx="64">
                  <c:v>183.41700000000003</c:v>
                </c:pt>
                <c:pt idx="65">
                  <c:v>169.24700000000001</c:v>
                </c:pt>
                <c:pt idx="66">
                  <c:v>160.30899999999997</c:v>
                </c:pt>
                <c:pt idx="67">
                  <c:v>160.96299999999997</c:v>
                </c:pt>
                <c:pt idx="68">
                  <c:v>150.17200000000003</c:v>
                </c:pt>
                <c:pt idx="70">
                  <c:v>154</c:v>
                </c:pt>
                <c:pt idx="71">
                  <c:v>153</c:v>
                </c:pt>
                <c:pt idx="72">
                  <c:v>153</c:v>
                </c:pt>
                <c:pt idx="73">
                  <c:v>153</c:v>
                </c:pt>
                <c:pt idx="74">
                  <c:v>155</c:v>
                </c:pt>
                <c:pt idx="75">
                  <c:v>155</c:v>
                </c:pt>
                <c:pt idx="76">
                  <c:v>154</c:v>
                </c:pt>
                <c:pt idx="77">
                  <c:v>153</c:v>
                </c:pt>
                <c:pt idx="78">
                  <c:v>153</c:v>
                </c:pt>
                <c:pt idx="79">
                  <c:v>154</c:v>
                </c:pt>
                <c:pt idx="80">
                  <c:v>154</c:v>
                </c:pt>
                <c:pt idx="81">
                  <c:v>144</c:v>
                </c:pt>
                <c:pt idx="82">
                  <c:v>141.29599999999999</c:v>
                </c:pt>
                <c:pt idx="84">
                  <c:v>246</c:v>
                </c:pt>
                <c:pt idx="85">
                  <c:v>245</c:v>
                </c:pt>
                <c:pt idx="86">
                  <c:v>242</c:v>
                </c:pt>
                <c:pt idx="87">
                  <c:v>242</c:v>
                </c:pt>
                <c:pt idx="88">
                  <c:v>246</c:v>
                </c:pt>
                <c:pt idx="89">
                  <c:v>246</c:v>
                </c:pt>
                <c:pt idx="90">
                  <c:v>247</c:v>
                </c:pt>
                <c:pt idx="91">
                  <c:v>247</c:v>
                </c:pt>
                <c:pt idx="92">
                  <c:v>245</c:v>
                </c:pt>
                <c:pt idx="93">
                  <c:v>253</c:v>
                </c:pt>
                <c:pt idx="94">
                  <c:v>241</c:v>
                </c:pt>
                <c:pt idx="95">
                  <c:v>242</c:v>
                </c:pt>
                <c:pt idx="96">
                  <c:v>242.57300000000001</c:v>
                </c:pt>
              </c:numCache>
            </c:numRef>
          </c:val>
          <c:extLst>
            <c:ext xmlns:c16="http://schemas.microsoft.com/office/drawing/2014/chart" uri="{C3380CC4-5D6E-409C-BE32-E72D297353CC}">
              <c16:uniqueId val="{00000001-8814-44F8-9BD4-110CF44AD7CE}"/>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numFmt formatCode="General"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layout>
        <c:manualLayout>
          <c:xMode val="edge"/>
          <c:yMode val="edge"/>
          <c:x val="0.3556183673469388"/>
          <c:y val="0.91957507507507508"/>
          <c:w val="0.29452290249433105"/>
          <c:h val="8.0424924924924923E-2"/>
        </c:manualLayout>
      </c:layout>
      <c:overlay val="0"/>
    </c:legend>
    <c:plotVisOnly val="1"/>
    <c:dispBlanksAs val="gap"/>
    <c:showDLblsOverMax val="0"/>
  </c:chart>
  <c:spPr>
    <a:ln>
      <a:solidFill>
        <a:sysClr val="windowText" lastClr="000000"/>
      </a:solidFill>
    </a:ln>
  </c:spPr>
  <c:txPr>
    <a:bodyPr/>
    <a:lstStyle/>
    <a:p>
      <a:pPr>
        <a:defRPr sz="6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720"/>
            </a:pPr>
            <a:r>
              <a:rPr lang="en-US" sz="720"/>
              <a:t>NFV Sites Switch room</a:t>
            </a:r>
            <a:r>
              <a:rPr lang="en-US" sz="720" baseline="0"/>
              <a:t> Usable Space</a:t>
            </a:r>
            <a:endParaRPr lang="en-US" sz="720"/>
          </a:p>
        </c:rich>
      </c:tx>
      <c:layout>
        <c:manualLayout>
          <c:xMode val="edge"/>
          <c:yMode val="edge"/>
          <c:x val="6.8351473922902495E-3"/>
          <c:y val="0"/>
        </c:manualLayout>
      </c:layout>
      <c:overlay val="0"/>
    </c:title>
    <c:autoTitleDeleted val="0"/>
    <c:plotArea>
      <c:layout>
        <c:manualLayout>
          <c:layoutTarget val="inner"/>
          <c:xMode val="edge"/>
          <c:yMode val="edge"/>
          <c:x val="8.3457142857142855E-2"/>
          <c:y val="0.14535769451298569"/>
          <c:w val="0.88899501133786862"/>
          <c:h val="0.67195917681925943"/>
        </c:manualLayout>
      </c:layout>
      <c:barChart>
        <c:barDir val="col"/>
        <c:grouping val="stacked"/>
        <c:varyColors val="0"/>
        <c:ser>
          <c:idx val="0"/>
          <c:order val="0"/>
          <c:tx>
            <c:strRef>
              <c:f>'[5]Cab Floorspace'!$J$21</c:f>
              <c:strCache>
                <c:ptCount val="1"/>
                <c:pt idx="0">
                  <c:v>Used (m²) </c:v>
                </c:pt>
              </c:strCache>
            </c:strRef>
          </c:tx>
          <c:spPr>
            <a:solidFill>
              <a:schemeClr val="tx1"/>
            </a:solidFill>
            <a:ln>
              <a:solidFill>
                <a:schemeClr val="tx1"/>
              </a:solidFill>
            </a:ln>
          </c:spPr>
          <c:invertIfNegative val="0"/>
          <c:cat>
            <c:strRef>
              <c:f>'[6]Cab Floorspace'!$A$22:$A$33</c:f>
              <c:strCache>
                <c:ptCount val="12"/>
              </c:strCache>
            </c:strRef>
          </c:cat>
          <c:val>
            <c:numRef>
              <c:f>'[6]Cab Floorspace'!$J$22:$J$33</c:f>
              <c:numCache>
                <c:formatCode>General</c:formatCode>
                <c:ptCount val="12"/>
              </c:numCache>
            </c:numRef>
          </c:val>
          <c:extLst>
            <c:ext xmlns:c16="http://schemas.microsoft.com/office/drawing/2014/chart" uri="{C3380CC4-5D6E-409C-BE32-E72D297353CC}">
              <c16:uniqueId val="{00000000-E31C-4AB4-829E-F7322F70942B}"/>
            </c:ext>
          </c:extLst>
        </c:ser>
        <c:ser>
          <c:idx val="2"/>
          <c:order val="1"/>
          <c:tx>
            <c:strRef>
              <c:f>'[5]Cab Floorspace'!$L$21</c:f>
              <c:strCache>
                <c:ptCount val="1"/>
                <c:pt idx="0">
                  <c:v>Forecast (m²) </c:v>
                </c:pt>
              </c:strCache>
            </c:strRef>
          </c:tx>
          <c:spPr>
            <a:solidFill>
              <a:srgbClr val="FFC000"/>
            </a:solidFill>
            <a:ln>
              <a:solidFill>
                <a:srgbClr val="FFC000"/>
              </a:solidFill>
            </a:ln>
          </c:spPr>
          <c:invertIfNegative val="0"/>
          <c:cat>
            <c:strRef>
              <c:f>'[6]Cab Floorspace'!$A$22:$A$33</c:f>
              <c:strCache>
                <c:ptCount val="12"/>
              </c:strCache>
            </c:strRef>
          </c:cat>
          <c:val>
            <c:numRef>
              <c:f>'[6]Cab Floorspace'!$L$22:$L$33</c:f>
              <c:numCache>
                <c:formatCode>General</c:formatCode>
                <c:ptCount val="12"/>
              </c:numCache>
            </c:numRef>
          </c:val>
          <c:extLst>
            <c:ext xmlns:c16="http://schemas.microsoft.com/office/drawing/2014/chart" uri="{C3380CC4-5D6E-409C-BE32-E72D297353CC}">
              <c16:uniqueId val="{00000001-E31C-4AB4-829E-F7322F70942B}"/>
            </c:ext>
          </c:extLst>
        </c:ser>
        <c:ser>
          <c:idx val="1"/>
          <c:order val="2"/>
          <c:tx>
            <c:strRef>
              <c:f>'[5]Cab Floorspace'!$K$21</c:f>
              <c:strCache>
                <c:ptCount val="1"/>
                <c:pt idx="0">
                  <c:v>Reserved (m²)</c:v>
                </c:pt>
              </c:strCache>
            </c:strRef>
          </c:tx>
          <c:spPr>
            <a:solidFill>
              <a:srgbClr val="C00000"/>
            </a:solidFill>
            <a:ln>
              <a:solidFill>
                <a:srgbClr val="C00000"/>
              </a:solidFill>
            </a:ln>
          </c:spPr>
          <c:invertIfNegative val="0"/>
          <c:cat>
            <c:strRef>
              <c:f>'[6]Cab Floorspace'!$A$22:$A$33</c:f>
              <c:strCache>
                <c:ptCount val="12"/>
              </c:strCache>
            </c:strRef>
          </c:cat>
          <c:val>
            <c:numRef>
              <c:f>'[6]Cab Floorspace'!$K$22:$K$33</c:f>
              <c:numCache>
                <c:formatCode>General</c:formatCode>
                <c:ptCount val="12"/>
              </c:numCache>
            </c:numRef>
          </c:val>
          <c:extLst>
            <c:ext xmlns:c16="http://schemas.microsoft.com/office/drawing/2014/chart" uri="{C3380CC4-5D6E-409C-BE32-E72D297353CC}">
              <c16:uniqueId val="{00000002-E31C-4AB4-829E-F7322F70942B}"/>
            </c:ext>
          </c:extLst>
        </c:ser>
        <c:ser>
          <c:idx val="3"/>
          <c:order val="3"/>
          <c:tx>
            <c:strRef>
              <c:f>'[5]Cab Floorspace'!$O$21</c:f>
              <c:strCache>
                <c:ptCount val="1"/>
                <c:pt idx="0">
                  <c:v>Remaining (m²) </c:v>
                </c:pt>
              </c:strCache>
            </c:strRef>
          </c:tx>
          <c:spPr>
            <a:solidFill>
              <a:srgbClr val="92D050"/>
            </a:solidFill>
            <a:ln>
              <a:solidFill>
                <a:srgbClr val="92D050"/>
              </a:solidFill>
            </a:ln>
          </c:spPr>
          <c:invertIfNegative val="0"/>
          <c:cat>
            <c:strRef>
              <c:f>'[6]Cab Floorspace'!$A$22:$A$33</c:f>
              <c:strCache>
                <c:ptCount val="12"/>
              </c:strCache>
            </c:strRef>
          </c:cat>
          <c:val>
            <c:numRef>
              <c:f>'[6]Cab Floorspace'!$O$22:$O$33</c:f>
              <c:numCache>
                <c:formatCode>General</c:formatCode>
                <c:ptCount val="12"/>
              </c:numCache>
            </c:numRef>
          </c:val>
          <c:extLst>
            <c:ext xmlns:c16="http://schemas.microsoft.com/office/drawing/2014/chart" uri="{C3380CC4-5D6E-409C-BE32-E72D297353CC}">
              <c16:uniqueId val="{00000003-E31C-4AB4-829E-F7322F70942B}"/>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614464"/>
        <c:crosses val="autoZero"/>
        <c:auto val="1"/>
        <c:lblAlgn val="ctr"/>
        <c:lblOffset val="100"/>
        <c:tickLblSkip val="1"/>
        <c:noMultiLvlLbl val="0"/>
      </c:catAx>
      <c:valAx>
        <c:axId val="205614464"/>
        <c:scaling>
          <c:orientation val="minMax"/>
        </c:scaling>
        <c:delete val="0"/>
        <c:axPos val="l"/>
        <c:title>
          <c:tx>
            <c:rich>
              <a:bodyPr/>
              <a:lstStyle/>
              <a:p>
                <a:pPr>
                  <a:defRPr sz="800"/>
                </a:pPr>
                <a:r>
                  <a:rPr lang="en-GB" sz="800" b="1" i="0" baseline="0">
                    <a:effectLst/>
                  </a:rPr>
                  <a:t>m²</a:t>
                </a:r>
                <a:endParaRPr lang="en-GB" sz="800">
                  <a:effectLst/>
                </a:endParaRPr>
              </a:p>
            </c:rich>
          </c:tx>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612928"/>
        <c:crosses val="autoZero"/>
        <c:crossBetween val="between"/>
      </c:valAx>
      <c:spPr>
        <a:noFill/>
      </c:spPr>
    </c:plotArea>
    <c:legend>
      <c:legendPos val="b"/>
      <c:layout>
        <c:manualLayout>
          <c:xMode val="edge"/>
          <c:yMode val="edge"/>
          <c:x val="0.24118390022675737"/>
          <c:y val="0.91957507507507508"/>
          <c:w val="0.51763219954648521"/>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Anaylsis'!$C$15</c:f>
              <c:strCache>
                <c:ptCount val="1"/>
                <c:pt idx="0">
                  <c:v> % of Total Site Load</c:v>
                </c:pt>
              </c:strCache>
            </c:strRef>
          </c:tx>
          <c:invertIfNegative val="0"/>
          <c:cat>
            <c:strRef>
              <c:f>'Dual Running Anaylsis'!$D$3:$Q$3</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Anaylsis'!$D$15:$Q$15</c:f>
              <c:numCache>
                <c:formatCode>0%</c:formatCode>
                <c:ptCount val="14"/>
                <c:pt idx="0">
                  <c:v>0.1932667051247888</c:v>
                </c:pt>
                <c:pt idx="1">
                  <c:v>0.2020089008229532</c:v>
                </c:pt>
                <c:pt idx="2">
                  <c:v>0.25702352479206081</c:v>
                </c:pt>
                <c:pt idx="3">
                  <c:v>0.42567015044079265</c:v>
                </c:pt>
                <c:pt idx="4">
                  <c:v>0.2360232701461159</c:v>
                </c:pt>
                <c:pt idx="5">
                  <c:v>0.25047123915828817</c:v>
                </c:pt>
                <c:pt idx="6">
                  <c:v>0.31077106239932767</c:v>
                </c:pt>
                <c:pt idx="7">
                  <c:v>0.21312007794105708</c:v>
                </c:pt>
                <c:pt idx="8">
                  <c:v>0.32737113061844103</c:v>
                </c:pt>
                <c:pt idx="9">
                  <c:v>0.2664439099563608</c:v>
                </c:pt>
                <c:pt idx="10">
                  <c:v>0.21613102943659593</c:v>
                </c:pt>
                <c:pt idx="11">
                  <c:v>0.396155966604052</c:v>
                </c:pt>
                <c:pt idx="12">
                  <c:v>0.35666871420928525</c:v>
                </c:pt>
                <c:pt idx="13">
                  <c:v>0.25295027581308921</c:v>
                </c:pt>
              </c:numCache>
            </c:numRef>
          </c:val>
          <c:extLst>
            <c:ext xmlns:c16="http://schemas.microsoft.com/office/drawing/2014/chart" uri="{C3380CC4-5D6E-409C-BE32-E72D297353CC}">
              <c16:uniqueId val="{00000000-7003-4EA8-8F0A-7B357471EDEC}"/>
            </c:ext>
          </c:extLst>
        </c:ser>
        <c:dLbls>
          <c:showLegendKey val="0"/>
          <c:showVal val="0"/>
          <c:showCatName val="0"/>
          <c:showSerName val="0"/>
          <c:showPercent val="0"/>
          <c:showBubbleSize val="0"/>
        </c:dLbls>
        <c:gapWidth val="150"/>
        <c:shape val="box"/>
        <c:axId val="141804288"/>
        <c:axId val="141805824"/>
        <c:axId val="0"/>
      </c:bar3DChart>
      <c:catAx>
        <c:axId val="14180428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5824"/>
        <c:crosses val="autoZero"/>
        <c:auto val="1"/>
        <c:lblAlgn val="ctr"/>
        <c:lblOffset val="100"/>
        <c:noMultiLvlLbl val="0"/>
      </c:catAx>
      <c:valAx>
        <c:axId val="141805824"/>
        <c:scaling>
          <c:orientation val="minMax"/>
        </c:scaling>
        <c:delete val="0"/>
        <c:axPos val="l"/>
        <c:majorGridlines/>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4288"/>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Anaylsis'!$S$3</c:f>
              <c:strCache>
                <c:ptCount val="1"/>
                <c:pt idx="0">
                  <c:v>% of Type A Acutal Usage</c:v>
                </c:pt>
              </c:strCache>
            </c:strRef>
          </c:tx>
          <c:invertIfNegative val="0"/>
          <c:cat>
            <c:strRef>
              <c:f>'Dual Running Anaylsis'!$A$4:$A$12</c:f>
              <c:strCache>
                <c:ptCount val="9"/>
                <c:pt idx="0">
                  <c:v>NGVM Core</c:v>
                </c:pt>
                <c:pt idx="1">
                  <c:v>BBNS</c:v>
                </c:pt>
                <c:pt idx="2">
                  <c:v>RNC's</c:v>
                </c:pt>
                <c:pt idx="3">
                  <c:v>BSC's</c:v>
                </c:pt>
                <c:pt idx="4">
                  <c:v>SMS</c:v>
                </c:pt>
                <c:pt idx="5">
                  <c:v>Legacy IN</c:v>
                </c:pt>
                <c:pt idx="6">
                  <c:v>CHE</c:v>
                </c:pt>
                <c:pt idx="7">
                  <c:v>VML</c:v>
                </c:pt>
                <c:pt idx="8">
                  <c:v>CPN</c:v>
                </c:pt>
              </c:strCache>
            </c:strRef>
          </c:cat>
          <c:val>
            <c:numRef>
              <c:f>'Dual Running Anaylsis'!$S$4:$S$12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2F0-4D6C-A863-3429A3F20B5F}"/>
            </c:ext>
          </c:extLst>
        </c:ser>
        <c:dLbls>
          <c:showLegendKey val="0"/>
          <c:showVal val="0"/>
          <c:showCatName val="0"/>
          <c:showSerName val="0"/>
          <c:showPercent val="0"/>
          <c:showBubbleSize val="0"/>
        </c:dLbls>
        <c:gapWidth val="150"/>
        <c:shape val="box"/>
        <c:axId val="141841152"/>
        <c:axId val="141842688"/>
        <c:axId val="0"/>
      </c:bar3DChart>
      <c:catAx>
        <c:axId val="14184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41842688"/>
        <c:crosses val="autoZero"/>
        <c:auto val="1"/>
        <c:lblAlgn val="ctr"/>
        <c:lblOffset val="100"/>
        <c:noMultiLvlLbl val="0"/>
      </c:catAx>
      <c:valAx>
        <c:axId val="1418426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41152"/>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Calibri"/>
                <a:ea typeface="Calibri"/>
                <a:cs typeface="Calibri"/>
              </a:defRPr>
            </a:pPr>
            <a:r>
              <a:rPr lang="en-GB"/>
              <a:t>Dual Running Within Total Site Load</a:t>
            </a:r>
          </a:p>
        </c:rich>
      </c:tx>
      <c:layout>
        <c:manualLayout>
          <c:xMode val="edge"/>
          <c:yMode val="edge"/>
          <c:x val="0.32559037087979309"/>
          <c:y val="4.4247787610619468E-2"/>
        </c:manualLayout>
      </c:layout>
      <c:overlay val="0"/>
    </c:title>
    <c:autoTitleDeleted val="0"/>
    <c:view3D>
      <c:rotX val="15"/>
      <c:rotY val="20"/>
      <c:depthPercent val="100"/>
      <c:rAngAx val="1"/>
    </c:view3D>
    <c:floor>
      <c:thickness val="0"/>
    </c:floor>
    <c:sideWall>
      <c:thickness val="0"/>
    </c:sideWall>
    <c:backWall>
      <c:thickness val="0"/>
    </c:backWall>
    <c:plotArea>
      <c:layout>
        <c:manualLayout>
          <c:layoutTarget val="inner"/>
          <c:xMode val="edge"/>
          <c:yMode val="edge"/>
          <c:x val="9.1987999617990035E-2"/>
          <c:y val="0.15901209933790897"/>
          <c:w val="0.72408078852125923"/>
          <c:h val="0.76303644060965392"/>
        </c:manualLayout>
      </c:layout>
      <c:bar3DChart>
        <c:barDir val="col"/>
        <c:grouping val="stacked"/>
        <c:varyColors val="0"/>
        <c:ser>
          <c:idx val="0"/>
          <c:order val="0"/>
          <c:tx>
            <c:strRef>
              <c:f>'Dual Running Anaylsis'!$C$45</c:f>
              <c:strCache>
                <c:ptCount val="1"/>
                <c:pt idx="0">
                  <c:v>Dual Running (kW)</c:v>
                </c:pt>
              </c:strCache>
            </c:strRef>
          </c:tx>
          <c:spPr>
            <a:solidFill>
              <a:schemeClr val="accent1">
                <a:lumMod val="75000"/>
              </a:schemeClr>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Anaylsis'!$D$45:$Q$45</c:f>
              <c:numCache>
                <c:formatCode>General</c:formatCode>
                <c:ptCount val="14"/>
                <c:pt idx="0">
                  <c:v>33</c:v>
                </c:pt>
                <c:pt idx="1">
                  <c:v>65</c:v>
                </c:pt>
                <c:pt idx="2">
                  <c:v>36</c:v>
                </c:pt>
                <c:pt idx="3">
                  <c:v>57</c:v>
                </c:pt>
                <c:pt idx="4">
                  <c:v>27</c:v>
                </c:pt>
                <c:pt idx="5">
                  <c:v>39</c:v>
                </c:pt>
                <c:pt idx="6">
                  <c:v>71</c:v>
                </c:pt>
                <c:pt idx="7">
                  <c:v>42</c:v>
                </c:pt>
                <c:pt idx="8">
                  <c:v>62</c:v>
                </c:pt>
                <c:pt idx="9">
                  <c:v>74</c:v>
                </c:pt>
                <c:pt idx="10">
                  <c:v>48</c:v>
                </c:pt>
                <c:pt idx="11">
                  <c:v>60</c:v>
                </c:pt>
                <c:pt idx="12">
                  <c:v>45</c:v>
                </c:pt>
                <c:pt idx="13">
                  <c:v>39</c:v>
                </c:pt>
              </c:numCache>
            </c:numRef>
          </c:val>
          <c:extLst>
            <c:ext xmlns:c16="http://schemas.microsoft.com/office/drawing/2014/chart" uri="{C3380CC4-5D6E-409C-BE32-E72D297353CC}">
              <c16:uniqueId val="{00000000-6C74-40AA-851F-B6B45BD76EA0}"/>
            </c:ext>
          </c:extLst>
        </c:ser>
        <c:ser>
          <c:idx val="1"/>
          <c:order val="1"/>
          <c:tx>
            <c:strRef>
              <c:f>'Dual Running Anaylsis'!$C$47</c:f>
              <c:strCache>
                <c:ptCount val="1"/>
                <c:pt idx="0">
                  <c:v>Site Load (kW)</c:v>
                </c:pt>
              </c:strCache>
            </c:strRef>
          </c:tx>
          <c:spPr>
            <a:solidFill>
              <a:srgbClr val="E60000"/>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Anaylsis'!$D$47:$Q$47</c:f>
              <c:numCache>
                <c:formatCode>0</c:formatCode>
                <c:ptCount val="14"/>
                <c:pt idx="0">
                  <c:v>137.74850000000001</c:v>
                </c:pt>
                <c:pt idx="1">
                  <c:v>256.76799999999997</c:v>
                </c:pt>
                <c:pt idx="2">
                  <c:v>104.065</c:v>
                </c:pt>
                <c:pt idx="3">
                  <c:v>76.906499999999994</c:v>
                </c:pt>
                <c:pt idx="4">
                  <c:v>87.395499999999998</c:v>
                </c:pt>
                <c:pt idx="5">
                  <c:v>116.70650000000001</c:v>
                </c:pt>
                <c:pt idx="6">
                  <c:v>157.464</c:v>
                </c:pt>
                <c:pt idx="7">
                  <c:v>155.072</c:v>
                </c:pt>
                <c:pt idx="8">
                  <c:v>127.38749999999999</c:v>
                </c:pt>
                <c:pt idx="9">
                  <c:v>203.73200000000003</c:v>
                </c:pt>
                <c:pt idx="10">
                  <c:v>174.08750000000001</c:v>
                </c:pt>
                <c:pt idx="11">
                  <c:v>91.455500000000001</c:v>
                </c:pt>
                <c:pt idx="12">
                  <c:v>81.167500000000004</c:v>
                </c:pt>
                <c:pt idx="13">
                  <c:v>115.18049999999999</c:v>
                </c:pt>
              </c:numCache>
            </c:numRef>
          </c:val>
          <c:extLst>
            <c:ext xmlns:c16="http://schemas.microsoft.com/office/drawing/2014/chart" uri="{C3380CC4-5D6E-409C-BE32-E72D297353CC}">
              <c16:uniqueId val="{00000001-6C74-40AA-851F-B6B45BD76EA0}"/>
            </c:ext>
          </c:extLst>
        </c:ser>
        <c:dLbls>
          <c:showLegendKey val="0"/>
          <c:showVal val="0"/>
          <c:showCatName val="0"/>
          <c:showSerName val="0"/>
          <c:showPercent val="0"/>
          <c:showBubbleSize val="0"/>
        </c:dLbls>
        <c:gapWidth val="150"/>
        <c:shape val="box"/>
        <c:axId val="141871744"/>
        <c:axId val="141881728"/>
        <c:axId val="0"/>
      </c:bar3DChart>
      <c:catAx>
        <c:axId val="1418717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81728"/>
        <c:crosses val="autoZero"/>
        <c:auto val="1"/>
        <c:lblAlgn val="ctr"/>
        <c:lblOffset val="100"/>
        <c:noMultiLvlLbl val="0"/>
      </c:catAx>
      <c:valAx>
        <c:axId val="14188172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GB"/>
                  <a:t>Site Load (kW)</a:t>
                </a:r>
              </a:p>
            </c:rich>
          </c:tx>
          <c:layout>
            <c:manualLayout>
              <c:xMode val="edge"/>
              <c:yMode val="edge"/>
              <c:x val="2.361535033832253E-2"/>
              <c:y val="0.45113395117645699"/>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71744"/>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 Dual Running Total Site Load</a:t>
            </a:r>
          </a:p>
        </c:rich>
      </c:tx>
      <c:layout>
        <c:manualLayout>
          <c:xMode val="edge"/>
          <c:yMode val="edge"/>
          <c:x val="0.35460880307556208"/>
          <c:y val="2.067546849649465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3CEA-410E-971D-A84D4FEBA691}"/>
            </c:ext>
          </c:extLst>
        </c:ser>
        <c:dLbls>
          <c:showLegendKey val="0"/>
          <c:showVal val="0"/>
          <c:showCatName val="0"/>
          <c:showSerName val="0"/>
          <c:showPercent val="0"/>
          <c:showBubbleSize val="0"/>
        </c:dLbls>
        <c:gapWidth val="150"/>
        <c:shape val="box"/>
        <c:axId val="154998656"/>
        <c:axId val="155000192"/>
        <c:axId val="0"/>
      </c:bar3DChart>
      <c:catAx>
        <c:axId val="154998656"/>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55000192"/>
        <c:crosses val="autoZero"/>
        <c:auto val="1"/>
        <c:lblAlgn val="ctr"/>
        <c:lblOffset val="100"/>
        <c:noMultiLvlLbl val="0"/>
      </c:catAx>
      <c:valAx>
        <c:axId val="1550001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4998656"/>
        <c:crosses val="autoZero"/>
        <c:crossBetween val="between"/>
      </c:valAx>
      <c:spPr>
        <a:noFill/>
        <a:ln w="25400">
          <a:noFill/>
        </a:ln>
      </c:spPr>
    </c:plotArea>
    <c:legend>
      <c:legendPos val="r"/>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ln w="3175"/>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Dual Running Elements</a:t>
            </a:r>
          </a:p>
        </c:rich>
      </c:tx>
      <c:layout>
        <c:manualLayout>
          <c:xMode val="edge"/>
          <c:yMode val="edge"/>
          <c:x val="0.18234350117999956"/>
          <c:y val="2.0229166269470553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manualLayout>
          <c:layoutTarget val="inner"/>
          <c:xMode val="edge"/>
          <c:yMode val="edge"/>
          <c:x val="7.6784293754622493E-2"/>
          <c:y val="0.1227686562136148"/>
          <c:w val="0.70576137120854499"/>
          <c:h val="0.67778896495629104"/>
        </c:manualLayout>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E7AE-4989-B4EE-85D83A71E80A}"/>
            </c:ext>
          </c:extLst>
        </c:ser>
        <c:dLbls>
          <c:showLegendKey val="0"/>
          <c:showVal val="0"/>
          <c:showCatName val="0"/>
          <c:showSerName val="0"/>
          <c:showPercent val="0"/>
          <c:showBubbleSize val="0"/>
        </c:dLbls>
        <c:gapWidth val="150"/>
        <c:shape val="box"/>
        <c:axId val="155070848"/>
        <c:axId val="155072384"/>
        <c:axId val="0"/>
      </c:bar3DChart>
      <c:catAx>
        <c:axId val="155070848"/>
        <c:scaling>
          <c:orientation val="minMax"/>
        </c:scaling>
        <c:delete val="0"/>
        <c:axPos val="b"/>
        <c:numFmt formatCode="General" sourceLinked="1"/>
        <c:majorTickMark val="out"/>
        <c:minorTickMark val="none"/>
        <c:tickLblPos val="nextTo"/>
        <c:txPr>
          <a:bodyPr rot="-2700000" vert="horz"/>
          <a:lstStyle/>
          <a:p>
            <a:pPr>
              <a:defRPr sz="1200" b="0" i="0" u="none" strike="noStrike" baseline="0">
                <a:solidFill>
                  <a:srgbClr val="000000"/>
                </a:solidFill>
                <a:latin typeface="Vodafone Lt"/>
                <a:ea typeface="Vodafone Lt"/>
                <a:cs typeface="Vodafone Lt"/>
              </a:defRPr>
            </a:pPr>
            <a:endParaRPr lang="en-US"/>
          </a:p>
        </c:txPr>
        <c:crossAx val="155072384"/>
        <c:crosses val="autoZero"/>
        <c:auto val="1"/>
        <c:lblAlgn val="ctr"/>
        <c:lblOffset val="100"/>
        <c:noMultiLvlLbl val="0"/>
      </c:catAx>
      <c:valAx>
        <c:axId val="155072384"/>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5070848"/>
        <c:crosses val="autoZero"/>
        <c:crossBetween val="between"/>
      </c:valAx>
      <c:spPr>
        <a:noFill/>
        <a:ln w="25400">
          <a:noFill/>
        </a:ln>
      </c:spPr>
    </c:plotArea>
    <c:legend>
      <c:legendPos val="r"/>
      <c:layout>
        <c:manualLayout>
          <c:xMode val="edge"/>
          <c:yMode val="edge"/>
          <c:x val="0.75976002999625047"/>
          <c:y val="0.4292382096305758"/>
          <c:w val="0.21609439996471025"/>
          <c:h val="0.24160912089378661"/>
        </c:manualLayout>
      </c:layout>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9874369636379722E-2"/>
          <c:y val="3.2558716271899754E-2"/>
          <c:w val="0.69448885251703085"/>
          <c:h val="0.87344814312885743"/>
        </c:manualLayout>
      </c:layout>
      <c:barChart>
        <c:barDir val="col"/>
        <c:grouping val="stacked"/>
        <c:varyColors val="0"/>
        <c:ser>
          <c:idx val="0"/>
          <c:order val="0"/>
          <c:tx>
            <c:strRef>
              <c:f>'Power figures'!$B$19</c:f>
              <c:strCache>
                <c:ptCount val="1"/>
                <c:pt idx="0">
                  <c:v>Inverter Usage (kW)</c:v>
                </c:pt>
              </c:strCache>
            </c:strRef>
          </c:tx>
          <c:spPr>
            <a:solidFill>
              <a:srgbClr val="FF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figures'!$B$20:$B$33</c:f>
              <c:numCache>
                <c:formatCode>0</c:formatCode>
                <c:ptCount val="14"/>
                <c:pt idx="0">
                  <c:v>81.750000000000014</c:v>
                </c:pt>
                <c:pt idx="1">
                  <c:v>75.210000000000008</c:v>
                </c:pt>
                <c:pt idx="2">
                  <c:v>46.870000000000005</c:v>
                </c:pt>
                <c:pt idx="3">
                  <c:v>33</c:v>
                </c:pt>
                <c:pt idx="4">
                  <c:v>47.960000000000008</c:v>
                </c:pt>
                <c:pt idx="5">
                  <c:v>30.660610000000002</c:v>
                </c:pt>
                <c:pt idx="6">
                  <c:v>55.59</c:v>
                </c:pt>
                <c:pt idx="7">
                  <c:v>30.520000000000003</c:v>
                </c:pt>
                <c:pt idx="8">
                  <c:v>17.440000000000001</c:v>
                </c:pt>
                <c:pt idx="9">
                  <c:v>7.6300000000000008</c:v>
                </c:pt>
                <c:pt idx="10">
                  <c:v>0</c:v>
                </c:pt>
                <c:pt idx="11">
                  <c:v>40.33</c:v>
                </c:pt>
                <c:pt idx="12">
                  <c:v>0</c:v>
                </c:pt>
                <c:pt idx="13">
                  <c:v>8.7200000000000006</c:v>
                </c:pt>
              </c:numCache>
            </c:numRef>
          </c:val>
          <c:extLst>
            <c:ext xmlns:c16="http://schemas.microsoft.com/office/drawing/2014/chart" uri="{C3380CC4-5D6E-409C-BE32-E72D297353CC}">
              <c16:uniqueId val="{00000000-3B20-4D0A-B014-94F105A0460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figures'!$C$20:$C$33</c:f>
              <c:numCache>
                <c:formatCode>0</c:formatCode>
                <c:ptCount val="14"/>
                <c:pt idx="0">
                  <c:v>288.85000000000002</c:v>
                </c:pt>
                <c:pt idx="1">
                  <c:v>292.9375</c:v>
                </c:pt>
                <c:pt idx="2">
                  <c:v>288.68650000000002</c:v>
                </c:pt>
                <c:pt idx="3">
                  <c:v>257.1035</c:v>
                </c:pt>
                <c:pt idx="4">
                  <c:v>237.83799999999999</c:v>
                </c:pt>
                <c:pt idx="5">
                  <c:v>229.84939</c:v>
                </c:pt>
                <c:pt idx="6">
                  <c:v>238.98249999999999</c:v>
                </c:pt>
                <c:pt idx="7">
                  <c:v>141.86349999999999</c:v>
                </c:pt>
                <c:pt idx="8">
                  <c:v>109.76300000000001</c:v>
                </c:pt>
                <c:pt idx="9">
                  <c:v>74.9375</c:v>
                </c:pt>
                <c:pt idx="10">
                  <c:v>36.569499999999998</c:v>
                </c:pt>
                <c:pt idx="11">
                  <c:v>27.849500000000006</c:v>
                </c:pt>
                <c:pt idx="12">
                  <c:v>22.236000000000001</c:v>
                </c:pt>
                <c:pt idx="13">
                  <c:v>90.742500000000007</c:v>
                </c:pt>
              </c:numCache>
            </c:numRef>
          </c:val>
          <c:extLst>
            <c:ext xmlns:c16="http://schemas.microsoft.com/office/drawing/2014/chart" uri="{C3380CC4-5D6E-409C-BE32-E72D297353CC}">
              <c16:uniqueId val="{00000001-3B20-4D0A-B014-94F105A04600}"/>
            </c:ext>
          </c:extLst>
        </c:ser>
        <c:ser>
          <c:idx val="2"/>
          <c:order val="2"/>
          <c:tx>
            <c:strRef>
              <c:f>'Power figures'!$D$19</c:f>
              <c:strCache>
                <c:ptCount val="1"/>
                <c:pt idx="0">
                  <c:v>Reserved (kW)</c:v>
                </c:pt>
              </c:strCache>
            </c:strRef>
          </c:tx>
          <c:spPr>
            <a:solidFill>
              <a:srgbClr val="F79646">
                <a:lumMod val="75000"/>
              </a:srgbClr>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figures'!$D$20:$D$33</c:f>
              <c:numCache>
                <c:formatCode>0</c:formatCode>
                <c:ptCount val="14"/>
                <c:pt idx="0">
                  <c:v>39.021999999999998</c:v>
                </c:pt>
                <c:pt idx="1">
                  <c:v>28.721499999999999</c:v>
                </c:pt>
                <c:pt idx="2">
                  <c:v>55.917000000000002</c:v>
                </c:pt>
                <c:pt idx="3">
                  <c:v>50.085500000000003</c:v>
                </c:pt>
                <c:pt idx="4">
                  <c:v>67.307500000000005</c:v>
                </c:pt>
                <c:pt idx="5">
                  <c:v>120.336</c:v>
                </c:pt>
                <c:pt idx="6">
                  <c:v>105.5665</c:v>
                </c:pt>
                <c:pt idx="7">
                  <c:v>13.897500000000001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2-3B20-4D0A-B014-94F105A04600}"/>
            </c:ext>
          </c:extLst>
        </c:ser>
        <c:ser>
          <c:idx val="3"/>
          <c:order val="3"/>
          <c:tx>
            <c:strRef>
              <c:f>'Power figures'!$E$19</c:f>
              <c:strCache>
                <c:ptCount val="1"/>
                <c:pt idx="0">
                  <c:v>Forecast (kW)</c:v>
                </c:pt>
              </c:strCache>
            </c:strRef>
          </c:tx>
          <c:spPr>
            <a:solidFill>
              <a:srgbClr val="80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figures'!$E$20:$E$33</c:f>
              <c:numCache>
                <c:formatCode>0</c:formatCode>
                <c:ptCount val="14"/>
                <c:pt idx="0">
                  <c:v>57.606499999999997</c:v>
                </c:pt>
                <c:pt idx="1">
                  <c:v>46.106999999999999</c:v>
                </c:pt>
                <c:pt idx="2">
                  <c:v>7.085</c:v>
                </c:pt>
                <c:pt idx="3">
                  <c:v>6.3765000000000001</c:v>
                </c:pt>
                <c:pt idx="4">
                  <c:v>20.388449999999999</c:v>
                </c:pt>
                <c:pt idx="5">
                  <c:v>6.0604000000000005</c:v>
                </c:pt>
                <c:pt idx="6">
                  <c:v>16.241</c:v>
                </c:pt>
                <c:pt idx="7">
                  <c:v>1.526</c:v>
                </c:pt>
                <c:pt idx="8">
                  <c:v>8.0660000000000007</c:v>
                </c:pt>
                <c:pt idx="9">
                  <c:v>0</c:v>
                </c:pt>
                <c:pt idx="10">
                  <c:v>0</c:v>
                </c:pt>
                <c:pt idx="11">
                  <c:v>0</c:v>
                </c:pt>
                <c:pt idx="12">
                  <c:v>0</c:v>
                </c:pt>
                <c:pt idx="13">
                  <c:v>14.715</c:v>
                </c:pt>
              </c:numCache>
            </c:numRef>
          </c:val>
          <c:extLst>
            <c:ext xmlns:c16="http://schemas.microsoft.com/office/drawing/2014/chart" uri="{C3380CC4-5D6E-409C-BE32-E72D297353CC}">
              <c16:uniqueId val="{00000003-3B20-4D0A-B014-94F105A04600}"/>
            </c:ext>
          </c:extLst>
        </c:ser>
        <c:ser>
          <c:idx val="4"/>
          <c:order val="4"/>
          <c:tx>
            <c:strRef>
              <c:f>'Power figures'!$G$19</c:f>
              <c:strCache>
                <c:ptCount val="1"/>
                <c:pt idx="0">
                  <c:v>Power Expansion Capability  (kW)</c:v>
                </c:pt>
              </c:strCache>
            </c:strRef>
          </c:tx>
          <c:spPr>
            <a:solidFill>
              <a:srgbClr val="3A8ED5"/>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figures'!$G$20:$G$33</c:f>
              <c:numCache>
                <c:formatCode>0</c:formatCode>
                <c:ptCount val="14"/>
                <c:pt idx="0">
                  <c:v>0</c:v>
                </c:pt>
                <c:pt idx="1">
                  <c:v>0</c:v>
                </c:pt>
                <c:pt idx="2">
                  <c:v>0</c:v>
                </c:pt>
                <c:pt idx="3">
                  <c:v>0</c:v>
                </c:pt>
                <c:pt idx="4">
                  <c:v>0</c:v>
                </c:pt>
                <c:pt idx="5">
                  <c:v>0</c:v>
                </c:pt>
                <c:pt idx="6">
                  <c:v>0</c:v>
                </c:pt>
                <c:pt idx="7">
                  <c:v>0</c:v>
                </c:pt>
                <c:pt idx="8">
                  <c:v>0</c:v>
                </c:pt>
                <c:pt idx="9">
                  <c:v>48</c:v>
                </c:pt>
                <c:pt idx="10">
                  <c:v>28</c:v>
                </c:pt>
                <c:pt idx="11">
                  <c:v>28</c:v>
                </c:pt>
                <c:pt idx="12">
                  <c:v>28.000000000000014</c:v>
                </c:pt>
                <c:pt idx="13">
                  <c:v>0</c:v>
                </c:pt>
              </c:numCache>
            </c:numRef>
          </c:val>
          <c:extLst>
            <c:ext xmlns:c16="http://schemas.microsoft.com/office/drawing/2014/chart" uri="{C3380CC4-5D6E-409C-BE32-E72D297353CC}">
              <c16:uniqueId val="{00000000-C6D5-4D55-8F18-B53FA8DA81D3}"/>
            </c:ext>
          </c:extLst>
        </c:ser>
        <c:dLbls>
          <c:showLegendKey val="0"/>
          <c:showVal val="0"/>
          <c:showCatName val="0"/>
          <c:showSerName val="0"/>
          <c:showPercent val="0"/>
          <c:showBubbleSize val="0"/>
        </c:dLbls>
        <c:gapWidth val="40"/>
        <c:overlap val="100"/>
        <c:axId val="160472448"/>
        <c:axId val="160478336"/>
      </c:barChart>
      <c:catAx>
        <c:axId val="160472448"/>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8336"/>
        <c:crosses val="autoZero"/>
        <c:auto val="1"/>
        <c:lblAlgn val="ctr"/>
        <c:lblOffset val="100"/>
        <c:noMultiLvlLbl val="0"/>
      </c:catAx>
      <c:valAx>
        <c:axId val="160478336"/>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2448"/>
        <c:crosses val="autoZero"/>
        <c:crossBetween val="between"/>
      </c:valAx>
      <c:spPr>
        <a:solidFill>
          <a:srgbClr val="8064A2">
            <a:lumMod val="20000"/>
            <a:lumOff val="80000"/>
          </a:srgbClr>
        </a:solidFill>
      </c:spPr>
    </c:plotArea>
    <c:legend>
      <c:legendPos val="r"/>
      <c:layout>
        <c:manualLayout>
          <c:xMode val="edge"/>
          <c:yMode val="edge"/>
          <c:x val="0.79723579611641937"/>
          <c:y val="0.30482884246737624"/>
          <c:w val="0.19091552630781636"/>
          <c:h val="0.369549172177009"/>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Vodafone Lt"/>
                <a:ea typeface="Vodafone Lt"/>
                <a:cs typeface="Vodafone Lt"/>
              </a:defRPr>
            </a:pPr>
            <a:r>
              <a:rPr lang="en-GB" sz="2600"/>
              <a:t>CHE Sites Power Plant Utilisation (DC)</a:t>
            </a:r>
          </a:p>
        </c:rich>
      </c:tx>
      <c:layout>
        <c:manualLayout>
          <c:xMode val="edge"/>
          <c:yMode val="edge"/>
          <c:x val="0.34337843975201504"/>
          <c:y val="2.2053768702640985E-2"/>
        </c:manualLayout>
      </c:layout>
      <c:overlay val="0"/>
      <c:spPr>
        <a:noFill/>
        <a:ln w="25400">
          <a:noFill/>
        </a:ln>
      </c:spPr>
    </c:title>
    <c:autoTitleDeleted val="0"/>
    <c:plotArea>
      <c:layout>
        <c:manualLayout>
          <c:layoutTarget val="inner"/>
          <c:xMode val="edge"/>
          <c:yMode val="edge"/>
          <c:x val="6.1856385394494208E-2"/>
          <c:y val="0.15141623225074705"/>
          <c:w val="0.7777960552716241"/>
          <c:h val="0.63349689930557129"/>
        </c:manualLayout>
      </c:layout>
      <c:barChart>
        <c:barDir val="col"/>
        <c:grouping val="stacked"/>
        <c:varyColors val="0"/>
        <c:ser>
          <c:idx val="0"/>
          <c:order val="0"/>
          <c:tx>
            <c:strRef>
              <c:f>'Power figures'!$B$155</c:f>
              <c:strCache>
                <c:ptCount val="1"/>
                <c:pt idx="0">
                  <c:v>Load (kW)</c:v>
                </c:pt>
              </c:strCache>
            </c:strRef>
          </c:tx>
          <c:spPr>
            <a:solidFill>
              <a:srgbClr val="008000"/>
            </a:solidFill>
            <a:ln w="12700">
              <a:solidFill>
                <a:srgbClr val="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figures'!$B$156:$B$181</c:f>
              <c:numCache>
                <c:formatCode>0.0</c:formatCode>
                <c:ptCount val="26"/>
                <c:pt idx="0">
                  <c:v>45.180500000000002</c:v>
                </c:pt>
                <c:pt idx="1">
                  <c:v>45.889000000000003</c:v>
                </c:pt>
                <c:pt idx="2">
                  <c:v>43.981499999999997</c:v>
                </c:pt>
                <c:pt idx="3">
                  <c:v>48.505000000000003</c:v>
                </c:pt>
                <c:pt idx="4">
                  <c:v>46.488500000000002</c:v>
                </c:pt>
                <c:pt idx="5">
                  <c:v>47.850999999999999</c:v>
                </c:pt>
                <c:pt idx="6">
                  <c:v>45.5075</c:v>
                </c:pt>
                <c:pt idx="7">
                  <c:v>47.197000000000003</c:v>
                </c:pt>
                <c:pt idx="8">
                  <c:v>40.548000000000002</c:v>
                </c:pt>
                <c:pt idx="9">
                  <c:v>41.747</c:v>
                </c:pt>
                <c:pt idx="10">
                  <c:v>42.782499999999999</c:v>
                </c:pt>
                <c:pt idx="11">
                  <c:v>41.856000000000002</c:v>
                </c:pt>
                <c:pt idx="12">
                  <c:v>42.837000000000003</c:v>
                </c:pt>
                <c:pt idx="13">
                  <c:v>44.962499999999999</c:v>
                </c:pt>
                <c:pt idx="14">
                  <c:v>49.704000000000001</c:v>
                </c:pt>
                <c:pt idx="15">
                  <c:v>45.0715</c:v>
                </c:pt>
                <c:pt idx="16">
                  <c:v>51.774999999999999</c:v>
                </c:pt>
                <c:pt idx="17">
                  <c:v>47.2515</c:v>
                </c:pt>
                <c:pt idx="18">
                  <c:v>49.758499999999998</c:v>
                </c:pt>
                <c:pt idx="19">
                  <c:v>48.9955</c:v>
                </c:pt>
                <c:pt idx="20">
                  <c:v>57.225000000000001</c:v>
                </c:pt>
                <c:pt idx="21">
                  <c:v>53.682499999999997</c:v>
                </c:pt>
                <c:pt idx="22">
                  <c:v>53.301000000000002</c:v>
                </c:pt>
                <c:pt idx="23">
                  <c:v>61.585000000000001</c:v>
                </c:pt>
                <c:pt idx="24">
                  <c:v>57.006999999999998</c:v>
                </c:pt>
                <c:pt idx="25">
                  <c:v>56.625500000000002</c:v>
                </c:pt>
              </c:numCache>
            </c:numRef>
          </c:val>
          <c:extLst>
            <c:ext xmlns:c16="http://schemas.microsoft.com/office/drawing/2014/chart" uri="{C3380CC4-5D6E-409C-BE32-E72D297353CC}">
              <c16:uniqueId val="{00000000-18A7-4DC7-9454-B7957FD257E4}"/>
            </c:ext>
          </c:extLst>
        </c:ser>
        <c:ser>
          <c:idx val="1"/>
          <c:order val="1"/>
          <c:tx>
            <c:strRef>
              <c:f>'Power figures'!$C$155</c:f>
              <c:strCache>
                <c:ptCount val="1"/>
                <c:pt idx="0">
                  <c:v>Reserved (kW)</c:v>
                </c:pt>
              </c:strCache>
            </c:strRef>
          </c:tx>
          <c:spPr>
            <a:solidFill>
              <a:schemeClr val="accent6">
                <a:lumMod val="75000"/>
              </a:schemeClr>
            </a:solidFill>
            <a:ln w="12700">
              <a:solidFill>
                <a:sysClr val="windowText" lastClr="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figures'!$C$156:$C$181</c:f>
              <c:numCache>
                <c:formatCode>0.0</c:formatCode>
                <c:ptCount val="26"/>
                <c:pt idx="0">
                  <c:v>4.5235000000000003</c:v>
                </c:pt>
                <c:pt idx="1">
                  <c:v>3.8149999999999999</c:v>
                </c:pt>
                <c:pt idx="2">
                  <c:v>2.3980000000000001</c:v>
                </c:pt>
                <c:pt idx="3">
                  <c:v>4.4145000000000003</c:v>
                </c:pt>
                <c:pt idx="4">
                  <c:v>4.9050000000000002</c:v>
                </c:pt>
                <c:pt idx="5">
                  <c:v>6.54</c:v>
                </c:pt>
                <c:pt idx="6">
                  <c:v>6.9215</c:v>
                </c:pt>
                <c:pt idx="7">
                  <c:v>5.5045000000000002</c:v>
                </c:pt>
                <c:pt idx="8">
                  <c:v>1.0900000000000001</c:v>
                </c:pt>
                <c:pt idx="9">
                  <c:v>3.052</c:v>
                </c:pt>
                <c:pt idx="10">
                  <c:v>8.2294999999999998</c:v>
                </c:pt>
                <c:pt idx="11">
                  <c:v>8.6654999999999998</c:v>
                </c:pt>
                <c:pt idx="12">
                  <c:v>5.6680000000000001</c:v>
                </c:pt>
                <c:pt idx="13">
                  <c:v>10.1915</c:v>
                </c:pt>
                <c:pt idx="14">
                  <c:v>3.597</c:v>
                </c:pt>
                <c:pt idx="15">
                  <c:v>5.3410000000000002</c:v>
                </c:pt>
                <c:pt idx="16">
                  <c:v>4.6325000000000003</c:v>
                </c:pt>
                <c:pt idx="17">
                  <c:v>3.597</c:v>
                </c:pt>
                <c:pt idx="18">
                  <c:v>4.3055000000000003</c:v>
                </c:pt>
                <c:pt idx="19">
                  <c:v>3.7605</c:v>
                </c:pt>
                <c:pt idx="20">
                  <c:v>3.2155</c:v>
                </c:pt>
                <c:pt idx="21">
                  <c:v>3.6515</c:v>
                </c:pt>
                <c:pt idx="22">
                  <c:v>4.6325000000000003</c:v>
                </c:pt>
                <c:pt idx="23">
                  <c:v>4.9595000000000002</c:v>
                </c:pt>
                <c:pt idx="24">
                  <c:v>2.5070000000000001</c:v>
                </c:pt>
                <c:pt idx="25">
                  <c:v>3.2155</c:v>
                </c:pt>
              </c:numCache>
            </c:numRef>
          </c:val>
          <c:extLst>
            <c:ext xmlns:c16="http://schemas.microsoft.com/office/drawing/2014/chart" uri="{C3380CC4-5D6E-409C-BE32-E72D297353CC}">
              <c16:uniqueId val="{00000001-18A7-4DC7-9454-B7957FD257E4}"/>
            </c:ext>
          </c:extLst>
        </c:ser>
        <c:ser>
          <c:idx val="2"/>
          <c:order val="2"/>
          <c:tx>
            <c:strRef>
              <c:f>'Power figures'!$D$155</c:f>
              <c:strCache>
                <c:ptCount val="1"/>
                <c:pt idx="0">
                  <c:v>Forecast (kW)</c:v>
                </c:pt>
              </c:strCache>
            </c:strRef>
          </c:tx>
          <c:spPr>
            <a:solidFill>
              <a:srgbClr val="800000"/>
            </a:solidFill>
            <a:ln>
              <a:solidFill>
                <a:schemeClr val="tx1"/>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figures'!$D$156:$D$181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18A7-4DC7-9454-B7957FD257E4}"/>
            </c:ext>
          </c:extLst>
        </c:ser>
        <c:ser>
          <c:idx val="3"/>
          <c:order val="3"/>
          <c:tx>
            <c:strRef>
              <c:f>'Power figures'!$G$155</c:f>
              <c:strCache>
                <c:ptCount val="1"/>
                <c:pt idx="0">
                  <c:v>Remaining Capacity (kW)</c:v>
                </c:pt>
              </c:strCache>
            </c:strRef>
          </c:tx>
          <c:spPr>
            <a:solidFill>
              <a:srgbClr val="FFFFCC"/>
            </a:solidFill>
            <a:ln>
              <a:solidFill>
                <a:sysClr val="windowText" lastClr="000000"/>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BMGMTX-DCSYS01</c:v>
                </c:pt>
                <c:pt idx="9">
                  <c:v>BMGMTX-DCSYS02</c:v>
                </c:pt>
                <c:pt idx="10">
                  <c:v>BMGMTX-DCSYS03</c:v>
                </c:pt>
                <c:pt idx="11">
                  <c:v>BMGMTX-DCSYS04</c:v>
                </c:pt>
                <c:pt idx="12">
                  <c:v>BMGMTX-DCSYS05</c:v>
                </c:pt>
                <c:pt idx="13">
                  <c:v>BMGMTX-DCSYS06</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figures'!$G$156:$G$181</c:f>
              <c:numCache>
                <c:formatCode>0.0</c:formatCode>
                <c:ptCount val="26"/>
                <c:pt idx="0">
                  <c:v>13.295999999999998</c:v>
                </c:pt>
                <c:pt idx="1">
                  <c:v>13.295999999999998</c:v>
                </c:pt>
                <c:pt idx="2">
                  <c:v>16.620500000000003</c:v>
                </c:pt>
                <c:pt idx="3">
                  <c:v>10.080499999999997</c:v>
                </c:pt>
                <c:pt idx="4">
                  <c:v>11.606499999999997</c:v>
                </c:pt>
                <c:pt idx="5">
                  <c:v>8.6090000000000018</c:v>
                </c:pt>
                <c:pt idx="6">
                  <c:v>10.571</c:v>
                </c:pt>
                <c:pt idx="7">
                  <c:v>10.298499999999997</c:v>
                </c:pt>
                <c:pt idx="8">
                  <c:v>24.361999999999998</c:v>
                </c:pt>
                <c:pt idx="9">
                  <c:v>21.201000000000001</c:v>
                </c:pt>
                <c:pt idx="10">
                  <c:v>14.988000000000001</c:v>
                </c:pt>
                <c:pt idx="11">
                  <c:v>15.478499999999999</c:v>
                </c:pt>
                <c:pt idx="12">
                  <c:v>17.494999999999997</c:v>
                </c:pt>
                <c:pt idx="13">
                  <c:v>10.846000000000002</c:v>
                </c:pt>
                <c:pt idx="14">
                  <c:v>12.699</c:v>
                </c:pt>
                <c:pt idx="15">
                  <c:v>15.587499999999999</c:v>
                </c:pt>
                <c:pt idx="16">
                  <c:v>9.5925000000000011</c:v>
                </c:pt>
                <c:pt idx="17">
                  <c:v>15.1515</c:v>
                </c:pt>
                <c:pt idx="18">
                  <c:v>11.936000000000002</c:v>
                </c:pt>
                <c:pt idx="19">
                  <c:v>13.244</c:v>
                </c:pt>
                <c:pt idx="20">
                  <c:v>13.059499999999998</c:v>
                </c:pt>
                <c:pt idx="21">
                  <c:v>16.166000000000004</c:v>
                </c:pt>
                <c:pt idx="22">
                  <c:v>15.566499999999998</c:v>
                </c:pt>
                <c:pt idx="23">
                  <c:v>6.9554999999999989</c:v>
                </c:pt>
                <c:pt idx="24">
                  <c:v>13.986000000000002</c:v>
                </c:pt>
                <c:pt idx="25">
                  <c:v>13.658999999999997</c:v>
                </c:pt>
              </c:numCache>
            </c:numRef>
          </c:val>
          <c:extLst>
            <c:ext xmlns:c16="http://schemas.microsoft.com/office/drawing/2014/chart" uri="{C3380CC4-5D6E-409C-BE32-E72D297353CC}">
              <c16:uniqueId val="{00000000-9ED1-4B01-AE23-3030B9BC20D3}"/>
            </c:ext>
          </c:extLst>
        </c:ser>
        <c:dLbls>
          <c:showLegendKey val="0"/>
          <c:showVal val="0"/>
          <c:showCatName val="0"/>
          <c:showSerName val="0"/>
          <c:showPercent val="0"/>
          <c:showBubbleSize val="0"/>
        </c:dLbls>
        <c:gapWidth val="70"/>
        <c:overlap val="100"/>
        <c:axId val="208167680"/>
        <c:axId val="208169216"/>
      </c:barChart>
      <c:catAx>
        <c:axId val="208167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2200" b="0" i="0" u="none" strike="noStrike" baseline="0">
                <a:solidFill>
                  <a:srgbClr val="000000"/>
                </a:solidFill>
                <a:latin typeface="Vodafone Lt"/>
                <a:ea typeface="Vodafone Lt"/>
                <a:cs typeface="Vodafone Lt"/>
              </a:defRPr>
            </a:pPr>
            <a:endParaRPr lang="en-US"/>
          </a:p>
        </c:txPr>
        <c:crossAx val="208169216"/>
        <c:crosses val="autoZero"/>
        <c:auto val="1"/>
        <c:lblAlgn val="ctr"/>
        <c:lblOffset val="100"/>
        <c:tickLblSkip val="1"/>
        <c:tickMarkSkip val="1"/>
        <c:noMultiLvlLbl val="0"/>
      </c:catAx>
      <c:valAx>
        <c:axId val="208169216"/>
        <c:scaling>
          <c:orientation val="minMax"/>
          <c:max val="70"/>
          <c:min val="0"/>
        </c:scaling>
        <c:delete val="0"/>
        <c:axPos val="l"/>
        <c:majorGridlines>
          <c:spPr>
            <a:ln w="3175">
              <a:solidFill>
                <a:srgbClr val="000000"/>
              </a:solidFill>
              <a:prstDash val="solid"/>
            </a:ln>
          </c:spPr>
        </c:majorGridlines>
        <c:title>
          <c:tx>
            <c:rich>
              <a:bodyPr/>
              <a:lstStyle/>
              <a:p>
                <a:pPr>
                  <a:defRPr sz="2000" b="0" i="0" u="none" strike="noStrike" baseline="0">
                    <a:solidFill>
                      <a:srgbClr val="000000"/>
                    </a:solidFill>
                    <a:latin typeface="Vodafone Lt"/>
                    <a:ea typeface="Vodafone Lt"/>
                    <a:cs typeface="Vodafone Lt"/>
                  </a:defRPr>
                </a:pPr>
                <a:r>
                  <a:rPr lang="en-GB" sz="2000"/>
                  <a:t>Power (kW)</a:t>
                </a:r>
              </a:p>
            </c:rich>
          </c:tx>
          <c:layout>
            <c:manualLayout>
              <c:xMode val="edge"/>
              <c:yMode val="edge"/>
              <c:x val="1.1048424900165551E-2"/>
              <c:y val="0.356072128538517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0" i="0" u="none" strike="noStrike" baseline="0">
                <a:solidFill>
                  <a:srgbClr val="000000"/>
                </a:solidFill>
                <a:latin typeface="Vodafone Lt"/>
                <a:ea typeface="Vodafone Lt"/>
                <a:cs typeface="Vodafone Lt"/>
              </a:defRPr>
            </a:pPr>
            <a:endParaRPr lang="en-US"/>
          </a:p>
        </c:txPr>
        <c:crossAx val="208167680"/>
        <c:crosses val="autoZero"/>
        <c:crossBetween val="between"/>
        <c:majorUnit val="10"/>
        <c:minorUnit val="2"/>
      </c:valAx>
      <c:spPr>
        <a:solidFill>
          <a:schemeClr val="accent4">
            <a:lumMod val="20000"/>
            <a:lumOff val="80000"/>
          </a:schemeClr>
        </a:solidFill>
      </c:spPr>
    </c:plotArea>
    <c:legend>
      <c:legendPos val="r"/>
      <c:layout>
        <c:manualLayout>
          <c:xMode val="edge"/>
          <c:yMode val="edge"/>
          <c:x val="0.84143222596430289"/>
          <c:y val="0.30450326265891825"/>
          <c:w val="0.14958271236959761"/>
          <c:h val="0.45013586148079099"/>
        </c:manualLayout>
      </c:layout>
      <c:overlay val="1"/>
      <c:spPr>
        <a:ln w="12700"/>
      </c:spPr>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solidFill>
      <a:srgbClr val="FFFFFF"/>
    </a:solidFill>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01794306827173E-2"/>
          <c:y val="0.12753020825667818"/>
          <c:w val="0.75080386871431959"/>
          <c:h val="0.62930743002919032"/>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Loading'!$B$63:$B$64,'Inverter Loading'!$B$68:$B$71,'Inverter Loading'!$B$74:$B$79)</c:f>
              <c:numCache>
                <c:formatCode>General</c:formatCode>
                <c:ptCount val="12"/>
                <c:pt idx="0">
                  <c:v>33</c:v>
                </c:pt>
                <c:pt idx="1">
                  <c:v>30</c:v>
                </c:pt>
                <c:pt idx="2">
                  <c:v>0</c:v>
                </c:pt>
                <c:pt idx="3">
                  <c:v>0</c:v>
                </c:pt>
                <c:pt idx="4">
                  <c:v>22</c:v>
                </c:pt>
                <c:pt idx="5">
                  <c:v>22</c:v>
                </c:pt>
                <c:pt idx="6">
                  <c:v>0</c:v>
                </c:pt>
                <c:pt idx="7">
                  <c:v>0</c:v>
                </c:pt>
                <c:pt idx="8">
                  <c:v>43</c:v>
                </c:pt>
                <c:pt idx="9">
                  <c:v>15</c:v>
                </c:pt>
                <c:pt idx="10">
                  <c:v>30</c:v>
                </c:pt>
                <c:pt idx="11">
                  <c:v>24</c:v>
                </c:pt>
              </c:numCache>
            </c:numRef>
          </c:val>
          <c:extLst>
            <c:ext xmlns:c16="http://schemas.microsoft.com/office/drawing/2014/chart" uri="{C3380CC4-5D6E-409C-BE32-E72D297353CC}">
              <c16:uniqueId val="{00000000-2E9F-4470-AED1-E04DDC28D064}"/>
            </c:ext>
          </c:extLst>
        </c:ser>
        <c:ser>
          <c:idx val="1"/>
          <c:order val="1"/>
          <c:tx>
            <c:strRef>
              <c:f>'Inverter Loading'!$C$61</c:f>
              <c:strCache>
                <c:ptCount val="1"/>
                <c:pt idx="0">
                  <c:v>Reserved (kW)</c:v>
                </c:pt>
              </c:strCache>
            </c:strRef>
          </c:tx>
          <c:spPr>
            <a:solidFill>
              <a:schemeClr val="accent6">
                <a:lumMod val="75000"/>
              </a:schemeClr>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Loading'!$C$63:$C$64,'Inverter Loading'!$C$68:$C$71,'Inverter Loading'!$C$74:$C$79)</c:f>
              <c:numCache>
                <c:formatCode>General</c:formatCode>
                <c:ptCount val="12"/>
                <c:pt idx="0">
                  <c:v>0</c:v>
                </c:pt>
                <c:pt idx="1">
                  <c:v>0</c:v>
                </c:pt>
                <c:pt idx="4">
                  <c:v>0</c:v>
                </c:pt>
                <c:pt idx="5">
                  <c:v>0</c:v>
                </c:pt>
                <c:pt idx="8">
                  <c:v>0</c:v>
                </c:pt>
                <c:pt idx="10">
                  <c:v>0</c:v>
                </c:pt>
                <c:pt idx="11">
                  <c:v>0</c:v>
                </c:pt>
              </c:numCache>
            </c:numRef>
          </c:val>
          <c:extLst>
            <c:ext xmlns:c16="http://schemas.microsoft.com/office/drawing/2014/chart" uri="{C3380CC4-5D6E-409C-BE32-E72D297353CC}">
              <c16:uniqueId val="{00000000-7FBD-4B95-91FE-E3CE00561954}"/>
            </c:ext>
          </c:extLst>
        </c:ser>
        <c:ser>
          <c:idx val="2"/>
          <c:order val="2"/>
          <c:tx>
            <c:strRef>
              <c:f>'Inverter Loading'!$D$61</c:f>
              <c:strCache>
                <c:ptCount val="1"/>
                <c:pt idx="0">
                  <c:v>Forecast (kW)</c:v>
                </c:pt>
              </c:strCache>
            </c:strRef>
          </c:tx>
          <c:spPr>
            <a:solidFill>
              <a:srgbClr val="800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Loading'!$D$63:$D$64,'Inverter Loading'!$D$68:$D$71,'Inverter Loading'!$D$74:$D$79)</c:f>
              <c:numCache>
                <c:formatCode>General</c:formatCode>
                <c:ptCount val="12"/>
                <c:pt idx="0">
                  <c:v>0</c:v>
                </c:pt>
                <c:pt idx="1">
                  <c:v>0</c:v>
                </c:pt>
                <c:pt idx="2">
                  <c:v>0</c:v>
                </c:pt>
                <c:pt idx="3">
                  <c:v>0</c:v>
                </c:pt>
                <c:pt idx="4">
                  <c:v>2.76</c:v>
                </c:pt>
                <c:pt idx="5">
                  <c:v>1.1499999999999999</c:v>
                </c:pt>
                <c:pt idx="6">
                  <c:v>0</c:v>
                </c:pt>
                <c:pt idx="7">
                  <c:v>0</c:v>
                </c:pt>
                <c:pt idx="8">
                  <c:v>4.5999999999999996</c:v>
                </c:pt>
                <c:pt idx="9">
                  <c:v>0</c:v>
                </c:pt>
                <c:pt idx="10">
                  <c:v>0</c:v>
                </c:pt>
                <c:pt idx="11">
                  <c:v>0</c:v>
                </c:pt>
              </c:numCache>
            </c:numRef>
          </c:val>
          <c:extLst>
            <c:ext xmlns:c16="http://schemas.microsoft.com/office/drawing/2014/chart" uri="{C3380CC4-5D6E-409C-BE32-E72D297353CC}">
              <c16:uniqueId val="{00000001-7FBD-4B95-91FE-E3CE00561954}"/>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Loading'!$E$63:$E$64,'Inverter Loading'!$E$68:$E$71,'Inverter Loading'!$E$74:$E$79)</c:f>
              <c:numCache>
                <c:formatCode>General</c:formatCode>
                <c:ptCount val="12"/>
                <c:pt idx="0">
                  <c:v>24.599999999999994</c:v>
                </c:pt>
                <c:pt idx="1">
                  <c:v>27.599999999999994</c:v>
                </c:pt>
                <c:pt idx="2">
                  <c:v>0</c:v>
                </c:pt>
                <c:pt idx="3">
                  <c:v>0</c:v>
                </c:pt>
                <c:pt idx="4">
                  <c:v>20.840000000000003</c:v>
                </c:pt>
                <c:pt idx="5">
                  <c:v>22.450000000000003</c:v>
                </c:pt>
                <c:pt idx="6">
                  <c:v>0</c:v>
                </c:pt>
                <c:pt idx="7">
                  <c:v>0</c:v>
                </c:pt>
                <c:pt idx="8">
                  <c:v>9.9999999999999929</c:v>
                </c:pt>
                <c:pt idx="9">
                  <c:v>15</c:v>
                </c:pt>
                <c:pt idx="10">
                  <c:v>10.799999999999997</c:v>
                </c:pt>
                <c:pt idx="11">
                  <c:v>31.199999999999996</c:v>
                </c:pt>
              </c:numCache>
            </c:numRef>
          </c:val>
          <c:extLst>
            <c:ext xmlns:c16="http://schemas.microsoft.com/office/drawing/2014/chart" uri="{C3380CC4-5D6E-409C-BE32-E72D297353CC}">
              <c16:uniqueId val="{00000002-7FBD-4B95-91FE-E3CE00561954}"/>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Loading'!$G$63:$G$64,'Inverter Loading'!$G$68:$G$71,'Inverter Loading'!$G$74:$G$79)</c:f>
              <c:numCache>
                <c:formatCode>General</c:formatCode>
                <c:ptCount val="12"/>
                <c:pt idx="0">
                  <c:v>0</c:v>
                </c:pt>
                <c:pt idx="1">
                  <c:v>0</c:v>
                </c:pt>
                <c:pt idx="2">
                  <c:v>0</c:v>
                </c:pt>
                <c:pt idx="3">
                  <c:v>0</c:v>
                </c:pt>
                <c:pt idx="4">
                  <c:v>21.6</c:v>
                </c:pt>
                <c:pt idx="5">
                  <c:v>21.6</c:v>
                </c:pt>
                <c:pt idx="6">
                  <c:v>0</c:v>
                </c:pt>
                <c:pt idx="7">
                  <c:v>0</c:v>
                </c:pt>
                <c:pt idx="8">
                  <c:v>0</c:v>
                </c:pt>
                <c:pt idx="9">
                  <c:v>18</c:v>
                </c:pt>
                <c:pt idx="10">
                  <c:v>26.400000000000006</c:v>
                </c:pt>
                <c:pt idx="11">
                  <c:v>12.000000000000007</c:v>
                </c:pt>
              </c:numCache>
            </c:numRef>
          </c:val>
          <c:extLst>
            <c:ext xmlns:c16="http://schemas.microsoft.com/office/drawing/2014/chart" uri="{C3380CC4-5D6E-409C-BE32-E72D297353CC}">
              <c16:uniqueId val="{00000003-7FBD-4B95-91FE-E3CE00561954}"/>
            </c:ext>
          </c:extLst>
        </c:ser>
        <c:dLbls>
          <c:showLegendKey val="0"/>
          <c:showVal val="0"/>
          <c:showCatName val="0"/>
          <c:showSerName val="0"/>
          <c:showPercent val="0"/>
          <c:showBubbleSize val="0"/>
        </c:dLbls>
        <c:gapWidth val="70"/>
        <c:overlap val="100"/>
        <c:axId val="208224256"/>
        <c:axId val="208225792"/>
      </c:barChart>
      <c:catAx>
        <c:axId val="208224256"/>
        <c:scaling>
          <c:orientation val="minMax"/>
        </c:scaling>
        <c:delete val="0"/>
        <c:axPos val="b"/>
        <c:numFmt formatCode="General" sourceLinked="0"/>
        <c:majorTickMark val="out"/>
        <c:minorTickMark val="none"/>
        <c:tickLblPos val="nextTo"/>
        <c:txPr>
          <a:bodyPr rot="-5400000" vert="horz"/>
          <a:lstStyle/>
          <a:p>
            <a:pPr>
              <a:defRPr sz="2200">
                <a:latin typeface="Vodafone Lt" panose="020B0606040202020204" pitchFamily="34" charset="0"/>
              </a:defRPr>
            </a:pPr>
            <a:endParaRPr lang="en-US"/>
          </a:p>
        </c:txPr>
        <c:crossAx val="208225792"/>
        <c:crosses val="autoZero"/>
        <c:auto val="1"/>
        <c:lblAlgn val="ctr"/>
        <c:lblOffset val="100"/>
        <c:noMultiLvlLbl val="0"/>
      </c:catAx>
      <c:valAx>
        <c:axId val="208225792"/>
        <c:scaling>
          <c:orientation val="minMax"/>
        </c:scaling>
        <c:delete val="0"/>
        <c:axPos val="l"/>
        <c:majorGridlines/>
        <c:numFmt formatCode="General" sourceLinked="1"/>
        <c:majorTickMark val="out"/>
        <c:minorTickMark val="none"/>
        <c:tickLblPos val="nextTo"/>
        <c:txPr>
          <a:bodyPr/>
          <a:lstStyle/>
          <a:p>
            <a:pPr>
              <a:defRPr sz="2000">
                <a:latin typeface="Vodafone Lt" panose="020B0606040202020204" pitchFamily="34" charset="0"/>
              </a:defRPr>
            </a:pPr>
            <a:endParaRPr lang="en-US"/>
          </a:p>
        </c:txPr>
        <c:crossAx val="208224256"/>
        <c:crosses val="autoZero"/>
        <c:crossBetween val="between"/>
      </c:valAx>
      <c:spPr>
        <a:solidFill>
          <a:srgbClr val="E6E0EC"/>
        </a:solidFill>
      </c:spPr>
    </c:plotArea>
    <c:legend>
      <c:legendPos val="r"/>
      <c:layout>
        <c:manualLayout>
          <c:xMode val="edge"/>
          <c:yMode val="edge"/>
          <c:x val="0.83617837984604204"/>
          <c:y val="0.22437521396781923"/>
          <c:w val="0.15181359779770617"/>
          <c:h val="0.57041724924571346"/>
        </c:manualLayout>
      </c:layout>
      <c:overlay val="0"/>
      <c:txPr>
        <a:bodyPr/>
        <a:lstStyle/>
        <a:p>
          <a:pPr>
            <a:defRPr sz="20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533135251417278E-2"/>
          <c:y val="0.13792374637380853"/>
          <c:w val="0.80183762807238856"/>
          <c:h val="0.61390954125903674"/>
        </c:manualLayout>
      </c:layout>
      <c:barChart>
        <c:barDir val="col"/>
        <c:grouping val="stacked"/>
        <c:varyColors val="0"/>
        <c:ser>
          <c:idx val="0"/>
          <c:order val="0"/>
          <c:tx>
            <c:strRef>
              <c:f>'Power figures'!$B$185</c:f>
              <c:strCache>
                <c:ptCount val="1"/>
                <c:pt idx="0">
                  <c:v>Load (kW)</c:v>
                </c:pt>
              </c:strCache>
            </c:strRef>
          </c:tx>
          <c:spPr>
            <a:solidFill>
              <a:srgbClr val="008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figures'!$B$186:$B$211</c:f>
              <c:numCache>
                <c:formatCode>0.0</c:formatCode>
                <c:ptCount val="26"/>
                <c:pt idx="0">
                  <c:v>34.552999999999997</c:v>
                </c:pt>
                <c:pt idx="1">
                  <c:v>33.299500000000002</c:v>
                </c:pt>
                <c:pt idx="2">
                  <c:v>26.16</c:v>
                </c:pt>
                <c:pt idx="3">
                  <c:v>37.986499999999999</c:v>
                </c:pt>
                <c:pt idx="4">
                  <c:v>40.384500000000003</c:v>
                </c:pt>
                <c:pt idx="5">
                  <c:v>21.418500000000002</c:v>
                </c:pt>
                <c:pt idx="6">
                  <c:v>27.304500000000001</c:v>
                </c:pt>
                <c:pt idx="7">
                  <c:v>33.244999999999997</c:v>
                </c:pt>
                <c:pt idx="8">
                  <c:v>25.887499999999999</c:v>
                </c:pt>
                <c:pt idx="9">
                  <c:v>19.3475</c:v>
                </c:pt>
                <c:pt idx="10">
                  <c:v>35.207000000000001</c:v>
                </c:pt>
                <c:pt idx="11">
                  <c:v>41.692500000000003</c:v>
                </c:pt>
                <c:pt idx="12">
                  <c:v>39.021999999999998</c:v>
                </c:pt>
                <c:pt idx="13">
                  <c:v>38.749499999999998</c:v>
                </c:pt>
                <c:pt idx="14">
                  <c:v>38.531500000000001</c:v>
                </c:pt>
                <c:pt idx="15">
                  <c:v>48.5595</c:v>
                </c:pt>
                <c:pt idx="16">
                  <c:v>44.962499999999999</c:v>
                </c:pt>
                <c:pt idx="17">
                  <c:v>44.526499999999999</c:v>
                </c:pt>
                <c:pt idx="18">
                  <c:v>33.899000000000001</c:v>
                </c:pt>
                <c:pt idx="19">
                  <c:v>35.316000000000003</c:v>
                </c:pt>
                <c:pt idx="20">
                  <c:v>35.152500000000003</c:v>
                </c:pt>
                <c:pt idx="21">
                  <c:v>21.582000000000001</c:v>
                </c:pt>
                <c:pt idx="22">
                  <c:v>23.598500000000001</c:v>
                </c:pt>
                <c:pt idx="23">
                  <c:v>28.721499999999999</c:v>
                </c:pt>
                <c:pt idx="24">
                  <c:v>13.952</c:v>
                </c:pt>
                <c:pt idx="25">
                  <c:v>11.608499999999999</c:v>
                </c:pt>
              </c:numCache>
            </c:numRef>
          </c:val>
          <c:extLst>
            <c:ext xmlns:c16="http://schemas.microsoft.com/office/drawing/2014/chart" uri="{C3380CC4-5D6E-409C-BE32-E72D297353CC}">
              <c16:uniqueId val="{00000000-3732-4727-862E-C7FED4DA40D8}"/>
            </c:ext>
          </c:extLst>
        </c:ser>
        <c:ser>
          <c:idx val="1"/>
          <c:order val="1"/>
          <c:tx>
            <c:strRef>
              <c:f>'Power figures'!$C$185</c:f>
              <c:strCache>
                <c:ptCount val="1"/>
                <c:pt idx="0">
                  <c:v>Reserved (kW)</c:v>
                </c:pt>
              </c:strCache>
            </c:strRef>
          </c:tx>
          <c:spPr>
            <a:solidFill>
              <a:srgbClr val="F79646">
                <a:lumMod val="75000"/>
              </a:srgbClr>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figures'!$C$186:$C$211</c:f>
              <c:numCache>
                <c:formatCode>0.0</c:formatCode>
                <c:ptCount val="26"/>
                <c:pt idx="0">
                  <c:v>2.9430000000000001</c:v>
                </c:pt>
                <c:pt idx="1">
                  <c:v>2.9430000000000001</c:v>
                </c:pt>
                <c:pt idx="2">
                  <c:v>2.6160000000000001</c:v>
                </c:pt>
                <c:pt idx="3">
                  <c:v>2.7250000000000001</c:v>
                </c:pt>
                <c:pt idx="4">
                  <c:v>2.6705000000000001</c:v>
                </c:pt>
                <c:pt idx="5">
                  <c:v>0</c:v>
                </c:pt>
                <c:pt idx="6">
                  <c:v>0</c:v>
                </c:pt>
                <c:pt idx="7">
                  <c:v>0</c:v>
                </c:pt>
                <c:pt idx="8">
                  <c:v>0</c:v>
                </c:pt>
                <c:pt idx="9">
                  <c:v>0</c:v>
                </c:pt>
                <c:pt idx="10">
                  <c:v>9.6464999999999996</c:v>
                </c:pt>
                <c:pt idx="11">
                  <c:v>9.7554999999999996</c:v>
                </c:pt>
                <c:pt idx="12">
                  <c:v>12.753</c:v>
                </c:pt>
                <c:pt idx="13">
                  <c:v>13.570499999999999</c:v>
                </c:pt>
                <c:pt idx="14">
                  <c:v>12.208</c:v>
                </c:pt>
                <c:pt idx="15">
                  <c:v>8.7744999999999997</c:v>
                </c:pt>
                <c:pt idx="16">
                  <c:v>11.663</c:v>
                </c:pt>
                <c:pt idx="17">
                  <c:v>5.6135000000000002</c:v>
                </c:pt>
                <c:pt idx="18">
                  <c:v>10.791</c:v>
                </c:pt>
                <c:pt idx="19">
                  <c:v>8.6110000000000007</c:v>
                </c:pt>
                <c:pt idx="20">
                  <c:v>12.426</c:v>
                </c:pt>
                <c:pt idx="21">
                  <c:v>0</c:v>
                </c:pt>
                <c:pt idx="22">
                  <c:v>0</c:v>
                </c:pt>
                <c:pt idx="23">
                  <c:v>0</c:v>
                </c:pt>
                <c:pt idx="24">
                  <c:v>0</c:v>
                </c:pt>
                <c:pt idx="25">
                  <c:v>0</c:v>
                </c:pt>
              </c:numCache>
            </c:numRef>
          </c:val>
          <c:extLst>
            <c:ext xmlns:c16="http://schemas.microsoft.com/office/drawing/2014/chart" uri="{C3380CC4-5D6E-409C-BE32-E72D297353CC}">
              <c16:uniqueId val="{00000001-3732-4727-862E-C7FED4DA40D8}"/>
            </c:ext>
          </c:extLst>
        </c:ser>
        <c:ser>
          <c:idx val="2"/>
          <c:order val="2"/>
          <c:tx>
            <c:strRef>
              <c:f>'Power figures'!$D$185</c:f>
              <c:strCache>
                <c:ptCount val="1"/>
                <c:pt idx="0">
                  <c:v>Forecast (kW)</c:v>
                </c:pt>
              </c:strCache>
            </c:strRef>
          </c:tx>
          <c:spPr>
            <a:solidFill>
              <a:srgbClr val="800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figures'!$D$186:$D$211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3732-4727-862E-C7FED4DA40D8}"/>
            </c:ext>
          </c:extLst>
        </c:ser>
        <c:ser>
          <c:idx val="3"/>
          <c:order val="3"/>
          <c:tx>
            <c:strRef>
              <c:f>'Power figures'!$G$185</c:f>
              <c:strCache>
                <c:ptCount val="1"/>
                <c:pt idx="0">
                  <c:v>Remaining Capacity (kW)</c:v>
                </c:pt>
              </c:strCache>
            </c:strRef>
          </c:tx>
          <c:spPr>
            <a:solidFill>
              <a:srgbClr val="FFFFCC"/>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figures'!$G$186:$G$211</c:f>
              <c:numCache>
                <c:formatCode>0.0</c:formatCode>
                <c:ptCount val="26"/>
                <c:pt idx="0">
                  <c:v>28.447000000000003</c:v>
                </c:pt>
                <c:pt idx="1">
                  <c:v>29.700499999999998</c:v>
                </c:pt>
                <c:pt idx="2">
                  <c:v>36.840000000000003</c:v>
                </c:pt>
                <c:pt idx="3">
                  <c:v>25.013500000000001</c:v>
                </c:pt>
                <c:pt idx="4">
                  <c:v>22.615499999999997</c:v>
                </c:pt>
                <c:pt idx="5">
                  <c:v>41.581499999999998</c:v>
                </c:pt>
                <c:pt idx="6">
                  <c:v>35.695499999999996</c:v>
                </c:pt>
                <c:pt idx="7">
                  <c:v>29.755000000000003</c:v>
                </c:pt>
                <c:pt idx="8">
                  <c:v>37.112499999999997</c:v>
                </c:pt>
                <c:pt idx="9">
                  <c:v>43.652500000000003</c:v>
                </c:pt>
                <c:pt idx="10">
                  <c:v>27.792999999999999</c:v>
                </c:pt>
                <c:pt idx="11">
                  <c:v>21.307499999999997</c:v>
                </c:pt>
                <c:pt idx="12">
                  <c:v>23.978000000000002</c:v>
                </c:pt>
                <c:pt idx="13">
                  <c:v>24.250500000000002</c:v>
                </c:pt>
                <c:pt idx="14">
                  <c:v>24.468499999999999</c:v>
                </c:pt>
                <c:pt idx="15">
                  <c:v>17.4405</c:v>
                </c:pt>
                <c:pt idx="16">
                  <c:v>21.037500000000001</c:v>
                </c:pt>
                <c:pt idx="17">
                  <c:v>21.473500000000001</c:v>
                </c:pt>
                <c:pt idx="18">
                  <c:v>17.100999999999999</c:v>
                </c:pt>
                <c:pt idx="19">
                  <c:v>30.683999999999997</c:v>
                </c:pt>
                <c:pt idx="20">
                  <c:v>30.847499999999997</c:v>
                </c:pt>
                <c:pt idx="21">
                  <c:v>41.417999999999999</c:v>
                </c:pt>
                <c:pt idx="22">
                  <c:v>39.401499999999999</c:v>
                </c:pt>
                <c:pt idx="23">
                  <c:v>34.278500000000001</c:v>
                </c:pt>
                <c:pt idx="24">
                  <c:v>49.048000000000002</c:v>
                </c:pt>
                <c:pt idx="25">
                  <c:v>51.391500000000001</c:v>
                </c:pt>
              </c:numCache>
            </c:numRef>
          </c:val>
          <c:extLst>
            <c:ext xmlns:c16="http://schemas.microsoft.com/office/drawing/2014/chart" uri="{C3380CC4-5D6E-409C-BE32-E72D297353CC}">
              <c16:uniqueId val="{00000000-CAF1-484E-B229-C889BB7F9877}"/>
            </c:ext>
          </c:extLst>
        </c:ser>
        <c:dLbls>
          <c:showLegendKey val="0"/>
          <c:showVal val="0"/>
          <c:showCatName val="0"/>
          <c:showSerName val="0"/>
          <c:showPercent val="0"/>
          <c:showBubbleSize val="0"/>
        </c:dLbls>
        <c:gapWidth val="70"/>
        <c:overlap val="100"/>
        <c:axId val="208301440"/>
        <c:axId val="208303232"/>
      </c:barChart>
      <c:catAx>
        <c:axId val="208301440"/>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03232"/>
        <c:crosses val="autoZero"/>
        <c:auto val="1"/>
        <c:lblAlgn val="ctr"/>
        <c:lblOffset val="100"/>
        <c:noMultiLvlLbl val="0"/>
      </c:catAx>
      <c:valAx>
        <c:axId val="208303232"/>
        <c:scaling>
          <c:orientation val="minMax"/>
          <c:max val="7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01440"/>
        <c:crosses val="autoZero"/>
        <c:crossBetween val="between"/>
      </c:valAx>
      <c:spPr>
        <a:solidFill>
          <a:srgbClr val="8064A2">
            <a:lumMod val="20000"/>
            <a:lumOff val="80000"/>
          </a:srgbClr>
        </a:solidFill>
      </c:spPr>
    </c:plotArea>
    <c:legend>
      <c:legendPos val="r"/>
      <c:layout>
        <c:manualLayout>
          <c:xMode val="edge"/>
          <c:yMode val="edge"/>
          <c:x val="0.88286225785365091"/>
          <c:y val="0.21986562625612946"/>
          <c:w val="0.11713774214634912"/>
          <c:h val="0.4843443409320875"/>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16357717634797"/>
          <c:y val="0.11128777498813133"/>
          <c:w val="0.50013449455790271"/>
          <c:h val="0.69091972837466153"/>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Loading'!$B$62:$B$62,'Inverter Loading'!$B$65,'Inverter Loading'!$B$72,'Inverter Loading'!$B$80:$B$81)</c:f>
              <c:numCache>
                <c:formatCode>General</c:formatCode>
                <c:ptCount val="5"/>
                <c:pt idx="0">
                  <c:v>28</c:v>
                </c:pt>
                <c:pt idx="1">
                  <c:v>16</c:v>
                </c:pt>
                <c:pt idx="2">
                  <c:v>3.4499999999999997</c:v>
                </c:pt>
                <c:pt idx="3">
                  <c:v>51</c:v>
                </c:pt>
                <c:pt idx="4">
                  <c:v>8</c:v>
                </c:pt>
              </c:numCache>
            </c:numRef>
          </c:val>
          <c:extLst>
            <c:ext xmlns:c16="http://schemas.microsoft.com/office/drawing/2014/chart" uri="{C3380CC4-5D6E-409C-BE32-E72D297353CC}">
              <c16:uniqueId val="{00000000-24AC-432C-BCD0-F143BD78452B}"/>
            </c:ext>
          </c:extLst>
        </c:ser>
        <c:ser>
          <c:idx val="1"/>
          <c:order val="1"/>
          <c:tx>
            <c:strRef>
              <c:f>'Inverter Loading'!$C$61</c:f>
              <c:strCache>
                <c:ptCount val="1"/>
                <c:pt idx="0">
                  <c:v>Reserved (kW)</c:v>
                </c:pt>
              </c:strCache>
            </c:strRef>
          </c:tx>
          <c:spPr>
            <a:solidFill>
              <a:srgbClr val="F79646">
                <a:lumMod val="75000"/>
              </a:srgbClr>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Loading'!$C$62:$C$62,'Inverter Loading'!$C$65,'Inverter Loading'!$C$72,'Inverter Loading'!$C$80:$C$81)</c:f>
              <c:numCache>
                <c:formatCode>General</c:formatCode>
                <c:ptCount val="5"/>
                <c:pt idx="0">
                  <c:v>16</c:v>
                </c:pt>
                <c:pt idx="1">
                  <c:v>0</c:v>
                </c:pt>
                <c:pt idx="2">
                  <c:v>0</c:v>
                </c:pt>
                <c:pt idx="3">
                  <c:v>0</c:v>
                </c:pt>
                <c:pt idx="4">
                  <c:v>0</c:v>
                </c:pt>
              </c:numCache>
            </c:numRef>
          </c:val>
          <c:extLst>
            <c:ext xmlns:c16="http://schemas.microsoft.com/office/drawing/2014/chart" uri="{C3380CC4-5D6E-409C-BE32-E72D297353CC}">
              <c16:uniqueId val="{00000001-24AC-432C-BCD0-F143BD78452B}"/>
            </c:ext>
          </c:extLst>
        </c:ser>
        <c:ser>
          <c:idx val="2"/>
          <c:order val="2"/>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Loading'!$D$62:$D$62,'Inverter Loading'!$D$65,'Inverter Loading'!$D$72,'Inverter Loading'!$D$80:$D$81)</c:f>
              <c:numCache>
                <c:formatCode>General</c:formatCode>
                <c:ptCount val="5"/>
                <c:pt idx="0">
                  <c:v>0.57499999999999996</c:v>
                </c:pt>
                <c:pt idx="1">
                  <c:v>0</c:v>
                </c:pt>
                <c:pt idx="2">
                  <c:v>4.968</c:v>
                </c:pt>
                <c:pt idx="3">
                  <c:v>2.2080000000000002</c:v>
                </c:pt>
                <c:pt idx="4">
                  <c:v>0</c:v>
                </c:pt>
              </c:numCache>
            </c:numRef>
          </c:val>
          <c:extLst>
            <c:ext xmlns:c16="http://schemas.microsoft.com/office/drawing/2014/chart" uri="{C3380CC4-5D6E-409C-BE32-E72D297353CC}">
              <c16:uniqueId val="{00000002-24AC-432C-BCD0-F143BD78452B}"/>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Loading'!$E$62:$E$62,'Inverter Loading'!$E$65,'Inverter Loading'!$E$72,'Inverter Loading'!$E$80:$E$81)</c:f>
              <c:numCache>
                <c:formatCode>General</c:formatCode>
                <c:ptCount val="5"/>
                <c:pt idx="0">
                  <c:v>-3.7750000000000057</c:v>
                </c:pt>
                <c:pt idx="1">
                  <c:v>8</c:v>
                </c:pt>
                <c:pt idx="2">
                  <c:v>20.381999999999998</c:v>
                </c:pt>
                <c:pt idx="3">
                  <c:v>4.3919999999999959</c:v>
                </c:pt>
                <c:pt idx="4">
                  <c:v>16</c:v>
                </c:pt>
              </c:numCache>
            </c:numRef>
          </c:val>
          <c:extLst>
            <c:ext xmlns:c16="http://schemas.microsoft.com/office/drawing/2014/chart" uri="{C3380CC4-5D6E-409C-BE32-E72D297353CC}">
              <c16:uniqueId val="{00000003-24AC-432C-BCD0-F143BD78452B}"/>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Loading'!$G$62:$G$62,'Inverter Loading'!$G$65,'Inverter Loading'!$G$72,'Inverter Loading'!$G$80:$G$81)</c:f>
              <c:numCache>
                <c:formatCode>General</c:formatCode>
                <c:ptCount val="5"/>
                <c:pt idx="0">
                  <c:v>16.799999999999997</c:v>
                </c:pt>
                <c:pt idx="1">
                  <c:v>4.7999999999999972</c:v>
                </c:pt>
                <c:pt idx="2">
                  <c:v>0</c:v>
                </c:pt>
                <c:pt idx="3">
                  <c:v>0</c:v>
                </c:pt>
                <c:pt idx="4">
                  <c:v>4.7999999999999972</c:v>
                </c:pt>
              </c:numCache>
            </c:numRef>
          </c:val>
          <c:extLst>
            <c:ext xmlns:c16="http://schemas.microsoft.com/office/drawing/2014/chart" uri="{C3380CC4-5D6E-409C-BE32-E72D297353CC}">
              <c16:uniqueId val="{00000000-8991-4229-96DF-1E7BE6A472F2}"/>
            </c:ext>
          </c:extLst>
        </c:ser>
        <c:dLbls>
          <c:showLegendKey val="0"/>
          <c:showVal val="0"/>
          <c:showCatName val="0"/>
          <c:showSerName val="0"/>
          <c:showPercent val="0"/>
          <c:showBubbleSize val="0"/>
        </c:dLbls>
        <c:gapWidth val="149"/>
        <c:overlap val="100"/>
        <c:axId val="208362112"/>
        <c:axId val="208372096"/>
      </c:barChart>
      <c:catAx>
        <c:axId val="208362112"/>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72096"/>
        <c:crosses val="autoZero"/>
        <c:auto val="1"/>
        <c:lblAlgn val="ctr"/>
        <c:lblOffset val="100"/>
        <c:noMultiLvlLbl val="0"/>
      </c:catAx>
      <c:valAx>
        <c:axId val="208372096"/>
        <c:scaling>
          <c:orientation val="minMax"/>
          <c:max val="45"/>
        </c:scaling>
        <c:delete val="0"/>
        <c:axPos val="l"/>
        <c:majorGridlines/>
        <c:title>
          <c:tx>
            <c:rich>
              <a:bodyPr/>
              <a:lstStyle/>
              <a:p>
                <a:pPr>
                  <a:defRPr sz="2000" b="0" i="0" u="none" strike="noStrike" baseline="0">
                    <a:solidFill>
                      <a:srgbClr val="000000"/>
                    </a:solidFill>
                    <a:latin typeface="Vodafone Lt"/>
                    <a:ea typeface="Vodafone Lt"/>
                    <a:cs typeface="Vodafone Lt"/>
                  </a:defRPr>
                </a:pPr>
                <a:r>
                  <a:rPr lang="en-GB"/>
                  <a:t>Power (kW)</a:t>
                </a:r>
              </a:p>
            </c:rich>
          </c:tx>
          <c:layout>
            <c:manualLayout>
              <c:xMode val="edge"/>
              <c:yMode val="edge"/>
              <c:x val="1.1107659433106779E-2"/>
              <c:y val="0.32877111789597729"/>
            </c:manualLayout>
          </c:layout>
          <c:overlay val="0"/>
          <c:spPr>
            <a:noFill/>
            <a:ln w="25400">
              <a:noFill/>
            </a:ln>
          </c:spPr>
        </c:title>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62112"/>
        <c:crosses val="autoZero"/>
        <c:crossBetween val="between"/>
      </c:valAx>
      <c:spPr>
        <a:solidFill>
          <a:srgbClr val="8064A2">
            <a:lumMod val="20000"/>
            <a:lumOff val="80000"/>
          </a:srgbClr>
        </a:solidFill>
      </c:spPr>
    </c:plotArea>
    <c:legend>
      <c:legendPos val="r"/>
      <c:legendEntry>
        <c:idx val="4"/>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66449941191786599"/>
          <c:y val="0.22436316888960306"/>
          <c:w val="0.31507539634992837"/>
          <c:h val="0.4151995797717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25" r="0.25" t="0.75" header="0.3" footer="0.3"/>
    <c:pageSetup paperSize="8" orientation="landscape"/>
  </c:printSettings>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82856332424931E-2"/>
          <c:y val="2.2939101678322332E-2"/>
          <c:w val="0.75037014696008419"/>
          <c:h val="0.90800676387789425"/>
        </c:manualLayout>
      </c:layout>
      <c:barChart>
        <c:barDir val="col"/>
        <c:grouping val="stacked"/>
        <c:varyColors val="0"/>
        <c:ser>
          <c:idx val="0"/>
          <c:order val="0"/>
          <c:tx>
            <c:strRef>
              <c:f>'Rolling Figs'!$J$21</c:f>
              <c:strCache>
                <c:ptCount val="1"/>
                <c:pt idx="0">
                  <c:v>Technology Load (kW) July 16</c:v>
                </c:pt>
              </c:strCache>
            </c:strRef>
          </c:tx>
          <c:spPr>
            <a:solidFill>
              <a:srgbClr val="0070C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Figs'!$J$22:$J$47</c:f>
              <c:numCache>
                <c:formatCode>0</c:formatCode>
                <c:ptCount val="26"/>
                <c:pt idx="0">
                  <c:v>0</c:v>
                </c:pt>
                <c:pt idx="3">
                  <c:v>0</c:v>
                </c:pt>
                <c:pt idx="6">
                  <c:v>0</c:v>
                </c:pt>
                <c:pt idx="9">
                  <c:v>0</c:v>
                </c:pt>
                <c:pt idx="12">
                  <c:v>0</c:v>
                </c:pt>
                <c:pt idx="15">
                  <c:v>0</c:v>
                </c:pt>
                <c:pt idx="18">
                  <c:v>0</c:v>
                </c:pt>
                <c:pt idx="21">
                  <c:v>0</c:v>
                </c:pt>
                <c:pt idx="24">
                  <c:v>0</c:v>
                </c:pt>
              </c:numCache>
            </c:numRef>
          </c:val>
          <c:extLst>
            <c:ext xmlns:c16="http://schemas.microsoft.com/office/drawing/2014/chart" uri="{C3380CC4-5D6E-409C-BE32-E72D297353CC}">
              <c16:uniqueId val="{00000000-6ABF-4D0E-9404-18E2A3AFC522}"/>
            </c:ext>
          </c:extLst>
        </c:ser>
        <c:ser>
          <c:idx val="1"/>
          <c:order val="1"/>
          <c:tx>
            <c:strRef>
              <c:f>'Rolling Figs'!$K$21</c:f>
              <c:strCache>
                <c:ptCount val="1"/>
                <c:pt idx="0">
                  <c:v>Technology Load (kW) July 17</c:v>
                </c:pt>
              </c:strCache>
            </c:strRef>
          </c:tx>
          <c:spPr>
            <a:solidFill>
              <a:srgbClr val="CC000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Figs'!$K$22:$K$47</c:f>
              <c:numCache>
                <c:formatCode>0</c:formatCode>
                <c:ptCount val="26"/>
                <c:pt idx="1">
                  <c:v>370.6</c:v>
                </c:pt>
                <c:pt idx="4">
                  <c:v>0</c:v>
                </c:pt>
                <c:pt idx="7">
                  <c:v>0</c:v>
                </c:pt>
                <c:pt idx="10">
                  <c:v>368.14749999999998</c:v>
                </c:pt>
                <c:pt idx="13">
                  <c:v>172.3835</c:v>
                </c:pt>
                <c:pt idx="16">
                  <c:v>127.203</c:v>
                </c:pt>
                <c:pt idx="19">
                  <c:v>260.51</c:v>
                </c:pt>
                <c:pt idx="22">
                  <c:v>294.57249999999999</c:v>
                </c:pt>
                <c:pt idx="25">
                  <c:v>99.462500000000006</c:v>
                </c:pt>
              </c:numCache>
            </c:numRef>
          </c:val>
          <c:extLst>
            <c:ext xmlns:c16="http://schemas.microsoft.com/office/drawing/2014/chart" uri="{C3380CC4-5D6E-409C-BE32-E72D297353CC}">
              <c16:uniqueId val="{00000001-6ABF-4D0E-9404-18E2A3AFC522}"/>
            </c:ext>
          </c:extLst>
        </c:ser>
        <c:ser>
          <c:idx val="2"/>
          <c:order val="2"/>
          <c:tx>
            <c:strRef>
              <c:f>'Rolling Figs'!$L$21</c:f>
              <c:strCache>
                <c:ptCount val="1"/>
                <c:pt idx="0">
                  <c:v>Reserved Load (kW)</c:v>
                </c:pt>
              </c:strCache>
            </c:strRef>
          </c:tx>
          <c:spPr>
            <a:solidFill>
              <a:srgbClr val="F79646">
                <a:lumMod val="75000"/>
              </a:srgbClr>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Figs'!$L$22:$L$47</c:f>
              <c:numCache>
                <c:formatCode>0</c:formatCode>
                <c:ptCount val="26"/>
                <c:pt idx="1">
                  <c:v>39.021999999999998</c:v>
                </c:pt>
                <c:pt idx="4">
                  <c:v>67.307500000000005</c:v>
                </c:pt>
                <c:pt idx="7">
                  <c:v>55.917000000000002</c:v>
                </c:pt>
                <c:pt idx="10">
                  <c:v>28.721499999999999</c:v>
                </c:pt>
                <c:pt idx="13">
                  <c:v>13.897500000000001</c:v>
                </c:pt>
                <c:pt idx="16">
                  <c:v>0</c:v>
                </c:pt>
                <c:pt idx="19">
                  <c:v>120.336</c:v>
                </c:pt>
                <c:pt idx="22">
                  <c:v>105.5665</c:v>
                </c:pt>
                <c:pt idx="25">
                  <c:v>0</c:v>
                </c:pt>
              </c:numCache>
            </c:numRef>
          </c:val>
          <c:extLst>
            <c:ext xmlns:c16="http://schemas.microsoft.com/office/drawing/2014/chart" uri="{C3380CC4-5D6E-409C-BE32-E72D297353CC}">
              <c16:uniqueId val="{00000002-6ABF-4D0E-9404-18E2A3AFC522}"/>
            </c:ext>
          </c:extLst>
        </c:ser>
        <c:ser>
          <c:idx val="3"/>
          <c:order val="3"/>
          <c:tx>
            <c:strRef>
              <c:f>'Rolling Figs'!$M$21</c:f>
              <c:strCache>
                <c:ptCount val="1"/>
                <c:pt idx="0">
                  <c:v>Forecast Load (kW)</c:v>
                </c:pt>
              </c:strCache>
            </c:strRef>
          </c:tx>
          <c:spPr>
            <a:solidFill>
              <a:srgbClr val="990033"/>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Figs'!$M$22:$M$47</c:f>
              <c:numCache>
                <c:formatCode>0</c:formatCode>
                <c:ptCount val="26"/>
                <c:pt idx="1">
                  <c:v>57.606499999999997</c:v>
                </c:pt>
                <c:pt idx="4">
                  <c:v>20.388449999999999</c:v>
                </c:pt>
                <c:pt idx="7">
                  <c:v>7.085</c:v>
                </c:pt>
                <c:pt idx="10">
                  <c:v>46.106999999999999</c:v>
                </c:pt>
                <c:pt idx="13">
                  <c:v>1.526</c:v>
                </c:pt>
                <c:pt idx="16">
                  <c:v>8.0660000000000007</c:v>
                </c:pt>
                <c:pt idx="19">
                  <c:v>6.0604000000000005</c:v>
                </c:pt>
                <c:pt idx="22">
                  <c:v>16.241</c:v>
                </c:pt>
                <c:pt idx="25">
                  <c:v>14.715</c:v>
                </c:pt>
              </c:numCache>
            </c:numRef>
          </c:val>
          <c:extLst>
            <c:ext xmlns:c16="http://schemas.microsoft.com/office/drawing/2014/chart" uri="{C3380CC4-5D6E-409C-BE32-E72D297353CC}">
              <c16:uniqueId val="{00000000-BC17-40EB-9726-AE9D6D578D89}"/>
            </c:ext>
          </c:extLst>
        </c:ser>
        <c:dLbls>
          <c:showLegendKey val="0"/>
          <c:showVal val="0"/>
          <c:showCatName val="0"/>
          <c:showSerName val="0"/>
          <c:showPercent val="0"/>
          <c:showBubbleSize val="0"/>
        </c:dLbls>
        <c:gapWidth val="0"/>
        <c:overlap val="100"/>
        <c:axId val="207580544"/>
        <c:axId val="207598720"/>
      </c:barChart>
      <c:catAx>
        <c:axId val="207580544"/>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98720"/>
        <c:crosses val="autoZero"/>
        <c:auto val="1"/>
        <c:lblAlgn val="ctr"/>
        <c:lblOffset val="100"/>
        <c:noMultiLvlLbl val="0"/>
      </c:catAx>
      <c:valAx>
        <c:axId val="207598720"/>
        <c:scaling>
          <c:orientation val="minMax"/>
          <c:min val="0"/>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80544"/>
        <c:crosses val="autoZero"/>
        <c:crossBetween val="between"/>
      </c:valAx>
      <c:spPr>
        <a:solidFill>
          <a:srgbClr val="E6E0EC"/>
        </a:solidFill>
      </c:spPr>
    </c:plotArea>
    <c:legend>
      <c:legendPos val="r"/>
      <c:layout>
        <c:manualLayout>
          <c:xMode val="edge"/>
          <c:yMode val="edge"/>
          <c:x val="0.83299094111184113"/>
          <c:y val="0.13897445746111003"/>
          <c:w val="0.16062510995975024"/>
          <c:h val="0.54213699194798748"/>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2712375304092469E-2"/>
          <c:y val="5.0344769403824513E-2"/>
          <c:w val="0.80612296132087691"/>
          <c:h val="0.86176609279772232"/>
        </c:manualLayout>
      </c:layout>
      <c:barChart>
        <c:barDir val="col"/>
        <c:grouping val="stacked"/>
        <c:varyColors val="0"/>
        <c:ser>
          <c:idx val="0"/>
          <c:order val="0"/>
          <c:tx>
            <c:strRef>
              <c:f>'Cab Floorspace'!$J$21</c:f>
              <c:strCache>
                <c:ptCount val="1"/>
                <c:pt idx="0">
                  <c:v>Used (m²) </c:v>
                </c:pt>
              </c:strCache>
            </c:strRef>
          </c:tx>
          <c:spPr>
            <a:solidFill>
              <a:srgbClr val="008000"/>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Floorspace'!$J$22:$J$40</c:f>
              <c:numCache>
                <c:formatCode>0</c:formatCode>
                <c:ptCount val="19"/>
                <c:pt idx="0">
                  <c:v>1713.28</c:v>
                </c:pt>
                <c:pt idx="1">
                  <c:v>1120.32</c:v>
                </c:pt>
                <c:pt idx="2">
                  <c:v>1336.3200000000002</c:v>
                </c:pt>
                <c:pt idx="3">
                  <c:v>1058.24</c:v>
                </c:pt>
                <c:pt idx="4">
                  <c:v>1266.8800000000001</c:v>
                </c:pt>
                <c:pt idx="5">
                  <c:v>1228.8</c:v>
                </c:pt>
                <c:pt idx="6">
                  <c:v>1532.48</c:v>
                </c:pt>
                <c:pt idx="10" formatCode="General">
                  <c:v>0</c:v>
                </c:pt>
                <c:pt idx="11">
                  <c:v>1030.72</c:v>
                </c:pt>
                <c:pt idx="12">
                  <c:v>1217.5999999999999</c:v>
                </c:pt>
                <c:pt idx="13">
                  <c:v>935.04</c:v>
                </c:pt>
                <c:pt idx="14">
                  <c:v>2165.44</c:v>
                </c:pt>
                <c:pt idx="15">
                  <c:v>766.4</c:v>
                </c:pt>
                <c:pt idx="16">
                  <c:v>758.72</c:v>
                </c:pt>
                <c:pt idx="17">
                  <c:v>640.31999999999994</c:v>
                </c:pt>
                <c:pt idx="18">
                  <c:v>1320</c:v>
                </c:pt>
              </c:numCache>
            </c:numRef>
          </c:val>
          <c:extLst>
            <c:ext xmlns:c16="http://schemas.microsoft.com/office/drawing/2014/chart" uri="{C3380CC4-5D6E-409C-BE32-E72D297353CC}">
              <c16:uniqueId val="{00000000-78C2-4C2A-86AA-6BA3EFC7185C}"/>
            </c:ext>
          </c:extLst>
        </c:ser>
        <c:ser>
          <c:idx val="1"/>
          <c:order val="1"/>
          <c:tx>
            <c:strRef>
              <c:f>'Cab Floorspace'!$K$21</c:f>
              <c:strCache>
                <c:ptCount val="1"/>
                <c:pt idx="0">
                  <c:v>Reserved (m²)</c:v>
                </c:pt>
              </c:strCache>
            </c:strRef>
          </c:tx>
          <c:spPr>
            <a:solidFill>
              <a:srgbClr val="F79646">
                <a:lumMod val="75000"/>
              </a:srgbClr>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Floorspace'!$K$22:$K$40</c:f>
              <c:numCache>
                <c:formatCode>0</c:formatCode>
                <c:ptCount val="19"/>
                <c:pt idx="0">
                  <c:v>1.6</c:v>
                </c:pt>
                <c:pt idx="1">
                  <c:v>1.92</c:v>
                </c:pt>
                <c:pt idx="2">
                  <c:v>20.16</c:v>
                </c:pt>
                <c:pt idx="3">
                  <c:v>7.3599999999999994</c:v>
                </c:pt>
                <c:pt idx="4">
                  <c:v>13.12</c:v>
                </c:pt>
                <c:pt idx="5">
                  <c:v>0</c:v>
                </c:pt>
                <c:pt idx="6">
                  <c:v>10.559999999999999</c:v>
                </c:pt>
                <c:pt idx="10" formatCode="General">
                  <c:v>0</c:v>
                </c:pt>
                <c:pt idx="11">
                  <c:v>0</c:v>
                </c:pt>
                <c:pt idx="12">
                  <c:v>0</c:v>
                </c:pt>
                <c:pt idx="13">
                  <c:v>0</c:v>
                </c:pt>
                <c:pt idx="14">
                  <c:v>5.76</c:v>
                </c:pt>
                <c:pt idx="15">
                  <c:v>0</c:v>
                </c:pt>
                <c:pt idx="16">
                  <c:v>0</c:v>
                </c:pt>
                <c:pt idx="17">
                  <c:v>0</c:v>
                </c:pt>
                <c:pt idx="18">
                  <c:v>0</c:v>
                </c:pt>
              </c:numCache>
            </c:numRef>
          </c:val>
          <c:extLst>
            <c:ext xmlns:c16="http://schemas.microsoft.com/office/drawing/2014/chart" uri="{C3380CC4-5D6E-409C-BE32-E72D297353CC}">
              <c16:uniqueId val="{00000001-78C2-4C2A-86AA-6BA3EFC7185C}"/>
            </c:ext>
          </c:extLst>
        </c:ser>
        <c:ser>
          <c:idx val="2"/>
          <c:order val="2"/>
          <c:tx>
            <c:strRef>
              <c:f>'Cab Floorspace'!$L$21</c:f>
              <c:strCache>
                <c:ptCount val="1"/>
                <c:pt idx="0">
                  <c:v>Forecast (m²) </c:v>
                </c:pt>
              </c:strCache>
            </c:strRef>
          </c:tx>
          <c:spPr>
            <a:solidFill>
              <a:srgbClr val="990033"/>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Floorspace'!$L$22:$L$40</c:f>
              <c:numCache>
                <c:formatCode>0</c:formatCode>
                <c:ptCount val="19"/>
                <c:pt idx="0">
                  <c:v>12.8</c:v>
                </c:pt>
                <c:pt idx="1">
                  <c:v>15.360000000000001</c:v>
                </c:pt>
                <c:pt idx="2">
                  <c:v>0</c:v>
                </c:pt>
                <c:pt idx="3">
                  <c:v>3.84</c:v>
                </c:pt>
                <c:pt idx="4">
                  <c:v>0</c:v>
                </c:pt>
                <c:pt idx="5">
                  <c:v>12.8</c:v>
                </c:pt>
                <c:pt idx="6">
                  <c:v>0</c:v>
                </c:pt>
                <c:pt idx="10" formatCode="General">
                  <c:v>0</c:v>
                </c:pt>
                <c:pt idx="11">
                  <c:v>1.92</c:v>
                </c:pt>
                <c:pt idx="12">
                  <c:v>0</c:v>
                </c:pt>
                <c:pt idx="13">
                  <c:v>0</c:v>
                </c:pt>
                <c:pt idx="14">
                  <c:v>0</c:v>
                </c:pt>
                <c:pt idx="15">
                  <c:v>0</c:v>
                </c:pt>
                <c:pt idx="16">
                  <c:v>0</c:v>
                </c:pt>
                <c:pt idx="17">
                  <c:v>0</c:v>
                </c:pt>
                <c:pt idx="18">
                  <c:v>5.12</c:v>
                </c:pt>
              </c:numCache>
            </c:numRef>
          </c:val>
          <c:extLst>
            <c:ext xmlns:c16="http://schemas.microsoft.com/office/drawing/2014/chart" uri="{C3380CC4-5D6E-409C-BE32-E72D297353CC}">
              <c16:uniqueId val="{00000002-78C2-4C2A-86AA-6BA3EFC7185C}"/>
            </c:ext>
          </c:extLst>
        </c:ser>
        <c:ser>
          <c:idx val="3"/>
          <c:order val="3"/>
          <c:tx>
            <c:strRef>
              <c:f>'Cab Floorspace'!$O$21</c:f>
              <c:strCache>
                <c:ptCount val="1"/>
                <c:pt idx="0">
                  <c:v>Remaining (m²) </c:v>
                </c:pt>
              </c:strCache>
            </c:strRef>
          </c:tx>
          <c:spPr>
            <a:solidFill>
              <a:srgbClr val="FFFFCC"/>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Floorspace'!$O$22:$O$40</c:f>
              <c:numCache>
                <c:formatCode>0</c:formatCode>
                <c:ptCount val="19"/>
                <c:pt idx="0">
                  <c:v>759.36000000000013</c:v>
                </c:pt>
                <c:pt idx="1">
                  <c:v>483.20000000000005</c:v>
                </c:pt>
                <c:pt idx="2">
                  <c:v>375.3599999999999</c:v>
                </c:pt>
                <c:pt idx="3">
                  <c:v>273.2800000000002</c:v>
                </c:pt>
                <c:pt idx="4">
                  <c:v>361.59999999999991</c:v>
                </c:pt>
                <c:pt idx="5">
                  <c:v>584.6400000000001</c:v>
                </c:pt>
                <c:pt idx="6">
                  <c:v>672.96</c:v>
                </c:pt>
                <c:pt idx="10" formatCode="General">
                  <c:v>0</c:v>
                </c:pt>
                <c:pt idx="11">
                  <c:v>394.24</c:v>
                </c:pt>
                <c:pt idx="12">
                  <c:v>790.07999999999993</c:v>
                </c:pt>
                <c:pt idx="13">
                  <c:v>352.32000000000016</c:v>
                </c:pt>
                <c:pt idx="14">
                  <c:v>920.31999999999971</c:v>
                </c:pt>
                <c:pt idx="15">
                  <c:v>311.04000000000008</c:v>
                </c:pt>
                <c:pt idx="16">
                  <c:v>274.24</c:v>
                </c:pt>
                <c:pt idx="17">
                  <c:v>340.80000000000007</c:v>
                </c:pt>
                <c:pt idx="18">
                  <c:v>661.76</c:v>
                </c:pt>
              </c:numCache>
            </c:numRef>
          </c:val>
          <c:extLst>
            <c:ext xmlns:c16="http://schemas.microsoft.com/office/drawing/2014/chart" uri="{C3380CC4-5D6E-409C-BE32-E72D297353CC}">
              <c16:uniqueId val="{00000000-B1C5-4CD8-A0C6-6F334F3886B7}"/>
            </c:ext>
          </c:extLst>
        </c:ser>
        <c:dLbls>
          <c:showLegendKey val="0"/>
          <c:showVal val="0"/>
          <c:showCatName val="0"/>
          <c:showSerName val="0"/>
          <c:showPercent val="0"/>
          <c:showBubbleSize val="0"/>
        </c:dLbls>
        <c:gapWidth val="40"/>
        <c:overlap val="100"/>
        <c:axId val="207723520"/>
        <c:axId val="207733504"/>
      </c:barChart>
      <c:catAx>
        <c:axId val="207723520"/>
        <c:scaling>
          <c:orientation val="minMax"/>
        </c:scaling>
        <c:delete val="0"/>
        <c:axPos val="b"/>
        <c:numFmt formatCode="General" sourceLinked="1"/>
        <c:majorTickMark val="out"/>
        <c:minorTickMark val="none"/>
        <c:tickLblPos val="nextTo"/>
        <c:txPr>
          <a:bodyPr rot="0" vert="horz" anchor="t" anchorCtr="0"/>
          <a:lstStyle/>
          <a:p>
            <a:pPr>
              <a:defRPr sz="2400" b="0" i="0" u="none" strike="noStrike" baseline="0">
                <a:solidFill>
                  <a:srgbClr val="000000"/>
                </a:solidFill>
                <a:latin typeface="Vodafone Lt"/>
                <a:ea typeface="Vodafone Lt"/>
                <a:cs typeface="Vodafone Lt"/>
              </a:defRPr>
            </a:pPr>
            <a:endParaRPr lang="en-US"/>
          </a:p>
        </c:txPr>
        <c:crossAx val="207733504"/>
        <c:crosses val="autoZero"/>
        <c:auto val="1"/>
        <c:lblAlgn val="ctr"/>
        <c:lblOffset val="100"/>
        <c:noMultiLvlLbl val="0"/>
      </c:catAx>
      <c:valAx>
        <c:axId val="207733504"/>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7723520"/>
        <c:crosses val="autoZero"/>
        <c:crossBetween val="between"/>
      </c:valAx>
      <c:spPr>
        <a:solidFill>
          <a:srgbClr val="E6E0EC"/>
        </a:solidFill>
      </c:spPr>
    </c:plotArea>
    <c:legend>
      <c:legendPos val="r"/>
      <c:layout>
        <c:manualLayout>
          <c:xMode val="edge"/>
          <c:yMode val="edge"/>
          <c:x val="0.88336589329451853"/>
          <c:y val="0.27562353799430661"/>
          <c:w val="0.10902746844840387"/>
          <c:h val="0.30756079961303928"/>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07888040712468"/>
          <c:y val="4.1888888888888892E-2"/>
          <c:w val="0.70751367434032575"/>
          <c:h val="0.85005555555555556"/>
        </c:manualLayout>
      </c:layout>
      <c:barChart>
        <c:barDir val="col"/>
        <c:grouping val="stacked"/>
        <c:varyColors val="0"/>
        <c:ser>
          <c:idx val="7"/>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Calc'!$O$22:$O$27</c:f>
              <c:numCache>
                <c:formatCode>0</c:formatCode>
                <c:ptCount val="6"/>
                <c:pt idx="0">
                  <c:v>76.800000000000011</c:v>
                </c:pt>
                <c:pt idx="1">
                  <c:v>92.800000000000011</c:v>
                </c:pt>
                <c:pt idx="2">
                  <c:v>81.600000000000009</c:v>
                </c:pt>
                <c:pt idx="3">
                  <c:v>89.600000000000009</c:v>
                </c:pt>
                <c:pt idx="4">
                  <c:v>32</c:v>
                </c:pt>
                <c:pt idx="5">
                  <c:v>12.8</c:v>
                </c:pt>
              </c:numCache>
            </c:numRef>
          </c:val>
          <c:extLst>
            <c:ext xmlns:c16="http://schemas.microsoft.com/office/drawing/2014/chart" uri="{C3380CC4-5D6E-409C-BE32-E72D297353CC}">
              <c16:uniqueId val="{00000000-2EAB-4AFA-A923-FD0CA685E96E}"/>
            </c:ext>
          </c:extLst>
        </c:ser>
        <c:ser>
          <c:idx val="5"/>
          <c:order val="1"/>
          <c:tx>
            <c:strRef>
              <c:f>'Floorspace Calc'!$M$21</c:f>
              <c:strCache>
                <c:ptCount val="1"/>
                <c:pt idx="0">
                  <c:v>Reserved (m²) </c:v>
                </c:pt>
              </c:strCache>
            </c:strRef>
          </c:tx>
          <c:spPr>
            <a:solidFill>
              <a:schemeClr val="accent6">
                <a:lumMod val="75000"/>
              </a:schemeClr>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Calc'!$M$22:$M$27</c:f>
              <c:numCache>
                <c:formatCode>0</c:formatCode>
                <c:ptCount val="6"/>
                <c:pt idx="0">
                  <c:v>1.6</c:v>
                </c:pt>
                <c:pt idx="1">
                  <c:v>0</c:v>
                </c:pt>
                <c:pt idx="2">
                  <c:v>0</c:v>
                </c:pt>
                <c:pt idx="3">
                  <c:v>0</c:v>
                </c:pt>
                <c:pt idx="4">
                  <c:v>0</c:v>
                </c:pt>
                <c:pt idx="5">
                  <c:v>0</c:v>
                </c:pt>
              </c:numCache>
            </c:numRef>
          </c:val>
          <c:extLst>
            <c:ext xmlns:c16="http://schemas.microsoft.com/office/drawing/2014/chart" uri="{C3380CC4-5D6E-409C-BE32-E72D297353CC}">
              <c16:uniqueId val="{00000001-2EAB-4AFA-A923-FD0CA685E96E}"/>
            </c:ext>
          </c:extLst>
        </c:ser>
        <c:ser>
          <c:idx val="6"/>
          <c:order val="2"/>
          <c:tx>
            <c:strRef>
              <c:f>'Floorspace Calc'!$N$21</c:f>
              <c:strCache>
                <c:ptCount val="1"/>
                <c:pt idx="0">
                  <c:v>Forecast (m²) </c:v>
                </c:pt>
              </c:strCache>
            </c:strRef>
          </c:tx>
          <c:spPr>
            <a:solidFill>
              <a:srgbClr val="990033"/>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Calc'!$N$22:$N$27</c:f>
              <c:numCache>
                <c:formatCode>0</c:formatCode>
                <c:ptCount val="6"/>
                <c:pt idx="0">
                  <c:v>3.2</c:v>
                </c:pt>
                <c:pt idx="1">
                  <c:v>1.6</c:v>
                </c:pt>
                <c:pt idx="2">
                  <c:v>0</c:v>
                </c:pt>
                <c:pt idx="3">
                  <c:v>4.8000000000000007</c:v>
                </c:pt>
                <c:pt idx="4">
                  <c:v>9.6000000000000014</c:v>
                </c:pt>
                <c:pt idx="5">
                  <c:v>6.4</c:v>
                </c:pt>
              </c:numCache>
            </c:numRef>
          </c:val>
          <c:extLst>
            <c:ext xmlns:c16="http://schemas.microsoft.com/office/drawing/2014/chart" uri="{C3380CC4-5D6E-409C-BE32-E72D297353CC}">
              <c16:uniqueId val="{00000002-2EAB-4AFA-A923-FD0CA685E96E}"/>
            </c:ext>
          </c:extLst>
        </c:ser>
        <c:ser>
          <c:idx val="8"/>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Calc'!$P$22:$P$27</c:f>
              <c:numCache>
                <c:formatCode>0</c:formatCode>
                <c:ptCount val="6"/>
                <c:pt idx="0">
                  <c:v>14.399999999999991</c:v>
                </c:pt>
                <c:pt idx="1">
                  <c:v>0</c:v>
                </c:pt>
                <c:pt idx="2">
                  <c:v>0</c:v>
                </c:pt>
                <c:pt idx="3">
                  <c:v>4.7999999999999972</c:v>
                </c:pt>
                <c:pt idx="4">
                  <c:v>20.800000000000004</c:v>
                </c:pt>
                <c:pt idx="5">
                  <c:v>8.0000000000000036</c:v>
                </c:pt>
              </c:numCache>
            </c:numRef>
          </c:val>
          <c:extLst>
            <c:ext xmlns:c16="http://schemas.microsoft.com/office/drawing/2014/chart" uri="{C3380CC4-5D6E-409C-BE32-E72D297353CC}">
              <c16:uniqueId val="{00000003-2EAB-4AFA-A923-FD0CA685E96E}"/>
            </c:ext>
          </c:extLst>
        </c:ser>
        <c:dLbls>
          <c:showLegendKey val="0"/>
          <c:showVal val="0"/>
          <c:showCatName val="0"/>
          <c:showSerName val="0"/>
          <c:showPercent val="0"/>
          <c:showBubbleSize val="0"/>
        </c:dLbls>
        <c:gapWidth val="70"/>
        <c:overlap val="100"/>
        <c:axId val="160391936"/>
        <c:axId val="160393472"/>
      </c:barChart>
      <c:catAx>
        <c:axId val="160391936"/>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160393472"/>
        <c:crosses val="autoZero"/>
        <c:auto val="1"/>
        <c:lblAlgn val="ctr"/>
        <c:lblOffset val="100"/>
        <c:noMultiLvlLbl val="0"/>
      </c:catAx>
      <c:valAx>
        <c:axId val="160393472"/>
        <c:scaling>
          <c:orientation val="minMax"/>
          <c:max val="35"/>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160391936"/>
        <c:crosses val="autoZero"/>
        <c:crossBetween val="between"/>
      </c:valAx>
      <c:spPr>
        <a:solidFill>
          <a:srgbClr val="E6E0EC"/>
        </a:solidFill>
      </c:spPr>
    </c:plotArea>
    <c:legend>
      <c:legendPos val="r"/>
      <c:layout>
        <c:manualLayout>
          <c:xMode val="edge"/>
          <c:yMode val="edge"/>
          <c:x val="0.80585212486737035"/>
          <c:y val="0.26113492142596101"/>
          <c:w val="0.18563723683475733"/>
          <c:h val="0.38490315292866872"/>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2404804539619467E-2"/>
          <c:y val="2.854579452078294E-2"/>
          <c:w val="0.63078526549943648"/>
          <c:h val="0.918421059036863"/>
        </c:manualLayout>
      </c:layout>
      <c:barChart>
        <c:barDir val="col"/>
        <c:grouping val="stacked"/>
        <c:varyColors val="0"/>
        <c:ser>
          <c:idx val="0"/>
          <c:order val="0"/>
          <c:tx>
            <c:strRef>
              <c:f>'Power figures'!$B$40</c:f>
              <c:strCache>
                <c:ptCount val="1"/>
              </c:strCache>
            </c:strRef>
          </c:tx>
          <c:spPr>
            <a:solidFill>
              <a:srgbClr val="FF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figures'!$B$23:$B$41</c:f>
              <c:numCache>
                <c:formatCode>0</c:formatCode>
                <c:ptCount val="19"/>
                <c:pt idx="0">
                  <c:v>33</c:v>
                </c:pt>
                <c:pt idx="1">
                  <c:v>47.960000000000008</c:v>
                </c:pt>
                <c:pt idx="2">
                  <c:v>30.660610000000002</c:v>
                </c:pt>
                <c:pt idx="3">
                  <c:v>55.59</c:v>
                </c:pt>
                <c:pt idx="4">
                  <c:v>30.520000000000003</c:v>
                </c:pt>
                <c:pt idx="5">
                  <c:v>17.440000000000001</c:v>
                </c:pt>
                <c:pt idx="6">
                  <c:v>7.6300000000000008</c:v>
                </c:pt>
                <c:pt idx="7">
                  <c:v>0</c:v>
                </c:pt>
                <c:pt idx="8">
                  <c:v>40.33</c:v>
                </c:pt>
                <c:pt idx="9">
                  <c:v>0</c:v>
                </c:pt>
                <c:pt idx="10">
                  <c:v>8.7200000000000006</c:v>
                </c:pt>
                <c:pt idx="11">
                  <c:v>7.6300000000000008</c:v>
                </c:pt>
                <c:pt idx="12">
                  <c:v>7.6300000000000008</c:v>
                </c:pt>
              </c:numCache>
            </c:numRef>
          </c:val>
          <c:extLst>
            <c:ext xmlns:c16="http://schemas.microsoft.com/office/drawing/2014/chart" uri="{C3380CC4-5D6E-409C-BE32-E72D297353CC}">
              <c16:uniqueId val="{00000000-5659-49DA-BB40-F00C59A816DE}"/>
            </c:ext>
          </c:extLst>
        </c:ser>
        <c:ser>
          <c:idx val="1"/>
          <c:order val="1"/>
          <c:tx>
            <c:strRef>
              <c:f>'Power figures'!$C$40</c:f>
              <c:strCache>
                <c:ptCount val="1"/>
              </c:strCache>
            </c:strRef>
          </c:tx>
          <c:spPr>
            <a:solidFill>
              <a:srgbClr val="008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figures'!$C$23:$C$41</c:f>
              <c:numCache>
                <c:formatCode>0</c:formatCode>
                <c:ptCount val="19"/>
                <c:pt idx="0">
                  <c:v>257.1035</c:v>
                </c:pt>
                <c:pt idx="1">
                  <c:v>237.83799999999999</c:v>
                </c:pt>
                <c:pt idx="2">
                  <c:v>229.84939</c:v>
                </c:pt>
                <c:pt idx="3">
                  <c:v>238.98249999999999</c:v>
                </c:pt>
                <c:pt idx="4">
                  <c:v>141.86349999999999</c:v>
                </c:pt>
                <c:pt idx="5">
                  <c:v>109.76300000000001</c:v>
                </c:pt>
                <c:pt idx="6">
                  <c:v>74.9375</c:v>
                </c:pt>
                <c:pt idx="7">
                  <c:v>36.569499999999998</c:v>
                </c:pt>
                <c:pt idx="8">
                  <c:v>27.849500000000006</c:v>
                </c:pt>
                <c:pt idx="9">
                  <c:v>22.236000000000001</c:v>
                </c:pt>
                <c:pt idx="10">
                  <c:v>90.742500000000007</c:v>
                </c:pt>
                <c:pt idx="11">
                  <c:v>85.0745</c:v>
                </c:pt>
                <c:pt idx="12">
                  <c:v>102.242</c:v>
                </c:pt>
              </c:numCache>
            </c:numRef>
          </c:val>
          <c:extLst>
            <c:ext xmlns:c16="http://schemas.microsoft.com/office/drawing/2014/chart" uri="{C3380CC4-5D6E-409C-BE32-E72D297353CC}">
              <c16:uniqueId val="{00000001-5659-49DA-BB40-F00C59A816DE}"/>
            </c:ext>
          </c:extLst>
        </c:ser>
        <c:ser>
          <c:idx val="2"/>
          <c:order val="2"/>
          <c:tx>
            <c:strRef>
              <c:f>'Power figures'!$D$40</c:f>
              <c:strCache>
                <c:ptCount val="1"/>
              </c:strCache>
            </c:strRef>
          </c:tx>
          <c:spPr>
            <a:solidFill>
              <a:srgbClr val="F79646">
                <a:lumMod val="75000"/>
              </a:srgbClr>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figures'!$D$23:$D$41</c:f>
              <c:numCache>
                <c:formatCode>0</c:formatCode>
                <c:ptCount val="19"/>
                <c:pt idx="0">
                  <c:v>50.085500000000003</c:v>
                </c:pt>
                <c:pt idx="1">
                  <c:v>67.307500000000005</c:v>
                </c:pt>
                <c:pt idx="2">
                  <c:v>120.336</c:v>
                </c:pt>
                <c:pt idx="3">
                  <c:v>105.5665</c:v>
                </c:pt>
                <c:pt idx="4">
                  <c:v>13.897500000000001</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5659-49DA-BB40-F00C59A816DE}"/>
            </c:ext>
          </c:extLst>
        </c:ser>
        <c:ser>
          <c:idx val="3"/>
          <c:order val="3"/>
          <c:tx>
            <c:strRef>
              <c:f>'Power figures'!$E$40</c:f>
              <c:strCache>
                <c:ptCount val="1"/>
              </c:strCache>
            </c:strRef>
          </c:tx>
          <c:spPr>
            <a:solidFill>
              <a:srgbClr val="80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figures'!$E$23:$E$41</c:f>
              <c:numCache>
                <c:formatCode>0</c:formatCode>
                <c:ptCount val="19"/>
                <c:pt idx="0">
                  <c:v>6.3765000000000001</c:v>
                </c:pt>
                <c:pt idx="1">
                  <c:v>20.388449999999999</c:v>
                </c:pt>
                <c:pt idx="2">
                  <c:v>6.0604000000000005</c:v>
                </c:pt>
                <c:pt idx="3">
                  <c:v>16.241</c:v>
                </c:pt>
                <c:pt idx="4">
                  <c:v>1.526</c:v>
                </c:pt>
                <c:pt idx="5">
                  <c:v>8.0660000000000007</c:v>
                </c:pt>
                <c:pt idx="6">
                  <c:v>0</c:v>
                </c:pt>
                <c:pt idx="7">
                  <c:v>0</c:v>
                </c:pt>
                <c:pt idx="8">
                  <c:v>0</c:v>
                </c:pt>
                <c:pt idx="9">
                  <c:v>0</c:v>
                </c:pt>
                <c:pt idx="10">
                  <c:v>14.715</c:v>
                </c:pt>
                <c:pt idx="11">
                  <c:v>18.748000000000001</c:v>
                </c:pt>
                <c:pt idx="12">
                  <c:v>0</c:v>
                </c:pt>
                <c:pt idx="15">
                  <c:v>0</c:v>
                </c:pt>
              </c:numCache>
            </c:numRef>
          </c:val>
          <c:extLst>
            <c:ext xmlns:c16="http://schemas.microsoft.com/office/drawing/2014/chart" uri="{C3380CC4-5D6E-409C-BE32-E72D297353CC}">
              <c16:uniqueId val="{00000003-5659-49DA-BB40-F00C59A816DE}"/>
            </c:ext>
          </c:extLst>
        </c:ser>
        <c:ser>
          <c:idx val="4"/>
          <c:order val="4"/>
          <c:tx>
            <c:strRef>
              <c:f>'Power figures'!$F$40</c:f>
              <c:strCache>
                <c:ptCount val="1"/>
              </c:strCache>
            </c:strRef>
          </c:tx>
          <c:spPr>
            <a:solidFill>
              <a:srgbClr val="3A8ED5"/>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figures'!$F$23:$F$41</c:f>
              <c:numCache>
                <c:formatCode>0</c:formatCode>
                <c:ptCount val="19"/>
                <c:pt idx="0">
                  <c:v>31.4345</c:v>
                </c:pt>
                <c:pt idx="1">
                  <c:v>109.50604999999996</c:v>
                </c:pt>
                <c:pt idx="2">
                  <c:v>81.093599999999981</c:v>
                </c:pt>
                <c:pt idx="3">
                  <c:v>72.619999999999976</c:v>
                </c:pt>
                <c:pt idx="4">
                  <c:v>127.19300000000003</c:v>
                </c:pt>
                <c:pt idx="5">
                  <c:v>179.73099999999999</c:v>
                </c:pt>
                <c:pt idx="6">
                  <c:v>169.4325</c:v>
                </c:pt>
                <c:pt idx="7">
                  <c:v>96.430499999999995</c:v>
                </c:pt>
                <c:pt idx="8">
                  <c:v>64.820499999999996</c:v>
                </c:pt>
                <c:pt idx="9">
                  <c:v>110.764</c:v>
                </c:pt>
                <c:pt idx="10">
                  <c:v>200.82249999999996</c:v>
                </c:pt>
                <c:pt idx="11">
                  <c:v>140.54750000000001</c:v>
                </c:pt>
                <c:pt idx="12">
                  <c:v>194.62799999999999</c:v>
                </c:pt>
              </c:numCache>
            </c:numRef>
          </c:val>
          <c:extLst>
            <c:ext xmlns:c16="http://schemas.microsoft.com/office/drawing/2014/chart" uri="{C3380CC4-5D6E-409C-BE32-E72D297353CC}">
              <c16:uniqueId val="{00000000-F928-49CB-9ABD-BE43FBCEF6EC}"/>
            </c:ext>
          </c:extLst>
        </c:ser>
        <c:dLbls>
          <c:showLegendKey val="0"/>
          <c:showVal val="0"/>
          <c:showCatName val="0"/>
          <c:showSerName val="0"/>
          <c:showPercent val="0"/>
          <c:showBubbleSize val="0"/>
        </c:dLbls>
        <c:gapWidth val="60"/>
        <c:overlap val="100"/>
        <c:axId val="208091392"/>
        <c:axId val="208101376"/>
      </c:barChart>
      <c:catAx>
        <c:axId val="208091392"/>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08101376"/>
        <c:crosses val="autoZero"/>
        <c:auto val="1"/>
        <c:lblAlgn val="ctr"/>
        <c:lblOffset val="100"/>
        <c:noMultiLvlLbl val="0"/>
      </c:catAx>
      <c:valAx>
        <c:axId val="208101376"/>
        <c:scaling>
          <c:orientation val="minMax"/>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08091392"/>
        <c:crosses val="autoZero"/>
        <c:crossBetween val="between"/>
      </c:valAx>
      <c:spPr>
        <a:solidFill>
          <a:srgbClr val="8064A2">
            <a:lumMod val="20000"/>
            <a:lumOff val="80000"/>
          </a:srgbClr>
        </a:solidFill>
      </c:spPr>
    </c:plotArea>
    <c:legend>
      <c:legendPos val="r"/>
      <c:layout>
        <c:manualLayout>
          <c:xMode val="edge"/>
          <c:yMode val="edge"/>
          <c:x val="0.76498132775498484"/>
          <c:y val="0.60329856758631606"/>
          <c:w val="0.16786360442808726"/>
          <c:h val="0.2506293856125127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291738947001654"/>
          <c:y val="4.2820896575029223E-2"/>
          <c:w val="0.8071489269645753"/>
          <c:h val="0.74886497029863186"/>
        </c:manualLayout>
      </c:layout>
      <c:barChart>
        <c:barDir val="col"/>
        <c:grouping val="stacked"/>
        <c:varyColors val="0"/>
        <c:ser>
          <c:idx val="0"/>
          <c:order val="0"/>
          <c:spPr>
            <a:solidFill>
              <a:srgbClr val="FF0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figures'!$B$81:$B$83</c:f>
              <c:numCache>
                <c:formatCode>General</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0-0151-4FDE-8C47-A65AFA0D43BA}"/>
            </c:ext>
          </c:extLst>
        </c:ser>
        <c:ser>
          <c:idx val="1"/>
          <c:order val="1"/>
          <c:spPr>
            <a:solidFill>
              <a:srgbClr val="008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figures'!$C$81:$C$83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1-0151-4FDE-8C47-A65AFA0D43BA}"/>
            </c:ext>
          </c:extLst>
        </c:ser>
        <c:ser>
          <c:idx val="2"/>
          <c:order val="2"/>
          <c:spPr>
            <a:solidFill>
              <a:srgbClr val="C0504D"/>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B6C2-42CA-8624-F81B3EA50656}"/>
              </c:ext>
            </c:extLst>
          </c:dPt>
          <c:cat>
            <c:strRef>
              <c:f>'Power figures'!$A$81:$A$83</c:f>
              <c:strCache>
                <c:ptCount val="3"/>
                <c:pt idx="1">
                  <c:v>Graphing Calculations - 5 Remaining Core Sites</c:v>
                </c:pt>
                <c:pt idx="2">
                  <c:v>Site Name</c:v>
                </c:pt>
              </c:strCache>
            </c:strRef>
          </c:cat>
          <c:val>
            <c:numRef>
              <c:f>'Power figures'!$E$81:$E$83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2-0151-4FDE-8C47-A65AFA0D43BA}"/>
            </c:ext>
          </c:extLst>
        </c:ser>
        <c:ser>
          <c:idx val="3"/>
          <c:order val="3"/>
          <c:spPr>
            <a:solidFill>
              <a:srgbClr val="1F497D">
                <a:lumMod val="60000"/>
                <a:lumOff val="40000"/>
              </a:srgbClr>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figures'!$F$81:$F$83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3-0151-4FDE-8C47-A65AFA0D43BA}"/>
            </c:ext>
          </c:extLst>
        </c:ser>
        <c:dLbls>
          <c:showLegendKey val="0"/>
          <c:showVal val="0"/>
          <c:showCatName val="0"/>
          <c:showSerName val="0"/>
          <c:showPercent val="0"/>
          <c:showBubbleSize val="0"/>
        </c:dLbls>
        <c:gapWidth val="40"/>
        <c:overlap val="100"/>
        <c:axId val="210379520"/>
        <c:axId val="210381056"/>
      </c:barChart>
      <c:catAx>
        <c:axId val="210379520"/>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81056"/>
        <c:crosses val="autoZero"/>
        <c:auto val="1"/>
        <c:lblAlgn val="ctr"/>
        <c:lblOffset val="100"/>
        <c:noMultiLvlLbl val="0"/>
      </c:catAx>
      <c:valAx>
        <c:axId val="210381056"/>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79520"/>
        <c:crosses val="autoZero"/>
        <c:crossBetween val="between"/>
      </c:valAx>
      <c:spPr>
        <a:solidFill>
          <a:srgbClr val="8064A2">
            <a:lumMod val="20000"/>
            <a:lumOff val="80000"/>
          </a:srgbClr>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729270659349398"/>
          <c:y val="0.13652509652509653"/>
          <c:w val="0.6506351069752645"/>
          <c:h val="0.67682657314894457"/>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Loading'!$B$66:$B$67,'Inverter Loading'!$B$73:$B$73,'Inverter Loading'!$B$82:$B$83)</c:f>
              <c:numCache>
                <c:formatCode>General</c:formatCode>
                <c:ptCount val="5"/>
                <c:pt idx="0">
                  <c:v>0</c:v>
                </c:pt>
                <c:pt idx="1">
                  <c:v>0</c:v>
                </c:pt>
                <c:pt idx="2">
                  <c:v>37</c:v>
                </c:pt>
                <c:pt idx="3">
                  <c:v>0</c:v>
                </c:pt>
                <c:pt idx="4">
                  <c:v>7</c:v>
                </c:pt>
              </c:numCache>
            </c:numRef>
          </c:val>
          <c:extLst>
            <c:ext xmlns:c16="http://schemas.microsoft.com/office/drawing/2014/chart" uri="{C3380CC4-5D6E-409C-BE32-E72D297353CC}">
              <c16:uniqueId val="{00000000-F0E8-4BB5-A46C-6B3C88AFD4ED}"/>
            </c:ext>
          </c:extLst>
        </c:ser>
        <c:ser>
          <c:idx val="1"/>
          <c:order val="1"/>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Loading'!$D$66:$D$67,'Inverter Loading'!$D$73:$D$73,'Inverter Loading'!$D$82:$D$83)</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0E8-4BB5-A46C-6B3C88AFD4ED}"/>
            </c:ext>
          </c:extLst>
        </c:ser>
        <c:ser>
          <c:idx val="2"/>
          <c:order val="2"/>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Loading'!$E$66:$E$67,'Inverter Loading'!$E$73:$E$73,'Inverter Loading'!$E$82:$E$83)</c:f>
              <c:numCache>
                <c:formatCode>General</c:formatCode>
                <c:ptCount val="5"/>
                <c:pt idx="0">
                  <c:v>0</c:v>
                </c:pt>
                <c:pt idx="1">
                  <c:v>0</c:v>
                </c:pt>
                <c:pt idx="2">
                  <c:v>15.799999999999997</c:v>
                </c:pt>
                <c:pt idx="3">
                  <c:v>0</c:v>
                </c:pt>
                <c:pt idx="4">
                  <c:v>17</c:v>
                </c:pt>
              </c:numCache>
            </c:numRef>
          </c:val>
          <c:extLst>
            <c:ext xmlns:c16="http://schemas.microsoft.com/office/drawing/2014/chart" uri="{C3380CC4-5D6E-409C-BE32-E72D297353CC}">
              <c16:uniqueId val="{00000002-F0E8-4BB5-A46C-6B3C88AFD4ED}"/>
            </c:ext>
          </c:extLst>
        </c:ser>
        <c:ser>
          <c:idx val="3"/>
          <c:order val="3"/>
          <c:tx>
            <c:strRef>
              <c:f>'Inverter Loading'!$G$61</c:f>
              <c:strCache>
                <c:ptCount val="1"/>
                <c:pt idx="0">
                  <c:v>Power Capability (kW)</c:v>
                </c:pt>
              </c:strCache>
            </c:strRef>
          </c:tx>
          <c:spPr>
            <a:solidFill>
              <a:srgbClr val="1F497D">
                <a:lumMod val="60000"/>
                <a:lumOff val="40000"/>
              </a:srgbClr>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Loading'!$G$66:$G$67,'Inverter Loading'!$G$73:$G$73,'Inverter Loading'!$G$82:$G$83)</c:f>
              <c:numCache>
                <c:formatCode>General</c:formatCode>
                <c:ptCount val="5"/>
                <c:pt idx="0">
                  <c:v>0</c:v>
                </c:pt>
                <c:pt idx="1">
                  <c:v>0</c:v>
                </c:pt>
                <c:pt idx="2">
                  <c:v>2.3999999999999986</c:v>
                </c:pt>
                <c:pt idx="3">
                  <c:v>0</c:v>
                </c:pt>
                <c:pt idx="4">
                  <c:v>4.7999999999999972</c:v>
                </c:pt>
              </c:numCache>
            </c:numRef>
          </c:val>
          <c:extLst>
            <c:ext xmlns:c16="http://schemas.microsoft.com/office/drawing/2014/chart" uri="{C3380CC4-5D6E-409C-BE32-E72D297353CC}">
              <c16:uniqueId val="{00000003-F0E8-4BB5-A46C-6B3C88AFD4ED}"/>
            </c:ext>
          </c:extLst>
        </c:ser>
        <c:dLbls>
          <c:showLegendKey val="0"/>
          <c:showVal val="0"/>
          <c:showCatName val="0"/>
          <c:showSerName val="0"/>
          <c:showPercent val="0"/>
          <c:showBubbleSize val="0"/>
        </c:dLbls>
        <c:gapWidth val="200"/>
        <c:overlap val="100"/>
        <c:axId val="210462592"/>
        <c:axId val="210464128"/>
      </c:barChart>
      <c:catAx>
        <c:axId val="210462592"/>
        <c:scaling>
          <c:orientation val="minMax"/>
        </c:scaling>
        <c:delete val="0"/>
        <c:axPos val="b"/>
        <c:numFmt formatCode="General" sourceLinked="1"/>
        <c:majorTickMark val="out"/>
        <c:minorTickMark val="none"/>
        <c:tickLblPos val="nextTo"/>
        <c:txPr>
          <a:bodyPr rot="-5400000" vert="horz"/>
          <a:lstStyle/>
          <a:p>
            <a:pPr>
              <a:defRPr sz="1800" b="0" i="0" u="none" strike="noStrike" baseline="0">
                <a:solidFill>
                  <a:srgbClr val="000000"/>
                </a:solidFill>
                <a:latin typeface="Vodafone Lt"/>
                <a:ea typeface="Vodafone Lt"/>
                <a:cs typeface="Vodafone Lt"/>
              </a:defRPr>
            </a:pPr>
            <a:endParaRPr lang="en-US"/>
          </a:p>
        </c:txPr>
        <c:crossAx val="210464128"/>
        <c:crosses val="autoZero"/>
        <c:auto val="1"/>
        <c:lblAlgn val="ctr"/>
        <c:lblOffset val="100"/>
        <c:noMultiLvlLbl val="0"/>
      </c:catAx>
      <c:valAx>
        <c:axId val="210464128"/>
        <c:scaling>
          <c:orientation val="minMax"/>
          <c:max val="45"/>
        </c:scaling>
        <c:delete val="0"/>
        <c:axPos val="l"/>
        <c:majorGridlines/>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0462592"/>
        <c:crosses val="autoZero"/>
        <c:crossBetween val="between"/>
      </c:valAx>
      <c:spPr>
        <a:solidFill>
          <a:srgbClr val="8064A2">
            <a:lumMod val="20000"/>
            <a:lumOff val="80000"/>
          </a:srgbClr>
        </a:solidFill>
      </c:spPr>
    </c:plotArea>
    <c:legend>
      <c:legendPos val="r"/>
      <c:layout>
        <c:manualLayout>
          <c:xMode val="edge"/>
          <c:yMode val="edge"/>
          <c:x val="0.78311263819295318"/>
          <c:y val="0.19939895213633055"/>
          <c:w val="0.21688736180704685"/>
          <c:h val="0.510596175478065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8651546761782978E-2"/>
          <c:y val="0.15986666666666666"/>
          <c:w val="0.76192102055619115"/>
          <c:h val="0.62006858013716026"/>
        </c:manualLayout>
      </c:layout>
      <c:barChart>
        <c:barDir val="col"/>
        <c:grouping val="stacked"/>
        <c:varyColors val="0"/>
        <c:ser>
          <c:idx val="0"/>
          <c:order val="0"/>
          <c:tx>
            <c:strRef>
              <c:f>'Power figures'!$B$214</c:f>
              <c:strCache>
                <c:ptCount val="1"/>
                <c:pt idx="0">
                  <c:v>Load (kW)</c:v>
                </c:pt>
              </c:strCache>
            </c:strRef>
          </c:tx>
          <c:spPr>
            <a:solidFill>
              <a:srgbClr val="008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figures'!$B$215:$B$225,'Power figures'!$B$228:$B$243)</c:f>
              <c:numCache>
                <c:formatCode>0.0</c:formatCode>
                <c:ptCount val="27"/>
                <c:pt idx="0">
                  <c:v>46.433999999999997</c:v>
                </c:pt>
                <c:pt idx="1">
                  <c:v>49.704000000000001</c:v>
                </c:pt>
                <c:pt idx="2">
                  <c:v>48.014499999999998</c:v>
                </c:pt>
                <c:pt idx="3">
                  <c:v>45.234999999999999</c:v>
                </c:pt>
                <c:pt idx="4">
                  <c:v>52.592500000000001</c:v>
                </c:pt>
                <c:pt idx="5">
                  <c:v>22.89</c:v>
                </c:pt>
                <c:pt idx="6">
                  <c:v>18.9115</c:v>
                </c:pt>
                <c:pt idx="7">
                  <c:v>23.762</c:v>
                </c:pt>
                <c:pt idx="8">
                  <c:v>17.004000000000001</c:v>
                </c:pt>
                <c:pt idx="9">
                  <c:v>13.243499999999999</c:v>
                </c:pt>
                <c:pt idx="10">
                  <c:v>17.876000000000001</c:v>
                </c:pt>
                <c:pt idx="11">
                  <c:v>5.45</c:v>
                </c:pt>
                <c:pt idx="12">
                  <c:v>29.375499999999999</c:v>
                </c:pt>
                <c:pt idx="13">
                  <c:v>13.734</c:v>
                </c:pt>
                <c:pt idx="14">
                  <c:v>25.07</c:v>
                </c:pt>
                <c:pt idx="15">
                  <c:v>8.7744999999999997</c:v>
                </c:pt>
                <c:pt idx="16">
                  <c:v>7.9024999999999999</c:v>
                </c:pt>
                <c:pt idx="17">
                  <c:v>5.5590000000000002</c:v>
                </c:pt>
                <c:pt idx="18">
                  <c:v>19.62</c:v>
                </c:pt>
                <c:pt idx="19">
                  <c:v>28.394500000000001</c:v>
                </c:pt>
                <c:pt idx="20">
                  <c:v>25.942</c:v>
                </c:pt>
                <c:pt idx="21">
                  <c:v>18.748000000000001</c:v>
                </c:pt>
                <c:pt idx="22">
                  <c:v>29.811499999999999</c:v>
                </c:pt>
                <c:pt idx="23">
                  <c:v>25.614999999999998</c:v>
                </c:pt>
                <c:pt idx="24">
                  <c:v>21.908999999999999</c:v>
                </c:pt>
                <c:pt idx="25">
                  <c:v>15.314500000000001</c:v>
                </c:pt>
                <c:pt idx="26">
                  <c:v>17.222000000000001</c:v>
                </c:pt>
              </c:numCache>
            </c:numRef>
          </c:val>
          <c:extLst>
            <c:ext xmlns:c16="http://schemas.microsoft.com/office/drawing/2014/chart" uri="{C3380CC4-5D6E-409C-BE32-E72D297353CC}">
              <c16:uniqueId val="{00000000-8E46-4A28-84E0-561D0D4C4B68}"/>
            </c:ext>
          </c:extLst>
        </c:ser>
        <c:ser>
          <c:idx val="1"/>
          <c:order val="1"/>
          <c:tx>
            <c:strRef>
              <c:f>'Power figures'!$C$214</c:f>
              <c:strCache>
                <c:ptCount val="1"/>
                <c:pt idx="0">
                  <c:v>Reserved (kW)</c:v>
                </c:pt>
              </c:strCache>
            </c:strRef>
          </c:tx>
          <c:spPr>
            <a:solidFill>
              <a:srgbClr val="F79646">
                <a:lumMod val="75000"/>
              </a:srgbClr>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figures'!$C$215:$C$225,'Power figures'!$C$228:$C$243)</c:f>
              <c:numCache>
                <c:formatCode>0.0</c:formatCode>
                <c:ptCount val="27"/>
                <c:pt idx="0">
                  <c:v>10.5185</c:v>
                </c:pt>
                <c:pt idx="1">
                  <c:v>10.3005</c:v>
                </c:pt>
                <c:pt idx="2">
                  <c:v>10.0825</c:v>
                </c:pt>
                <c:pt idx="3">
                  <c:v>8.8834999999999997</c:v>
                </c:pt>
                <c:pt idx="4">
                  <c:v>10.3005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1-8E46-4A28-84E0-561D0D4C4B68}"/>
            </c:ext>
          </c:extLst>
        </c:ser>
        <c:ser>
          <c:idx val="2"/>
          <c:order val="2"/>
          <c:tx>
            <c:strRef>
              <c:f>'Power figures'!$D$214</c:f>
              <c:strCache>
                <c:ptCount val="1"/>
                <c:pt idx="0">
                  <c:v>Forecast (kW)</c:v>
                </c:pt>
              </c:strCache>
            </c:strRef>
          </c:tx>
          <c:spPr>
            <a:solidFill>
              <a:srgbClr val="800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figures'!$D$215:$D$225,'Power figures'!$D$228:$D$243)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2-8E46-4A28-84E0-561D0D4C4B68}"/>
            </c:ext>
          </c:extLst>
        </c:ser>
        <c:ser>
          <c:idx val="3"/>
          <c:order val="3"/>
          <c:tx>
            <c:strRef>
              <c:f>'Power figures'!$G$214</c:f>
              <c:strCache>
                <c:ptCount val="1"/>
                <c:pt idx="0">
                  <c:v>Remaining Capacity (kW)</c:v>
                </c:pt>
              </c:strCache>
            </c:strRef>
          </c:tx>
          <c:spPr>
            <a:solidFill>
              <a:srgbClr val="FFFFCC"/>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figures'!$G$215:$G$225,'Power figures'!$G$228:$G$243)</c:f>
              <c:numCache>
                <c:formatCode>0.0</c:formatCode>
                <c:ptCount val="27"/>
                <c:pt idx="0">
                  <c:v>16.566000000000003</c:v>
                </c:pt>
                <c:pt idx="1">
                  <c:v>13.295999999999999</c:v>
                </c:pt>
                <c:pt idx="2">
                  <c:v>14.985500000000002</c:v>
                </c:pt>
                <c:pt idx="3">
                  <c:v>17.765000000000001</c:v>
                </c:pt>
                <c:pt idx="4">
                  <c:v>10.407499999999999</c:v>
                </c:pt>
                <c:pt idx="5">
                  <c:v>40.11</c:v>
                </c:pt>
                <c:pt idx="6">
                  <c:v>44.088499999999996</c:v>
                </c:pt>
                <c:pt idx="7">
                  <c:v>39.238</c:v>
                </c:pt>
                <c:pt idx="8">
                  <c:v>45.995999999999995</c:v>
                </c:pt>
                <c:pt idx="9">
                  <c:v>28.756500000000003</c:v>
                </c:pt>
                <c:pt idx="10">
                  <c:v>34.623999999999995</c:v>
                </c:pt>
                <c:pt idx="11">
                  <c:v>15.55</c:v>
                </c:pt>
                <c:pt idx="12">
                  <c:v>33.624499999999998</c:v>
                </c:pt>
                <c:pt idx="13">
                  <c:v>49.265999999999998</c:v>
                </c:pt>
                <c:pt idx="14">
                  <c:v>27.43</c:v>
                </c:pt>
                <c:pt idx="15">
                  <c:v>33.225499999999997</c:v>
                </c:pt>
                <c:pt idx="16">
                  <c:v>34.097499999999997</c:v>
                </c:pt>
                <c:pt idx="17">
                  <c:v>15.440999999999999</c:v>
                </c:pt>
                <c:pt idx="18">
                  <c:v>43.379999999999995</c:v>
                </c:pt>
                <c:pt idx="19">
                  <c:v>34.605499999999999</c:v>
                </c:pt>
                <c:pt idx="20">
                  <c:v>37.058</c:v>
                </c:pt>
                <c:pt idx="21">
                  <c:v>44.251999999999995</c:v>
                </c:pt>
                <c:pt idx="22">
                  <c:v>33.188500000000005</c:v>
                </c:pt>
                <c:pt idx="23">
                  <c:v>37.385000000000005</c:v>
                </c:pt>
                <c:pt idx="24">
                  <c:v>41.091000000000001</c:v>
                </c:pt>
                <c:pt idx="25">
                  <c:v>47.685499999999998</c:v>
                </c:pt>
                <c:pt idx="26">
                  <c:v>35.277999999999999</c:v>
                </c:pt>
              </c:numCache>
            </c:numRef>
          </c:val>
          <c:extLst>
            <c:ext xmlns:c16="http://schemas.microsoft.com/office/drawing/2014/chart" uri="{C3380CC4-5D6E-409C-BE32-E72D297353CC}">
              <c16:uniqueId val="{00000000-E923-40F5-AEC8-B7776E68C71C}"/>
            </c:ext>
          </c:extLst>
        </c:ser>
        <c:dLbls>
          <c:showLegendKey val="0"/>
          <c:showVal val="0"/>
          <c:showCatName val="0"/>
          <c:showSerName val="0"/>
          <c:showPercent val="0"/>
          <c:showBubbleSize val="0"/>
        </c:dLbls>
        <c:gapWidth val="70"/>
        <c:overlap val="100"/>
        <c:axId val="210543744"/>
        <c:axId val="210545280"/>
      </c:barChart>
      <c:catAx>
        <c:axId val="210543744"/>
        <c:scaling>
          <c:orientation val="minMax"/>
        </c:scaling>
        <c:delete val="0"/>
        <c:axPos val="b"/>
        <c:numFmt formatCode="General" sourceLinked="0"/>
        <c:majorTickMark val="out"/>
        <c:minorTickMark val="none"/>
        <c:tickLblPos val="nextTo"/>
        <c:txPr>
          <a:bodyPr rot="-5400000" vert="horz"/>
          <a:lstStyle/>
          <a:p>
            <a:pPr>
              <a:defRPr>
                <a:latin typeface="Vodafone Lt" panose="020B0606040202020204" pitchFamily="34" charset="0"/>
              </a:defRPr>
            </a:pPr>
            <a:endParaRPr lang="en-US"/>
          </a:p>
        </c:txPr>
        <c:crossAx val="210545280"/>
        <c:crosses val="autoZero"/>
        <c:auto val="1"/>
        <c:lblAlgn val="ctr"/>
        <c:lblOffset val="100"/>
        <c:noMultiLvlLbl val="0"/>
      </c:catAx>
      <c:valAx>
        <c:axId val="210545280"/>
        <c:scaling>
          <c:orientation val="minMax"/>
        </c:scaling>
        <c:delete val="0"/>
        <c:axPos val="l"/>
        <c:majorGridlines/>
        <c:numFmt formatCode="0" sourceLinked="0"/>
        <c:majorTickMark val="out"/>
        <c:minorTickMark val="none"/>
        <c:tickLblPos val="nextTo"/>
        <c:txPr>
          <a:bodyPr/>
          <a:lstStyle/>
          <a:p>
            <a:pPr>
              <a:defRPr>
                <a:latin typeface="Vodafone Lt" panose="020B0606040202020204" pitchFamily="34" charset="0"/>
              </a:defRPr>
            </a:pPr>
            <a:endParaRPr lang="en-US"/>
          </a:p>
        </c:txPr>
        <c:crossAx val="210543744"/>
        <c:crosses val="autoZero"/>
        <c:crossBetween val="between"/>
      </c:valAx>
      <c:spPr>
        <a:solidFill>
          <a:srgbClr val="8064A2">
            <a:lumMod val="20000"/>
            <a:lumOff val="80000"/>
          </a:srgbClr>
        </a:solidFill>
      </c:spPr>
    </c:plotArea>
    <c:legend>
      <c:legendPos val="r"/>
      <c:layout>
        <c:manualLayout>
          <c:xMode val="edge"/>
          <c:yMode val="edge"/>
          <c:x val="0.83247190255064274"/>
          <c:y val="0.34905080010160022"/>
          <c:w val="0.16532645013958594"/>
          <c:h val="0.32217721278816053"/>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585785926615088E-2"/>
          <c:y val="3.8515099405677745E-2"/>
          <c:w val="0.73759355257063453"/>
          <c:h val="0.89050877114936899"/>
        </c:manualLayout>
      </c:layout>
      <c:barChart>
        <c:barDir val="col"/>
        <c:grouping val="stacked"/>
        <c:varyColors val="0"/>
        <c:ser>
          <c:idx val="0"/>
          <c:order val="0"/>
          <c:tx>
            <c:strRef>
              <c:f>'Rolling Figs'!$K$3:$K$4</c:f>
              <c:strCache>
                <c:ptCount val="2"/>
                <c:pt idx="0">
                  <c:v>Technology Load (kW) July 16</c:v>
                </c:pt>
              </c:strCache>
            </c:strRef>
          </c:tx>
          <c:spPr>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Figs'!$K$5:$K$18</c:f>
              <c:numCache>
                <c:formatCode>0</c:formatCode>
                <c:ptCount val="14"/>
                <c:pt idx="0">
                  <c:v>0</c:v>
                </c:pt>
                <c:pt idx="3">
                  <c:v>0</c:v>
                </c:pt>
                <c:pt idx="6">
                  <c:v>0</c:v>
                </c:pt>
                <c:pt idx="9">
                  <c:v>0</c:v>
                </c:pt>
                <c:pt idx="12">
                  <c:v>0</c:v>
                </c:pt>
              </c:numCache>
            </c:numRef>
          </c:val>
          <c:extLst>
            <c:ext xmlns:c16="http://schemas.microsoft.com/office/drawing/2014/chart" uri="{C3380CC4-5D6E-409C-BE32-E72D297353CC}">
              <c16:uniqueId val="{00000000-9071-4E30-8F29-00A6113C8ED2}"/>
            </c:ext>
          </c:extLst>
        </c:ser>
        <c:ser>
          <c:idx val="1"/>
          <c:order val="1"/>
          <c:tx>
            <c:strRef>
              <c:f>'Rolling Figs'!$L$3:$L$4</c:f>
              <c:strCache>
                <c:ptCount val="2"/>
                <c:pt idx="0">
                  <c:v>Technology Load (kW) July 17</c:v>
                </c:pt>
              </c:strCache>
            </c:strRef>
          </c:tx>
          <c:spPr>
            <a:solidFill>
              <a:srgbClr val="CC0000"/>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Figs'!$L$5:$L$18</c:f>
              <c:numCache>
                <c:formatCode>0</c:formatCode>
                <c:ptCount val="14"/>
                <c:pt idx="1">
                  <c:v>290.1035</c:v>
                </c:pt>
                <c:pt idx="4">
                  <c:v>82.567499999999995</c:v>
                </c:pt>
                <c:pt idx="7">
                  <c:v>126.985</c:v>
                </c:pt>
                <c:pt idx="10">
                  <c:v>92.704499999999996</c:v>
                </c:pt>
                <c:pt idx="13">
                  <c:v>109.872</c:v>
                </c:pt>
              </c:numCache>
            </c:numRef>
          </c:val>
          <c:extLst>
            <c:ext xmlns:c16="http://schemas.microsoft.com/office/drawing/2014/chart" uri="{C3380CC4-5D6E-409C-BE32-E72D297353CC}">
              <c16:uniqueId val="{00000001-9071-4E30-8F29-00A6113C8ED2}"/>
            </c:ext>
          </c:extLst>
        </c:ser>
        <c:ser>
          <c:idx val="2"/>
          <c:order val="2"/>
          <c:tx>
            <c:strRef>
              <c:f>'Rolling Figs'!$M$3:$M$4</c:f>
              <c:strCache>
                <c:ptCount val="2"/>
                <c:pt idx="0">
                  <c:v>Reserved Load (kW)</c:v>
                </c:pt>
              </c:strCache>
            </c:strRef>
          </c:tx>
          <c:spPr>
            <a:solidFill>
              <a:srgbClr val="F79646">
                <a:lumMod val="75000"/>
              </a:srgbClr>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Figs'!$M$5:$M$18</c:f>
              <c:numCache>
                <c:formatCode>0</c:formatCode>
                <c:ptCount val="14"/>
                <c:pt idx="1">
                  <c:v>50.085500000000003</c:v>
                </c:pt>
                <c:pt idx="4">
                  <c:v>0</c:v>
                </c:pt>
                <c:pt idx="7">
                  <c:v>0</c:v>
                </c:pt>
                <c:pt idx="10">
                  <c:v>0</c:v>
                </c:pt>
                <c:pt idx="13">
                  <c:v>0</c:v>
                </c:pt>
              </c:numCache>
            </c:numRef>
          </c:val>
          <c:extLst>
            <c:ext xmlns:c16="http://schemas.microsoft.com/office/drawing/2014/chart" uri="{C3380CC4-5D6E-409C-BE32-E72D297353CC}">
              <c16:uniqueId val="{00000002-9071-4E30-8F29-00A6113C8ED2}"/>
            </c:ext>
          </c:extLst>
        </c:ser>
        <c:ser>
          <c:idx val="3"/>
          <c:order val="3"/>
          <c:tx>
            <c:strRef>
              <c:f>'Rolling Figs'!$N$3:$N$4</c:f>
              <c:strCache>
                <c:ptCount val="2"/>
                <c:pt idx="0">
                  <c:v>Forecast Load (kW)</c:v>
                </c:pt>
              </c:strCache>
            </c:strRef>
          </c:tx>
          <c:spPr>
            <a:solidFill>
              <a:srgbClr val="990033"/>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Figs'!$N$5:$N$18</c:f>
              <c:numCache>
                <c:formatCode>0</c:formatCode>
                <c:ptCount val="14"/>
                <c:pt idx="1">
                  <c:v>6.3765000000000001</c:v>
                </c:pt>
                <c:pt idx="4">
                  <c:v>0</c:v>
                </c:pt>
                <c:pt idx="7">
                  <c:v>0</c:v>
                </c:pt>
                <c:pt idx="10">
                  <c:v>18.748000000000001</c:v>
                </c:pt>
                <c:pt idx="13">
                  <c:v>0</c:v>
                </c:pt>
              </c:numCache>
            </c:numRef>
          </c:val>
          <c:extLst>
            <c:ext xmlns:c16="http://schemas.microsoft.com/office/drawing/2014/chart" uri="{C3380CC4-5D6E-409C-BE32-E72D297353CC}">
              <c16:uniqueId val="{00000000-1533-4D89-BAD8-6E01BD038626}"/>
            </c:ext>
          </c:extLst>
        </c:ser>
        <c:dLbls>
          <c:showLegendKey val="0"/>
          <c:showVal val="0"/>
          <c:showCatName val="0"/>
          <c:showSerName val="0"/>
          <c:showPercent val="0"/>
          <c:showBubbleSize val="0"/>
        </c:dLbls>
        <c:gapWidth val="0"/>
        <c:overlap val="100"/>
        <c:axId val="210220160"/>
        <c:axId val="210221696"/>
      </c:barChart>
      <c:catAx>
        <c:axId val="210220160"/>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0221696"/>
        <c:crosses val="autoZero"/>
        <c:auto val="1"/>
        <c:lblAlgn val="ctr"/>
        <c:lblOffset val="100"/>
        <c:noMultiLvlLbl val="0"/>
      </c:catAx>
      <c:valAx>
        <c:axId val="210221696"/>
        <c:scaling>
          <c:orientation val="minMax"/>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220160"/>
        <c:crosses val="autoZero"/>
        <c:crossBetween val="between"/>
      </c:valAx>
      <c:spPr>
        <a:solidFill>
          <a:srgbClr val="8064A2">
            <a:lumMod val="20000"/>
            <a:lumOff val="80000"/>
          </a:srgbClr>
        </a:solidFill>
      </c:spPr>
    </c:plotArea>
    <c:legend>
      <c:legendPos val="r"/>
      <c:layout>
        <c:manualLayout>
          <c:xMode val="edge"/>
          <c:yMode val="edge"/>
          <c:x val="0.82328670680870775"/>
          <c:y val="0.33867950828180376"/>
          <c:w val="0.17671329319129225"/>
          <c:h val="0.3838664234767264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paperSize="8" orientation="landscape"/>
  </c:printSettings>
  <c:userShapes r:id="rId2"/>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6814308211473568E-2"/>
          <c:y val="2.4721314666492147E-2"/>
          <c:w val="0.78304791901012372"/>
          <c:h val="0.90585689334287756"/>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Floorspace'!$J$35:$J$42</c:f>
              <c:numCache>
                <c:formatCode>0</c:formatCode>
                <c:ptCount val="8"/>
                <c:pt idx="0">
                  <c:v>935.04</c:v>
                </c:pt>
                <c:pt idx="1">
                  <c:v>2165.44</c:v>
                </c:pt>
                <c:pt idx="2">
                  <c:v>766.4</c:v>
                </c:pt>
                <c:pt idx="3">
                  <c:v>758.72</c:v>
                </c:pt>
                <c:pt idx="4">
                  <c:v>640.31999999999994</c:v>
                </c:pt>
                <c:pt idx="5">
                  <c:v>1320</c:v>
                </c:pt>
                <c:pt idx="6">
                  <c:v>1346.56</c:v>
                </c:pt>
                <c:pt idx="7">
                  <c:v>1082.8800000000001</c:v>
                </c:pt>
              </c:numCache>
            </c:numRef>
          </c:val>
          <c:extLst>
            <c:ext xmlns:c16="http://schemas.microsoft.com/office/drawing/2014/chart" uri="{C3380CC4-5D6E-409C-BE32-E72D297353CC}">
              <c16:uniqueId val="{00000000-A643-4F2A-9354-32223BF61897}"/>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Floorspace'!$K$35:$K$42</c:f>
              <c:numCache>
                <c:formatCode>0</c:formatCode>
                <c:ptCount val="8"/>
                <c:pt idx="0">
                  <c:v>0</c:v>
                </c:pt>
                <c:pt idx="1">
                  <c:v>5.76</c:v>
                </c:pt>
                <c:pt idx="2">
                  <c:v>0</c:v>
                </c:pt>
                <c:pt idx="3">
                  <c:v>0</c:v>
                </c:pt>
                <c:pt idx="4">
                  <c:v>0</c:v>
                </c:pt>
                <c:pt idx="5">
                  <c:v>0</c:v>
                </c:pt>
                <c:pt idx="6">
                  <c:v>0</c:v>
                </c:pt>
                <c:pt idx="7">
                  <c:v>0</c:v>
                </c:pt>
              </c:numCache>
            </c:numRef>
          </c:val>
          <c:extLst>
            <c:ext xmlns:c16="http://schemas.microsoft.com/office/drawing/2014/chart" uri="{C3380CC4-5D6E-409C-BE32-E72D297353CC}">
              <c16:uniqueId val="{00000001-A643-4F2A-9354-32223BF61897}"/>
            </c:ext>
          </c:extLst>
        </c:ser>
        <c:ser>
          <c:idx val="2"/>
          <c:order val="2"/>
          <c:tx>
            <c:strRef>
              <c:f>'Cab Floorspace'!$L$32</c:f>
              <c:strCache>
                <c:ptCount val="1"/>
                <c:pt idx="0">
                  <c:v>Forecast (m²) </c:v>
                </c:pt>
              </c:strCache>
            </c:strRef>
          </c:tx>
          <c:spPr>
            <a:solidFill>
              <a:srgbClr val="8000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Floorspace'!$L$35:$L$42</c:f>
              <c:numCache>
                <c:formatCode>0</c:formatCode>
                <c:ptCount val="8"/>
                <c:pt idx="0">
                  <c:v>0</c:v>
                </c:pt>
                <c:pt idx="1">
                  <c:v>0</c:v>
                </c:pt>
                <c:pt idx="2">
                  <c:v>0</c:v>
                </c:pt>
                <c:pt idx="3">
                  <c:v>0</c:v>
                </c:pt>
                <c:pt idx="4">
                  <c:v>0</c:v>
                </c:pt>
                <c:pt idx="5">
                  <c:v>5.12</c:v>
                </c:pt>
                <c:pt idx="6">
                  <c:v>13.44</c:v>
                </c:pt>
                <c:pt idx="7">
                  <c:v>0</c:v>
                </c:pt>
              </c:numCache>
            </c:numRef>
          </c:val>
          <c:extLst>
            <c:ext xmlns:c16="http://schemas.microsoft.com/office/drawing/2014/chart" uri="{C3380CC4-5D6E-409C-BE32-E72D297353CC}">
              <c16:uniqueId val="{00000002-A643-4F2A-9354-32223BF61897}"/>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Floorspace'!$O$35:$O$42</c:f>
              <c:numCache>
                <c:formatCode>0</c:formatCode>
                <c:ptCount val="8"/>
                <c:pt idx="0">
                  <c:v>352.32000000000016</c:v>
                </c:pt>
                <c:pt idx="1">
                  <c:v>920.31999999999971</c:v>
                </c:pt>
                <c:pt idx="2">
                  <c:v>311.04000000000008</c:v>
                </c:pt>
                <c:pt idx="3">
                  <c:v>274.24</c:v>
                </c:pt>
                <c:pt idx="4">
                  <c:v>340.80000000000007</c:v>
                </c:pt>
                <c:pt idx="5">
                  <c:v>661.76</c:v>
                </c:pt>
                <c:pt idx="6">
                  <c:v>874.88000000000011</c:v>
                </c:pt>
                <c:pt idx="7">
                  <c:v>494.07999999999993</c:v>
                </c:pt>
              </c:numCache>
            </c:numRef>
          </c:val>
          <c:extLst>
            <c:ext xmlns:c16="http://schemas.microsoft.com/office/drawing/2014/chart" uri="{C3380CC4-5D6E-409C-BE32-E72D297353CC}">
              <c16:uniqueId val="{00000003-A643-4F2A-9354-32223BF61897}"/>
            </c:ext>
          </c:extLst>
        </c:ser>
        <c:dLbls>
          <c:showLegendKey val="0"/>
          <c:showVal val="0"/>
          <c:showCatName val="0"/>
          <c:showSerName val="0"/>
          <c:showPercent val="0"/>
          <c:showBubbleSize val="0"/>
        </c:dLbls>
        <c:gapWidth val="150"/>
        <c:overlap val="100"/>
        <c:axId val="210302080"/>
        <c:axId val="210303616"/>
      </c:barChart>
      <c:catAx>
        <c:axId val="210302080"/>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210303616"/>
        <c:crosses val="autoZero"/>
        <c:auto val="1"/>
        <c:lblAlgn val="ctr"/>
        <c:lblOffset val="100"/>
        <c:noMultiLvlLbl val="0"/>
      </c:catAx>
      <c:valAx>
        <c:axId val="210303616"/>
        <c:scaling>
          <c:orientation val="minMax"/>
          <c:max val="1100"/>
          <c:min val="0"/>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10302080"/>
        <c:crosses val="autoZero"/>
        <c:crossBetween val="between"/>
        <c:majorUnit val="200"/>
      </c:valAx>
      <c:spPr>
        <a:solidFill>
          <a:srgbClr val="E6E0EC"/>
        </a:solidFill>
      </c:spPr>
    </c:plotArea>
    <c:legend>
      <c:legendPos val="r"/>
      <c:layout>
        <c:manualLayout>
          <c:xMode val="edge"/>
          <c:yMode val="edge"/>
          <c:x val="0.87482996625421827"/>
          <c:y val="0.56375879742304935"/>
          <c:w val="0.11785574803149607"/>
          <c:h val="0.215755132426628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060772763224686"/>
          <c:y val="0.10304912104010254"/>
          <c:w val="0.78617714764664925"/>
          <c:h val="0.75707539878548402"/>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Floorspace'!$J$37:$J$39</c:f>
              <c:numCache>
                <c:formatCode>0</c:formatCode>
                <c:ptCount val="3"/>
                <c:pt idx="0">
                  <c:v>766.4</c:v>
                </c:pt>
                <c:pt idx="1">
                  <c:v>758.72</c:v>
                </c:pt>
                <c:pt idx="2">
                  <c:v>640.31999999999994</c:v>
                </c:pt>
              </c:numCache>
            </c:numRef>
          </c:val>
          <c:extLst>
            <c:ext xmlns:c16="http://schemas.microsoft.com/office/drawing/2014/chart" uri="{C3380CC4-5D6E-409C-BE32-E72D297353CC}">
              <c16:uniqueId val="{00000000-1441-46DC-B660-348648AD4BF5}"/>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Floorspace'!$K$37:$K$39</c:f>
              <c:numCache>
                <c:formatCode>0</c:formatCode>
                <c:ptCount val="3"/>
                <c:pt idx="0">
                  <c:v>0</c:v>
                </c:pt>
                <c:pt idx="1">
                  <c:v>0</c:v>
                </c:pt>
                <c:pt idx="2">
                  <c:v>0</c:v>
                </c:pt>
              </c:numCache>
            </c:numRef>
          </c:val>
          <c:extLst>
            <c:ext xmlns:c16="http://schemas.microsoft.com/office/drawing/2014/chart" uri="{C3380CC4-5D6E-409C-BE32-E72D297353CC}">
              <c16:uniqueId val="{00000001-1441-46DC-B660-348648AD4BF5}"/>
            </c:ext>
          </c:extLst>
        </c:ser>
        <c:ser>
          <c:idx val="2"/>
          <c:order val="2"/>
          <c:tx>
            <c:strRef>
              <c:f>'Cab Floorspace'!$L$32</c:f>
              <c:strCache>
                <c:ptCount val="1"/>
                <c:pt idx="0">
                  <c:v>Forecast (m²) </c:v>
                </c:pt>
              </c:strCache>
            </c:strRef>
          </c:tx>
          <c:spPr>
            <a:solidFill>
              <a:srgbClr val="FFFFCC"/>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6108-4854-834C-5764EEF50DCF}"/>
              </c:ext>
            </c:extLst>
          </c:dPt>
          <c:cat>
            <c:strRef>
              <c:f>'Cab Floorspace'!$A$37:$A$39</c:f>
              <c:strCache>
                <c:ptCount val="3"/>
                <c:pt idx="0">
                  <c:v>XKS (1st)</c:v>
                </c:pt>
                <c:pt idx="1">
                  <c:v>XKS (2nd)</c:v>
                </c:pt>
                <c:pt idx="2">
                  <c:v>XKS (3rd)</c:v>
                </c:pt>
              </c:strCache>
            </c:strRef>
          </c:cat>
          <c:val>
            <c:numRef>
              <c:f>'Cab Floorspace'!$L$37:$L$39</c:f>
              <c:numCache>
                <c:formatCode>0</c:formatCode>
                <c:ptCount val="3"/>
                <c:pt idx="0">
                  <c:v>0</c:v>
                </c:pt>
                <c:pt idx="1">
                  <c:v>0</c:v>
                </c:pt>
                <c:pt idx="2">
                  <c:v>0</c:v>
                </c:pt>
              </c:numCache>
            </c:numRef>
          </c:val>
          <c:extLst>
            <c:ext xmlns:c16="http://schemas.microsoft.com/office/drawing/2014/chart" uri="{C3380CC4-5D6E-409C-BE32-E72D297353CC}">
              <c16:uniqueId val="{00000002-1441-46DC-B660-348648AD4BF5}"/>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Floorspace'!$O$37:$O$39</c:f>
              <c:numCache>
                <c:formatCode>0</c:formatCode>
                <c:ptCount val="3"/>
                <c:pt idx="0">
                  <c:v>311.04000000000008</c:v>
                </c:pt>
                <c:pt idx="1">
                  <c:v>274.24</c:v>
                </c:pt>
                <c:pt idx="2">
                  <c:v>340.80000000000007</c:v>
                </c:pt>
              </c:numCache>
            </c:numRef>
          </c:val>
          <c:extLst>
            <c:ext xmlns:c16="http://schemas.microsoft.com/office/drawing/2014/chart" uri="{C3380CC4-5D6E-409C-BE32-E72D297353CC}">
              <c16:uniqueId val="{00000000-ABAD-40EF-AC65-53546D8F2C9D}"/>
            </c:ext>
          </c:extLst>
        </c:ser>
        <c:dLbls>
          <c:showLegendKey val="0"/>
          <c:showVal val="0"/>
          <c:showCatName val="0"/>
          <c:showSerName val="0"/>
          <c:showPercent val="0"/>
          <c:showBubbleSize val="0"/>
        </c:dLbls>
        <c:gapWidth val="150"/>
        <c:overlap val="100"/>
        <c:axId val="210357632"/>
        <c:axId val="210359424"/>
      </c:barChart>
      <c:catAx>
        <c:axId val="210357632"/>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359424"/>
        <c:crosses val="autoZero"/>
        <c:auto val="1"/>
        <c:lblAlgn val="ctr"/>
        <c:lblOffset val="100"/>
        <c:noMultiLvlLbl val="0"/>
      </c:catAx>
      <c:valAx>
        <c:axId val="210359424"/>
        <c:scaling>
          <c:orientation val="minMax"/>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57632"/>
        <c:crosses val="autoZero"/>
        <c:crossBetween val="between"/>
      </c:valAx>
      <c:spPr>
        <a:solidFill>
          <a:srgbClr val="E6E0EC"/>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3.5651429724106037E-2"/>
          <c:y val="0.14695339474398497"/>
          <c:w val="0.48574499328595871"/>
          <c:h val="0.7924203259746240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939-424B-918F-72078637A653}"/>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939-424B-918F-72078637A653}"/>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939-424B-918F-72078637A653}"/>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939-424B-918F-72078637A653}"/>
              </c:ext>
            </c:extLst>
          </c:dPt>
          <c:dLbls>
            <c:dLbl>
              <c:idx val="0"/>
              <c:layout>
                <c:manualLayout>
                  <c:x val="3.1234509943596563E-2"/>
                  <c:y val="2.82365226609890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9-424B-918F-72078637A653}"/>
                </c:ext>
              </c:extLst>
            </c:dLbl>
            <c:dLbl>
              <c:idx val="1"/>
              <c:layout>
                <c:manualLayout>
                  <c:x val="7.7885013713964914E-3"/>
                  <c:y val="2.167129962310879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9-424B-918F-72078637A653}"/>
                </c:ext>
              </c:extLst>
            </c:dLbl>
            <c:dLbl>
              <c:idx val="2"/>
              <c:layout>
                <c:manualLayout>
                  <c:x val="6.6072966618247103E-2"/>
                  <c:y val="4.57693614546108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39-424B-918F-72078637A653}"/>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939-424B-918F-72078637A653}"/>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379.86499999999995</c:v>
                </c:pt>
                <c:pt idx="1">
                  <c:v>0</c:v>
                </c:pt>
                <c:pt idx="2">
                  <c:v>1917.5160000000001</c:v>
                </c:pt>
              </c:numCache>
            </c:numRef>
          </c:val>
          <c:extLst>
            <c:ext xmlns:c16="http://schemas.microsoft.com/office/drawing/2014/chart" uri="{C3380CC4-5D6E-409C-BE32-E72D297353CC}">
              <c16:uniqueId val="{00000007-A939-424B-918F-72078637A653}"/>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3014609881952712"/>
          <c:y val="0.55567849347589915"/>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7764151950988195E-2"/>
          <c:y val="0.1581112972329487"/>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B1B3-4C01-B4CA-2985CCC178F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B1B3-4C01-B4CA-2985CCC178F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B1B3-4C01-B4CA-2985CCC178F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B1B3-4C01-B4CA-2985CCC178FD}"/>
              </c:ext>
            </c:extLst>
          </c:dPt>
          <c:dLbls>
            <c:dLbl>
              <c:idx val="0"/>
              <c:layout>
                <c:manualLayout>
                  <c:x val="-1.2710766018817939E-2"/>
                  <c:y val="-0.1431564798586013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B3-4C01-B4CA-2985CCC178FD}"/>
                </c:ext>
              </c:extLst>
            </c:dLbl>
            <c:dLbl>
              <c:idx val="1"/>
              <c:layout>
                <c:manualLayout>
                  <c:x val="3.910111864749443E-2"/>
                  <c:y val="1.56409961852250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B3-4C01-B4CA-2985CCC178FD}"/>
                </c:ext>
              </c:extLst>
            </c:dLbl>
            <c:dLbl>
              <c:idx val="2"/>
              <c:layout>
                <c:manualLayout>
                  <c:x val="1.0894942301843947E-2"/>
                  <c:y val="0.33155203195582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B3-4C01-B4CA-2985CCC178FD}"/>
                </c:ext>
              </c:extLst>
            </c:dLbl>
            <c:dLbl>
              <c:idx val="3"/>
              <c:layout>
                <c:manualLayout>
                  <c:x val="5.4474711509219734E-3"/>
                  <c:y val="0.2022333992391920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B3-4C01-B4CA-2985CCC178F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702.23249999999996</c:v>
                </c:pt>
                <c:pt idx="1">
                  <c:v>449.31434999999999</c:v>
                </c:pt>
                <c:pt idx="2">
                  <c:v>1579.0236499999999</c:v>
                </c:pt>
              </c:numCache>
            </c:numRef>
          </c:val>
          <c:extLst>
            <c:ext xmlns:c16="http://schemas.microsoft.com/office/drawing/2014/chart" uri="{C3380CC4-5D6E-409C-BE32-E72D297353CC}">
              <c16:uniqueId val="{00000007-B1B3-4C01-B4CA-2985CCC178F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5.6067281915564435E-3"/>
          <c:y val="0.17430823046854696"/>
          <c:w val="0.59449353070390043"/>
          <c:h val="0.77916449366377516"/>
        </c:manualLayout>
      </c:layout>
      <c:pie3DChart>
        <c:varyColors val="1"/>
        <c:ser>
          <c:idx val="0"/>
          <c:order val="0"/>
          <c:spPr>
            <a:ln>
              <a:solidFill>
                <a:sysClr val="windowText" lastClr="000000"/>
              </a:solidFill>
            </a:ln>
          </c:spPr>
          <c:explosion val="5"/>
          <c:dPt>
            <c:idx val="0"/>
            <c:bubble3D val="0"/>
            <c:spPr>
              <a:solidFill>
                <a:srgbClr val="008000"/>
              </a:solidFill>
              <a:ln>
                <a:solidFill>
                  <a:sysClr val="windowText" lastClr="000000"/>
                </a:solidFill>
              </a:ln>
            </c:spPr>
            <c:extLst>
              <c:ext xmlns:c16="http://schemas.microsoft.com/office/drawing/2014/chart" uri="{C3380CC4-5D6E-409C-BE32-E72D297353CC}">
                <c16:uniqueId val="{00000001-5AA0-4667-B1D0-ABEB255057A5}"/>
              </c:ext>
            </c:extLst>
          </c:dPt>
          <c:dPt>
            <c:idx val="1"/>
            <c:bubble3D val="0"/>
            <c:spPr>
              <a:solidFill>
                <a:srgbClr val="92D050"/>
              </a:solidFill>
              <a:ln>
                <a:solidFill>
                  <a:sysClr val="windowText" lastClr="000000"/>
                </a:solidFill>
              </a:ln>
            </c:spPr>
            <c:extLst>
              <c:ext xmlns:c16="http://schemas.microsoft.com/office/drawing/2014/chart" uri="{C3380CC4-5D6E-409C-BE32-E72D297353CC}">
                <c16:uniqueId val="{00000003-5AA0-4667-B1D0-ABEB255057A5}"/>
              </c:ext>
            </c:extLst>
          </c:dPt>
          <c:dPt>
            <c:idx val="2"/>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5-5AA0-4667-B1D0-ABEB255057A5}"/>
              </c:ext>
            </c:extLst>
          </c:dPt>
          <c:dPt>
            <c:idx val="3"/>
            <c:bubble3D val="0"/>
            <c:spPr>
              <a:solidFill>
                <a:srgbClr val="F79646">
                  <a:lumMod val="60000"/>
                  <a:lumOff val="40000"/>
                </a:srgbClr>
              </a:solidFill>
              <a:ln>
                <a:solidFill>
                  <a:sysClr val="windowText" lastClr="000000"/>
                </a:solidFill>
              </a:ln>
            </c:spPr>
            <c:extLst>
              <c:ext xmlns:c16="http://schemas.microsoft.com/office/drawing/2014/chart" uri="{C3380CC4-5D6E-409C-BE32-E72D297353CC}">
                <c16:uniqueId val="{00000007-5AA0-4667-B1D0-ABEB255057A5}"/>
              </c:ext>
            </c:extLst>
          </c:dPt>
          <c:dPt>
            <c:idx val="4"/>
            <c:bubble3D val="0"/>
            <c:spPr>
              <a:solidFill>
                <a:srgbClr val="3A8ED5"/>
              </a:solidFill>
              <a:ln>
                <a:solidFill>
                  <a:sysClr val="windowText" lastClr="000000"/>
                </a:solidFill>
              </a:ln>
            </c:spPr>
            <c:extLst>
              <c:ext xmlns:c16="http://schemas.microsoft.com/office/drawing/2014/chart" uri="{C3380CC4-5D6E-409C-BE32-E72D297353CC}">
                <c16:uniqueId val="{00000009-5AA0-4667-B1D0-ABEB255057A5}"/>
              </c:ext>
            </c:extLst>
          </c:dPt>
          <c:dPt>
            <c:idx val="5"/>
            <c:bubble3D val="0"/>
            <c:spPr>
              <a:solidFill>
                <a:srgbClr val="1F497D">
                  <a:lumMod val="20000"/>
                  <a:lumOff val="80000"/>
                </a:srgbClr>
              </a:solidFill>
              <a:ln>
                <a:solidFill>
                  <a:sysClr val="windowText" lastClr="000000"/>
                </a:solidFill>
              </a:ln>
            </c:spPr>
            <c:extLst>
              <c:ext xmlns:c16="http://schemas.microsoft.com/office/drawing/2014/chart" uri="{C3380CC4-5D6E-409C-BE32-E72D297353CC}">
                <c16:uniqueId val="{0000000B-5AA0-4667-B1D0-ABEB255057A5}"/>
              </c:ext>
            </c:extLst>
          </c:dPt>
          <c:dPt>
            <c:idx val="6"/>
            <c:bubble3D val="0"/>
            <c:spPr>
              <a:solidFill>
                <a:srgbClr val="558ED5"/>
              </a:solidFill>
              <a:ln>
                <a:solidFill>
                  <a:sysClr val="windowText" lastClr="000000"/>
                </a:solidFill>
              </a:ln>
            </c:spPr>
            <c:extLst>
              <c:ext xmlns:c16="http://schemas.microsoft.com/office/drawing/2014/chart" uri="{C3380CC4-5D6E-409C-BE32-E72D297353CC}">
                <c16:uniqueId val="{0000000D-5276-4989-9338-FE6E5E4D04FB}"/>
              </c:ext>
            </c:extLst>
          </c:dPt>
          <c:dPt>
            <c:idx val="7"/>
            <c:bubble3D val="0"/>
            <c:spPr>
              <a:solidFill>
                <a:srgbClr val="4F81BD">
                  <a:lumMod val="60000"/>
                  <a:lumOff val="40000"/>
                </a:srgbClr>
              </a:solidFill>
              <a:ln>
                <a:solidFill>
                  <a:sysClr val="windowText" lastClr="000000"/>
                </a:solidFill>
              </a:ln>
            </c:spPr>
            <c:extLst>
              <c:ext xmlns:c16="http://schemas.microsoft.com/office/drawing/2014/chart" uri="{C3380CC4-5D6E-409C-BE32-E72D297353CC}">
                <c16:uniqueId val="{0000000F-5276-4989-9338-FE6E5E4D04FB}"/>
              </c:ext>
            </c:extLst>
          </c:dPt>
          <c:dLbls>
            <c:dLbl>
              <c:idx val="0"/>
              <c:layout>
                <c:manualLayout>
                  <c:x val="-7.4042658519202749E-3"/>
                  <c:y val="-5.12262024741210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A0-4667-B1D0-ABEB255057A5}"/>
                </c:ext>
              </c:extLst>
            </c:dLbl>
            <c:dLbl>
              <c:idx val="1"/>
              <c:layout>
                <c:manualLayout>
                  <c:x val="4.1593535162794515E-2"/>
                  <c:y val="-9.5673474384278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A0-4667-B1D0-ABEB255057A5}"/>
                </c:ext>
              </c:extLst>
            </c:dLbl>
            <c:dLbl>
              <c:idx val="2"/>
              <c:layout>
                <c:manualLayout>
                  <c:x val="3.9399700415295211E-2"/>
                  <c:y val="1.33105161042571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A0-4667-B1D0-ABEB255057A5}"/>
                </c:ext>
              </c:extLst>
            </c:dLbl>
            <c:dLbl>
              <c:idx val="3"/>
              <c:layout>
                <c:manualLayout>
                  <c:x val="-8.12740134623283E-3"/>
                  <c:y val="-7.692220621699621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A0-4667-B1D0-ABEB255057A5}"/>
                </c:ext>
              </c:extLst>
            </c:dLbl>
            <c:dLbl>
              <c:idx val="4"/>
              <c:layout>
                <c:manualLayout>
                  <c:x val="-9.6960343949965035E-3"/>
                  <c:y val="-2.69230865975889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AA0-4667-B1D0-ABEB255057A5}"/>
                </c:ext>
              </c:extLst>
            </c:dLbl>
            <c:dLbl>
              <c:idx val="5"/>
              <c:layout>
                <c:manualLayout>
                  <c:x val="-1.1453250703011607E-2"/>
                  <c:y val="1.76537270283552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AA0-4667-B1D0-ABEB255057A5}"/>
                </c:ext>
              </c:extLst>
            </c:dLbl>
            <c:dLbl>
              <c:idx val="6"/>
              <c:layout>
                <c:manualLayout>
                  <c:x val="-2.3489242724187606E-2"/>
                  <c:y val="-4.5369546381270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276-4989-9338-FE6E5E4D04FB}"/>
                </c:ext>
              </c:extLst>
            </c:dLbl>
            <c:dLbl>
              <c:idx val="7"/>
              <c:layout>
                <c:manualLayout>
                  <c:x val="-5.8995730498555866E-3"/>
                  <c:y val="1.78757087063771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276-4989-9338-FE6E5E4D04FB}"/>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figures'!$A$91:$A$96</c:f>
              <c:strCache>
                <c:ptCount val="6"/>
                <c:pt idx="0">
                  <c:v>CHE Total Technology Load</c:v>
                </c:pt>
                <c:pt idx="1">
                  <c:v>Strategic (Non- CHE) Total Technology Load</c:v>
                </c:pt>
                <c:pt idx="2">
                  <c:v>CHE Total Technology Reserved/Forecast</c:v>
                </c:pt>
                <c:pt idx="3">
                  <c:v>Strategic (Non-CHE) Total Technology Reserved/Forecast</c:v>
                </c:pt>
                <c:pt idx="4">
                  <c:v>CHE Remaining Power Capability</c:v>
                </c:pt>
                <c:pt idx="5">
                  <c:v>Strategic (Non- CHE) Remaining Power Capability</c:v>
                </c:pt>
              </c:strCache>
            </c:strRef>
          </c:cat>
          <c:val>
            <c:numRef>
              <c:f>'Power figures'!$B$91:$B$96</c:f>
              <c:numCache>
                <c:formatCode>0</c:formatCode>
                <c:ptCount val="6"/>
                <c:pt idx="0">
                  <c:v>1360.1020000000001</c:v>
                </c:pt>
                <c:pt idx="1">
                  <c:v>954.13149999999996</c:v>
                </c:pt>
                <c:pt idx="2">
                  <c:v>372.24045000000001</c:v>
                </c:pt>
                <c:pt idx="3">
                  <c:v>60.505900000000004</c:v>
                </c:pt>
                <c:pt idx="4">
                  <c:v>0</c:v>
                </c:pt>
                <c:pt idx="5">
                  <c:v>0</c:v>
                </c:pt>
              </c:numCache>
            </c:numRef>
          </c:val>
          <c:extLst>
            <c:ext xmlns:c16="http://schemas.microsoft.com/office/drawing/2014/chart" uri="{C3380CC4-5D6E-409C-BE32-E72D297353CC}">
              <c16:uniqueId val="{0000000C-5AA0-4667-B1D0-ABEB255057A5}"/>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686209376421457"/>
          <c:y val="0.24824636570506747"/>
          <c:w val="0.34966831272946564"/>
          <c:h val="0.6859338658098747"/>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6.0824319908859198E-2"/>
          <c:y val="0.14135283504080581"/>
          <c:w val="0.48768136945401663"/>
          <c:h val="0.7952206058262136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E3B-450F-88EC-75917F64ECBF}"/>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E3B-450F-88EC-75917F64ECBF}"/>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E3B-450F-88EC-75917F64ECBF}"/>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E3B-450F-88EC-75917F64ECBF}"/>
              </c:ext>
            </c:extLst>
          </c:dPt>
          <c:dLbls>
            <c:dLbl>
              <c:idx val="0"/>
              <c:layout>
                <c:manualLayout>
                  <c:x val="3.87275233611587E-2"/>
                  <c:y val="2.52025186643062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3B-450F-88EC-75917F64ECBF}"/>
                </c:ext>
              </c:extLst>
            </c:dLbl>
            <c:dLbl>
              <c:idx val="1"/>
              <c:layout>
                <c:manualLayout>
                  <c:x val="1.3554633176405546E-2"/>
                  <c:y val="4.20041977738437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3B-450F-88EC-75917F64ECBF}"/>
                </c:ext>
              </c:extLst>
            </c:dLbl>
            <c:dLbl>
              <c:idx val="2"/>
              <c:layout>
                <c:manualLayout>
                  <c:x val="-1.7427385512521418E-2"/>
                  <c:y val="-1.88674918598951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3B-450F-88EC-75917F64ECBF}"/>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E3B-450F-88EC-75917F64ECBF}"/>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379.86499999999995</c:v>
                </c:pt>
                <c:pt idx="1">
                  <c:v>0</c:v>
                </c:pt>
                <c:pt idx="2">
                  <c:v>1917.5160000000001</c:v>
                </c:pt>
              </c:numCache>
            </c:numRef>
          </c:val>
          <c:extLst>
            <c:ext xmlns:c16="http://schemas.microsoft.com/office/drawing/2014/chart" uri="{C3380CC4-5D6E-409C-BE32-E72D297353CC}">
              <c16:uniqueId val="{00000007-AE3B-450F-88EC-75917F64ECBF}"/>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176435582787474"/>
          <c:y val="0.55287821362430956"/>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5948328234014206E-2"/>
          <c:y val="0.16371185693612786"/>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150E-442C-92EB-11DBBCF1863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150E-442C-92EB-11DBBCF1863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150E-442C-92EB-11DBBCF1863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150E-442C-92EB-11DBBCF1863D}"/>
              </c:ext>
            </c:extLst>
          </c:dPt>
          <c:dLbls>
            <c:dLbl>
              <c:idx val="0"/>
              <c:layout>
                <c:manualLayout>
                  <c:x val="-2.9053179471583861E-2"/>
                  <c:y val="-0.187618750056501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E-442C-92EB-11DBBCF1863D}"/>
                </c:ext>
              </c:extLst>
            </c:dLbl>
            <c:dLbl>
              <c:idx val="1"/>
              <c:layout>
                <c:manualLayout>
                  <c:x val="6.9990453447680803E-2"/>
                  <c:y val="5.94100847526217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E-442C-92EB-11DBBCF1863D}"/>
                </c:ext>
              </c:extLst>
            </c:dLbl>
            <c:dLbl>
              <c:idx val="2"/>
              <c:layout>
                <c:manualLayout>
                  <c:x val="2.1789884603687894E-2"/>
                  <c:y val="0.34183809928469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E-442C-92EB-11DBBCF1863D}"/>
                </c:ext>
              </c:extLst>
            </c:dLbl>
            <c:dLbl>
              <c:idx val="3"/>
              <c:layout>
                <c:manualLayout>
                  <c:x val="5.3571428571428572E-3"/>
                  <c:y val="0.2345388324256825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50E-442C-92EB-11DBBCF1863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702.23249999999996</c:v>
                </c:pt>
                <c:pt idx="1">
                  <c:v>449.31434999999999</c:v>
                </c:pt>
                <c:pt idx="2">
                  <c:v>1579.0236499999999</c:v>
                </c:pt>
              </c:numCache>
            </c:numRef>
          </c:val>
          <c:extLst>
            <c:ext xmlns:c16="http://schemas.microsoft.com/office/drawing/2014/chart" uri="{C3380CC4-5D6E-409C-BE32-E72D297353CC}">
              <c16:uniqueId val="{00000007-150E-442C-92EB-11DBBCF1863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5307440594810351E-2"/>
          <c:y val="0.26677296880411155"/>
          <c:w val="0.51732863334636192"/>
          <c:h val="0.67835175738467002"/>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29AD-4963-8F56-8CCC9A61FE10}"/>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29AD-4963-8F56-8CCC9A61FE10}"/>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29AD-4963-8F56-8CCC9A61FE10}"/>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29AD-4963-8F56-8CCC9A61FE10}"/>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29AD-4963-8F56-8CCC9A61FE10}"/>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29AD-4963-8F56-8CCC9A61FE10}"/>
              </c:ext>
            </c:extLst>
          </c:dPt>
          <c:dLbls>
            <c:dLbl>
              <c:idx val="0"/>
              <c:layout>
                <c:manualLayout>
                  <c:x val="-2.1853169929729944E-2"/>
                  <c:y val="-0.2935092665577441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AD-4963-8F56-8CCC9A61FE10}"/>
                </c:ext>
              </c:extLst>
            </c:dLbl>
            <c:dLbl>
              <c:idx val="1"/>
              <c:layout>
                <c:manualLayout>
                  <c:x val="-6.4443591094854658E-4"/>
                  <c:y val="-8.9234305915457591E-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AD-4963-8F56-8CCC9A61FE10}"/>
                </c:ext>
              </c:extLst>
            </c:dLbl>
            <c:dLbl>
              <c:idx val="2"/>
              <c:layout>
                <c:manualLayout>
                  <c:x val="1.8122976237924141E-2"/>
                  <c:y val="-1.84009637305038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AD-4963-8F56-8CCC9A61FE10}"/>
                </c:ext>
              </c:extLst>
            </c:dLbl>
            <c:dLbl>
              <c:idx val="3"/>
              <c:layout>
                <c:manualLayout>
                  <c:x val="3.3758101764789758E-2"/>
                  <c:y val="-0.1259175230214867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AD-4963-8F56-8CCC9A61FE10}"/>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AD-4963-8F56-8CCC9A61FE10}"/>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9AD-4963-8F56-8CCC9A61FE10}"/>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figures'!$C$91:$C$93</c:f>
              <c:strCache>
                <c:ptCount val="3"/>
                <c:pt idx="0">
                  <c:v>Total Technology Load</c:v>
                </c:pt>
                <c:pt idx="1">
                  <c:v>Total Technology Reserved/Forecast</c:v>
                </c:pt>
                <c:pt idx="2">
                  <c:v>Remaining Power Capability</c:v>
                </c:pt>
              </c:strCache>
            </c:strRef>
          </c:cat>
          <c:val>
            <c:numRef>
              <c:f>'Power figures'!$D$91:$D$93</c:f>
              <c:numCache>
                <c:formatCode>0</c:formatCode>
                <c:ptCount val="3"/>
                <c:pt idx="0">
                  <c:v>1360.1020000000001</c:v>
                </c:pt>
                <c:pt idx="1">
                  <c:v>372.24045000000001</c:v>
                </c:pt>
                <c:pt idx="2">
                  <c:v>0</c:v>
                </c:pt>
              </c:numCache>
            </c:numRef>
          </c:val>
          <c:extLst>
            <c:ext xmlns:c16="http://schemas.microsoft.com/office/drawing/2014/chart" uri="{C3380CC4-5D6E-409C-BE32-E72D297353CC}">
              <c16:uniqueId val="{0000000C-29AD-4963-8F56-8CCC9A61FE10}"/>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9275590551181102E-2"/>
          <c:y val="0.2631204442091355"/>
          <c:w val="0.51494994433836772"/>
          <c:h val="0.67861223165823559"/>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F859-4D5B-86DF-D8DCA435B0C9}"/>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F859-4D5B-86DF-D8DCA435B0C9}"/>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F859-4D5B-86DF-D8DCA435B0C9}"/>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F859-4D5B-86DF-D8DCA435B0C9}"/>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F859-4D5B-86DF-D8DCA435B0C9}"/>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F859-4D5B-86DF-D8DCA435B0C9}"/>
              </c:ext>
            </c:extLst>
          </c:dPt>
          <c:dLbls>
            <c:dLbl>
              <c:idx val="0"/>
              <c:layout>
                <c:manualLayout>
                  <c:x val="-2.9759814644584253E-2"/>
                  <c:y val="-0.224248529811891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59-4D5B-86DF-D8DCA435B0C9}"/>
                </c:ext>
              </c:extLst>
            </c:dLbl>
            <c:dLbl>
              <c:idx val="1"/>
              <c:layout>
                <c:manualLayout>
                  <c:x val="-4.579590625682782E-2"/>
                  <c:y val="-1.3867038113911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59-4D5B-86DF-D8DCA435B0C9}"/>
                </c:ext>
              </c:extLst>
            </c:dLbl>
            <c:dLbl>
              <c:idx val="2"/>
              <c:layout>
                <c:manualLayout>
                  <c:x val="1.1618257008347611E-2"/>
                  <c:y val="-0.186236571198692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59-4D5B-86DF-D8DCA435B0C9}"/>
                </c:ext>
              </c:extLst>
            </c:dLbl>
            <c:dLbl>
              <c:idx val="3"/>
              <c:layout>
                <c:manualLayout>
                  <c:x val="2.4295313085864266E-2"/>
                  <c:y val="-0.209140611154459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859-4D5B-86DF-D8DCA435B0C9}"/>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9-4D5B-86DF-D8DCA435B0C9}"/>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9-4D5B-86DF-D8DCA435B0C9}"/>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figures'!$E$91:$E$93</c:f>
              <c:strCache>
                <c:ptCount val="3"/>
                <c:pt idx="0">
                  <c:v>Total Technology Load</c:v>
                </c:pt>
                <c:pt idx="1">
                  <c:v>Total Technology Reserved/Forecast</c:v>
                </c:pt>
                <c:pt idx="2">
                  <c:v>Remaining Power Capability</c:v>
                </c:pt>
              </c:strCache>
            </c:strRef>
          </c:cat>
          <c:val>
            <c:numRef>
              <c:f>'Power figures'!$F$91:$F$93</c:f>
              <c:numCache>
                <c:formatCode>0</c:formatCode>
                <c:ptCount val="3"/>
                <c:pt idx="0">
                  <c:v>954.13149999999996</c:v>
                </c:pt>
                <c:pt idx="1">
                  <c:v>60.505900000000004</c:v>
                </c:pt>
                <c:pt idx="2">
                  <c:v>0</c:v>
                </c:pt>
              </c:numCache>
            </c:numRef>
          </c:val>
          <c:extLst>
            <c:ext xmlns:c16="http://schemas.microsoft.com/office/drawing/2014/chart" uri="{C3380CC4-5D6E-409C-BE32-E72D297353CC}">
              <c16:uniqueId val="{0000000C-F859-4D5B-86DF-D8DCA435B0C9}"/>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596773201994675E-2"/>
          <c:y val="4.9425330308287732E-2"/>
          <c:w val="0.8263271435990287"/>
          <c:h val="0.85411098501246041"/>
        </c:manualLayout>
      </c:layout>
      <c:barChart>
        <c:barDir val="col"/>
        <c:grouping val="clustered"/>
        <c:varyColors val="0"/>
        <c:ser>
          <c:idx val="0"/>
          <c:order val="0"/>
          <c:tx>
            <c:strRef>
              <c:f>'PUE Values'!$B$32</c:f>
              <c:strCache>
                <c:ptCount val="1"/>
                <c:pt idx="0">
                  <c:v>July 16 PUE</c:v>
                </c:pt>
              </c:strCache>
            </c:strRef>
          </c:tx>
          <c:spPr>
            <a:solidFill>
              <a:srgbClr val="558ED5"/>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Values'!$B$33:$B$37</c:f>
              <c:numCache>
                <c:formatCode>0.00</c:formatCode>
                <c:ptCount val="5"/>
                <c:pt idx="0">
                  <c:v>1.46</c:v>
                </c:pt>
                <c:pt idx="1">
                  <c:v>1.76</c:v>
                </c:pt>
                <c:pt idx="2">
                  <c:v>2.02</c:v>
                </c:pt>
                <c:pt idx="3">
                  <c:v>1.74</c:v>
                </c:pt>
                <c:pt idx="4">
                  <c:v>1.49</c:v>
                </c:pt>
              </c:numCache>
            </c:numRef>
          </c:val>
          <c:extLst>
            <c:ext xmlns:c16="http://schemas.microsoft.com/office/drawing/2014/chart" uri="{C3380CC4-5D6E-409C-BE32-E72D297353CC}">
              <c16:uniqueId val="{00000000-D318-480D-96A0-A848C90C6AAE}"/>
            </c:ext>
          </c:extLst>
        </c:ser>
        <c:ser>
          <c:idx val="3"/>
          <c:order val="1"/>
          <c:tx>
            <c:strRef>
              <c:f>'PUE Values'!$E$32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Values'!$E$33:$E$37</c:f>
              <c:numCache>
                <c:formatCode>General</c:formatCode>
                <c:ptCount val="5"/>
              </c:numCache>
            </c:numRef>
          </c:val>
          <c:extLst>
            <c:ext xmlns:c16="http://schemas.microsoft.com/office/drawing/2014/chart" uri="{C3380CC4-5D6E-409C-BE32-E72D297353CC}">
              <c16:uniqueId val="{00000003-D318-480D-96A0-A848C90C6AAE}"/>
            </c:ext>
          </c:extLst>
        </c:ser>
        <c:ser>
          <c:idx val="4"/>
          <c:order val="2"/>
          <c:tx>
            <c:strRef>
              <c:f>'PUE Values'!$F$32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Values'!$F$33:$F$37</c:f>
              <c:numCache>
                <c:formatCode>General</c:formatCode>
                <c:ptCount val="5"/>
              </c:numCache>
            </c:numRef>
          </c:val>
          <c:extLst>
            <c:ext xmlns:c16="http://schemas.microsoft.com/office/drawing/2014/chart" uri="{C3380CC4-5D6E-409C-BE32-E72D297353CC}">
              <c16:uniqueId val="{00000004-D318-480D-96A0-A848C90C6AAE}"/>
            </c:ext>
          </c:extLst>
        </c:ser>
        <c:ser>
          <c:idx val="5"/>
          <c:order val="3"/>
          <c:tx>
            <c:strRef>
              <c:f>'PUE Values'!$C$32</c:f>
              <c:strCache>
                <c:ptCount val="1"/>
                <c:pt idx="0">
                  <c:v>July 17 PUE</c:v>
                </c:pt>
              </c:strCache>
            </c:strRef>
          </c:tx>
          <c:spPr>
            <a:solidFill>
              <a:srgbClr val="C00000"/>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Values'!$C$33:$C$37</c:f>
              <c:numCache>
                <c:formatCode>0.00</c:formatCode>
                <c:ptCount val="5"/>
                <c:pt idx="0">
                  <c:v>1.4</c:v>
                </c:pt>
                <c:pt idx="1">
                  <c:v>1.89</c:v>
                </c:pt>
                <c:pt idx="2">
                  <c:v>1.99</c:v>
                </c:pt>
                <c:pt idx="3">
                  <c:v>1.81</c:v>
                </c:pt>
                <c:pt idx="4">
                  <c:v>1.49</c:v>
                </c:pt>
              </c:numCache>
            </c:numRef>
          </c:val>
          <c:extLst>
            <c:ext xmlns:c16="http://schemas.microsoft.com/office/drawing/2014/chart" uri="{C3380CC4-5D6E-409C-BE32-E72D297353CC}">
              <c16:uniqueId val="{00000005-D318-480D-96A0-A848C90C6AAE}"/>
            </c:ext>
          </c:extLst>
        </c:ser>
        <c:dLbls>
          <c:showLegendKey val="0"/>
          <c:showVal val="0"/>
          <c:showCatName val="0"/>
          <c:showSerName val="0"/>
          <c:showPercent val="0"/>
          <c:showBubbleSize val="0"/>
        </c:dLbls>
        <c:gapWidth val="150"/>
        <c:axId val="211659008"/>
        <c:axId val="211660800"/>
      </c:barChart>
      <c:catAx>
        <c:axId val="211659008"/>
        <c:scaling>
          <c:orientation val="minMax"/>
        </c:scaling>
        <c:delete val="0"/>
        <c:axPos val="b"/>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1660800"/>
        <c:crosses val="autoZero"/>
        <c:auto val="1"/>
        <c:lblAlgn val="ctr"/>
        <c:lblOffset val="100"/>
        <c:noMultiLvlLbl val="0"/>
      </c:catAx>
      <c:valAx>
        <c:axId val="211660800"/>
        <c:scaling>
          <c:orientation val="minMax"/>
          <c:max val="2.2000000000000002"/>
          <c:min val="1.2"/>
        </c:scaling>
        <c:delete val="0"/>
        <c:axPos val="l"/>
        <c:majorGridlines/>
        <c:numFmt formatCode="0.00" sourceLinked="0"/>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1659008"/>
        <c:crosses val="autoZero"/>
        <c:crossBetween val="between"/>
        <c:majorUnit val="0.1"/>
      </c:valAx>
      <c:spPr>
        <a:solidFill>
          <a:srgbClr val="E6E0EC"/>
        </a:solidFill>
      </c:spPr>
    </c:plotArea>
    <c:legend>
      <c:legendPos val="r"/>
      <c:legendEntry>
        <c:idx val="0"/>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90781634149801549"/>
          <c:y val="0.39482366976855165"/>
          <c:w val="8.6721309747934114E-2"/>
          <c:h val="0.21529181579575279"/>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9196850393700793E-2"/>
          <c:y val="2.8252405949256341E-2"/>
          <c:w val="0.82945669291338586"/>
          <c:h val="0.87113817439486729"/>
        </c:manualLayout>
      </c:layout>
      <c:barChart>
        <c:barDir val="col"/>
        <c:grouping val="clustered"/>
        <c:varyColors val="0"/>
        <c:ser>
          <c:idx val="0"/>
          <c:order val="0"/>
          <c:tx>
            <c:strRef>
              <c:f>'PUE Values'!$B$22</c:f>
              <c:strCache>
                <c:ptCount val="1"/>
                <c:pt idx="0">
                  <c:v>July 16 PUE</c:v>
                </c:pt>
              </c:strCache>
            </c:strRef>
          </c:tx>
          <c:spPr>
            <a:solidFill>
              <a:srgbClr val="558ED5"/>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Values'!$B$23:$B$31</c:f>
              <c:numCache>
                <c:formatCode>0.00</c:formatCode>
                <c:ptCount val="9"/>
                <c:pt idx="0">
                  <c:v>1.55</c:v>
                </c:pt>
                <c:pt idx="1">
                  <c:v>1.48</c:v>
                </c:pt>
                <c:pt idx="2">
                  <c:v>1.53</c:v>
                </c:pt>
                <c:pt idx="3">
                  <c:v>1.4</c:v>
                </c:pt>
                <c:pt idx="4">
                  <c:v>1.73</c:v>
                </c:pt>
                <c:pt idx="5">
                  <c:v>1.56</c:v>
                </c:pt>
                <c:pt idx="6">
                  <c:v>1.49</c:v>
                </c:pt>
                <c:pt idx="7">
                  <c:v>1.54</c:v>
                </c:pt>
                <c:pt idx="8">
                  <c:v>1.52</c:v>
                </c:pt>
              </c:numCache>
            </c:numRef>
          </c:val>
          <c:extLst>
            <c:ext xmlns:c16="http://schemas.microsoft.com/office/drawing/2014/chart" uri="{C3380CC4-5D6E-409C-BE32-E72D297353CC}">
              <c16:uniqueId val="{00000000-97D1-4C00-96B1-7790091DFCBE}"/>
            </c:ext>
          </c:extLst>
        </c:ser>
        <c:ser>
          <c:idx val="1"/>
          <c:order val="1"/>
          <c:tx>
            <c:strRef>
              <c:f>'PUE Values'!$C$22</c:f>
              <c:strCache>
                <c:ptCount val="1"/>
                <c:pt idx="0">
                  <c:v>July 17 PUE</c:v>
                </c:pt>
              </c:strCache>
            </c:strRef>
          </c:tx>
          <c:spPr>
            <a:solidFill>
              <a:srgbClr val="C00000"/>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Values'!$C$23:$C$31</c:f>
              <c:numCache>
                <c:formatCode>General</c:formatCode>
                <c:ptCount val="9"/>
                <c:pt idx="0">
                  <c:v>1.58</c:v>
                </c:pt>
                <c:pt idx="1">
                  <c:v>1.51</c:v>
                </c:pt>
                <c:pt idx="2" formatCode="0.00">
                  <c:v>1.52</c:v>
                </c:pt>
                <c:pt idx="3">
                  <c:v>1.42</c:v>
                </c:pt>
                <c:pt idx="4">
                  <c:v>2.06</c:v>
                </c:pt>
                <c:pt idx="5">
                  <c:v>1.44</c:v>
                </c:pt>
                <c:pt idx="6" formatCode="0.00">
                  <c:v>1.5</c:v>
                </c:pt>
                <c:pt idx="7">
                  <c:v>1.49</c:v>
                </c:pt>
                <c:pt idx="8" formatCode="0.00">
                  <c:v>1.5</c:v>
                </c:pt>
              </c:numCache>
            </c:numRef>
          </c:val>
          <c:extLst>
            <c:ext xmlns:c16="http://schemas.microsoft.com/office/drawing/2014/chart" uri="{C3380CC4-5D6E-409C-BE32-E72D297353CC}">
              <c16:uniqueId val="{00000001-97D1-4C00-96B1-7790091DFCBE}"/>
            </c:ext>
          </c:extLst>
        </c:ser>
        <c:dLbls>
          <c:showLegendKey val="0"/>
          <c:showVal val="0"/>
          <c:showCatName val="0"/>
          <c:showSerName val="0"/>
          <c:showPercent val="0"/>
          <c:showBubbleSize val="0"/>
        </c:dLbls>
        <c:gapWidth val="100"/>
        <c:axId val="212490496"/>
        <c:axId val="212492288"/>
      </c:barChart>
      <c:catAx>
        <c:axId val="212490496"/>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12492288"/>
        <c:crosses val="autoZero"/>
        <c:auto val="1"/>
        <c:lblAlgn val="ctr"/>
        <c:lblOffset val="100"/>
        <c:noMultiLvlLbl val="0"/>
      </c:catAx>
      <c:valAx>
        <c:axId val="212492288"/>
        <c:scaling>
          <c:orientation val="minMax"/>
          <c:min val="1.2"/>
        </c:scaling>
        <c:delete val="0"/>
        <c:axPos val="l"/>
        <c:majorGridlines/>
        <c:numFmt formatCode="0.00" sourceLinked="1"/>
        <c:majorTickMark val="out"/>
        <c:minorTickMark val="none"/>
        <c:tickLblPos val="nextTo"/>
        <c:txPr>
          <a:bodyPr/>
          <a:lstStyle/>
          <a:p>
            <a:pPr>
              <a:defRPr sz="1600">
                <a:latin typeface="Vodafone Lt" panose="020B0606040202020204" pitchFamily="34" charset="0"/>
              </a:defRPr>
            </a:pPr>
            <a:endParaRPr lang="en-US"/>
          </a:p>
        </c:txPr>
        <c:crossAx val="212490496"/>
        <c:crosses val="autoZero"/>
        <c:crossBetween val="between"/>
      </c:valAx>
      <c:spPr>
        <a:solidFill>
          <a:srgbClr val="E6E0EC"/>
        </a:solidFill>
      </c:spPr>
    </c:plotArea>
    <c:legend>
      <c:legendPos val="r"/>
      <c:layout>
        <c:manualLayout>
          <c:xMode val="edge"/>
          <c:yMode val="edge"/>
          <c:x val="0.90751461779141152"/>
          <c:y val="0.3397543307086614"/>
          <c:w val="8.7128215990654415E-2"/>
          <c:h val="0.21382467191601051"/>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407713866275187E-2"/>
          <c:y val="5.3756248666796506E-2"/>
          <c:w val="0.68141230222920046"/>
          <c:h val="0.73426671651182429"/>
        </c:manualLayout>
      </c:layout>
      <c:barChart>
        <c:barDir val="col"/>
        <c:grouping val="stacked"/>
        <c:varyColors val="0"/>
        <c:ser>
          <c:idx val="0"/>
          <c:order val="0"/>
          <c:tx>
            <c:strRef>
              <c:f>'Power figures'!$B$59</c:f>
              <c:strCache>
                <c:ptCount val="1"/>
                <c:pt idx="0">
                  <c:v>Inverter Usage (kW)</c:v>
                </c:pt>
              </c:strCache>
            </c:strRef>
          </c:tx>
          <c:spPr>
            <a:solidFill>
              <a:srgbClr val="FF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figures'!$B$60:$B$70</c:f>
              <c:numCache>
                <c:formatCode>0.00</c:formatCode>
                <c:ptCount val="11"/>
                <c:pt idx="0">
                  <c:v>1.2535000000000001</c:v>
                </c:pt>
                <c:pt idx="1">
                  <c:v>0.25070000000000003</c:v>
                </c:pt>
                <c:pt idx="2">
                  <c:v>1.2535000000000001</c:v>
                </c:pt>
                <c:pt idx="3">
                  <c:v>2.0056000000000003</c:v>
                </c:pt>
                <c:pt idx="4">
                  <c:v>0.50140000000000007</c:v>
                </c:pt>
                <c:pt idx="5">
                  <c:v>1.7549000000000001</c:v>
                </c:pt>
                <c:pt idx="6">
                  <c:v>1.5042</c:v>
                </c:pt>
                <c:pt idx="7">
                  <c:v>10.278700000000001</c:v>
                </c:pt>
                <c:pt idx="8">
                  <c:v>1.0028000000000001</c:v>
                </c:pt>
                <c:pt idx="9">
                  <c:v>1.5042</c:v>
                </c:pt>
                <c:pt idx="10">
                  <c:v>0</c:v>
                </c:pt>
              </c:numCache>
            </c:numRef>
          </c:val>
          <c:extLst>
            <c:ext xmlns:c16="http://schemas.microsoft.com/office/drawing/2014/chart" uri="{C3380CC4-5D6E-409C-BE32-E72D297353CC}">
              <c16:uniqueId val="{00000000-8FB8-4DEF-8542-710F6A05742A}"/>
            </c:ext>
          </c:extLst>
        </c:ser>
        <c:ser>
          <c:idx val="1"/>
          <c:order val="1"/>
          <c:tx>
            <c:strRef>
              <c:f>'Power figures'!$C$59</c:f>
              <c:strCache>
                <c:ptCount val="1"/>
                <c:pt idx="0">
                  <c:v>DC Usage (kW)</c:v>
                </c:pt>
              </c:strCache>
            </c:strRef>
          </c:tx>
          <c:spPr>
            <a:solidFill>
              <a:srgbClr val="008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figures'!$C$60:$C$70</c:f>
              <c:numCache>
                <c:formatCode>0</c:formatCode>
                <c:ptCount val="11"/>
                <c:pt idx="0">
                  <c:v>42.564499999999995</c:v>
                </c:pt>
                <c:pt idx="1">
                  <c:v>39.893999999999998</c:v>
                </c:pt>
                <c:pt idx="2">
                  <c:v>44.962499999999999</c:v>
                </c:pt>
                <c:pt idx="3">
                  <c:v>36.035399999999996</c:v>
                </c:pt>
                <c:pt idx="4">
                  <c:v>9.0360999999999994</c:v>
                </c:pt>
                <c:pt idx="5">
                  <c:v>60.5931</c:v>
                </c:pt>
                <c:pt idx="6">
                  <c:v>43.076800000000006</c:v>
                </c:pt>
                <c:pt idx="7">
                  <c:v>23.456800000000001</c:v>
                </c:pt>
                <c:pt idx="8">
                  <c:v>19.292999999999999</c:v>
                </c:pt>
                <c:pt idx="9">
                  <c:v>42.7498</c:v>
                </c:pt>
                <c:pt idx="10">
                  <c:v>39.512500000000003</c:v>
                </c:pt>
              </c:numCache>
            </c:numRef>
          </c:val>
          <c:extLst>
            <c:ext xmlns:c16="http://schemas.microsoft.com/office/drawing/2014/chart" uri="{C3380CC4-5D6E-409C-BE32-E72D297353CC}">
              <c16:uniqueId val="{00000001-8FB8-4DEF-8542-710F6A05742A}"/>
            </c:ext>
          </c:extLst>
        </c:ser>
        <c:ser>
          <c:idx val="2"/>
          <c:order val="2"/>
          <c:tx>
            <c:strRef>
              <c:f>'Power figures'!$D$59</c:f>
              <c:strCache>
                <c:ptCount val="1"/>
                <c:pt idx="0">
                  <c:v>Reserved (kW)</c:v>
                </c:pt>
              </c:strCache>
            </c:strRef>
          </c:tx>
          <c:spPr>
            <a:solidFill>
              <a:srgbClr val="F79646">
                <a:lumMod val="75000"/>
              </a:srgbClr>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figures'!$D$60:$D$70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B8-4DEF-8542-710F6A05742A}"/>
            </c:ext>
          </c:extLst>
        </c:ser>
        <c:ser>
          <c:idx val="3"/>
          <c:order val="3"/>
          <c:tx>
            <c:strRef>
              <c:f>'Power figures'!$E$59</c:f>
              <c:strCache>
                <c:ptCount val="1"/>
                <c:pt idx="0">
                  <c:v>Forecast (kW)</c:v>
                </c:pt>
              </c:strCache>
            </c:strRef>
          </c:tx>
          <c:spPr>
            <a:solidFill>
              <a:srgbClr val="80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figures'!$E$60:$E$70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FB8-4DEF-8542-710F6A05742A}"/>
            </c:ext>
          </c:extLst>
        </c:ser>
        <c:ser>
          <c:idx val="4"/>
          <c:order val="4"/>
          <c:tx>
            <c:strRef>
              <c:f>'Power figures'!$F$59</c:f>
              <c:strCache>
                <c:ptCount val="1"/>
                <c:pt idx="0">
                  <c:v>Remaining Capacity (kW)</c:v>
                </c:pt>
              </c:strCache>
            </c:strRef>
          </c:tx>
          <c:spPr>
            <a:solidFill>
              <a:srgbClr val="0070C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figures'!$F$60:$F$70</c:f>
              <c:numCache>
                <c:formatCode>0</c:formatCode>
                <c:ptCount val="11"/>
                <c:pt idx="0">
                  <c:v>186.18200000000002</c:v>
                </c:pt>
                <c:pt idx="1">
                  <c:v>189.8553</c:v>
                </c:pt>
                <c:pt idx="2">
                  <c:v>182.78399999999999</c:v>
                </c:pt>
                <c:pt idx="3">
                  <c:v>191.959</c:v>
                </c:pt>
                <c:pt idx="4">
                  <c:v>52.462500000000006</c:v>
                </c:pt>
                <c:pt idx="5">
                  <c:v>167.65200000000002</c:v>
                </c:pt>
                <c:pt idx="6">
                  <c:v>242.41899999999998</c:v>
                </c:pt>
                <c:pt idx="7">
                  <c:v>196.2645</c:v>
                </c:pt>
                <c:pt idx="8">
                  <c:v>190.70419999999999</c:v>
                </c:pt>
                <c:pt idx="9">
                  <c:v>185.74600000000001</c:v>
                </c:pt>
                <c:pt idx="10">
                  <c:v>131.48750000000001</c:v>
                </c:pt>
              </c:numCache>
            </c:numRef>
          </c:val>
          <c:extLst>
            <c:ext xmlns:c16="http://schemas.microsoft.com/office/drawing/2014/chart" uri="{C3380CC4-5D6E-409C-BE32-E72D297353CC}">
              <c16:uniqueId val="{00000000-2251-4BF8-9539-E99833E9A108}"/>
            </c:ext>
          </c:extLst>
        </c:ser>
        <c:dLbls>
          <c:showLegendKey val="0"/>
          <c:showVal val="0"/>
          <c:showCatName val="0"/>
          <c:showSerName val="0"/>
          <c:showPercent val="0"/>
          <c:showBubbleSize val="0"/>
        </c:dLbls>
        <c:gapWidth val="68"/>
        <c:overlap val="100"/>
        <c:axId val="212459904"/>
        <c:axId val="212461440"/>
      </c:barChart>
      <c:catAx>
        <c:axId val="212459904"/>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12461440"/>
        <c:crosses val="autoZero"/>
        <c:auto val="1"/>
        <c:lblAlgn val="ctr"/>
        <c:lblOffset val="100"/>
        <c:noMultiLvlLbl val="0"/>
      </c:catAx>
      <c:valAx>
        <c:axId val="212461440"/>
        <c:scaling>
          <c:orientation val="minMax"/>
          <c:max val="350"/>
          <c:min val="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2459904"/>
        <c:crosses val="autoZero"/>
        <c:crossBetween val="between"/>
      </c:valAx>
      <c:spPr>
        <a:solidFill>
          <a:srgbClr val="8064A2">
            <a:lumMod val="20000"/>
            <a:lumOff val="80000"/>
          </a:srgbClr>
        </a:solidFill>
      </c:spPr>
    </c:plotArea>
    <c:legend>
      <c:legendPos val="r"/>
      <c:layout>
        <c:manualLayout>
          <c:xMode val="edge"/>
          <c:yMode val="edge"/>
          <c:x val="0.77492443295334357"/>
          <c:y val="0.11893362923130543"/>
          <c:w val="0.1963722255001259"/>
          <c:h val="0.50032507927459291"/>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263757130859893"/>
          <c:y val="0.16101118939079984"/>
          <c:w val="0.57545491175152597"/>
          <c:h val="0.73032652081924665"/>
        </c:manualLayout>
      </c:layout>
      <c:barChart>
        <c:barDir val="col"/>
        <c:grouping val="stacked"/>
        <c:varyColors val="0"/>
        <c:ser>
          <c:idx val="0"/>
          <c:order val="0"/>
          <c:tx>
            <c:strRef>
              <c:f>'Inverter Loading'!$B$112</c:f>
              <c:strCache>
                <c:ptCount val="1"/>
                <c:pt idx="0">
                  <c:v>System Load (A)</c:v>
                </c:pt>
              </c:strCache>
            </c:strRef>
          </c:tx>
          <c:spPr>
            <a:solidFill>
              <a:srgbClr val="008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Loading'!$B$113:$B$115</c:f>
              <c:numCache>
                <c:formatCode>General</c:formatCode>
                <c:ptCount val="3"/>
                <c:pt idx="0">
                  <c:v>47</c:v>
                </c:pt>
                <c:pt idx="1">
                  <c:v>39</c:v>
                </c:pt>
                <c:pt idx="2">
                  <c:v>57</c:v>
                </c:pt>
              </c:numCache>
            </c:numRef>
          </c:val>
          <c:extLst>
            <c:ext xmlns:c16="http://schemas.microsoft.com/office/drawing/2014/chart" uri="{C3380CC4-5D6E-409C-BE32-E72D297353CC}">
              <c16:uniqueId val="{00000000-9C17-4CD0-87C7-E8877F16F66E}"/>
            </c:ext>
          </c:extLst>
        </c:ser>
        <c:ser>
          <c:idx val="1"/>
          <c:order val="1"/>
          <c:tx>
            <c:strRef>
              <c:f>'Inverter Loading'!$C$112</c:f>
              <c:strCache>
                <c:ptCount val="1"/>
                <c:pt idx="0">
                  <c:v>Forecast (A)</c:v>
                </c:pt>
              </c:strCache>
            </c:strRef>
          </c:tx>
          <c:spPr>
            <a:solidFill>
              <a:srgbClr val="800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Loading'!$C$113:$C$115</c:f>
              <c:numCache>
                <c:formatCode>General</c:formatCode>
                <c:ptCount val="3"/>
                <c:pt idx="0">
                  <c:v>0</c:v>
                </c:pt>
                <c:pt idx="1">
                  <c:v>0</c:v>
                </c:pt>
                <c:pt idx="2">
                  <c:v>0</c:v>
                </c:pt>
              </c:numCache>
            </c:numRef>
          </c:val>
          <c:extLst>
            <c:ext xmlns:c16="http://schemas.microsoft.com/office/drawing/2014/chart" uri="{C3380CC4-5D6E-409C-BE32-E72D297353CC}">
              <c16:uniqueId val="{00000001-9C17-4CD0-87C7-E8877F16F66E}"/>
            </c:ext>
          </c:extLst>
        </c:ser>
        <c:ser>
          <c:idx val="2"/>
          <c:order val="2"/>
          <c:tx>
            <c:strRef>
              <c:f>'Inverter Loading'!$D$112</c:f>
              <c:strCache>
                <c:ptCount val="1"/>
                <c:pt idx="0">
                  <c:v>Remaining Capacity (A)</c:v>
                </c:pt>
              </c:strCache>
            </c:strRef>
          </c:tx>
          <c:spPr>
            <a:solidFill>
              <a:srgbClr val="FFFFCC"/>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Loading'!$D$113:$D$115</c:f>
              <c:numCache>
                <c:formatCode>General</c:formatCode>
                <c:ptCount val="3"/>
                <c:pt idx="0">
                  <c:v>83</c:v>
                </c:pt>
                <c:pt idx="1">
                  <c:v>91</c:v>
                </c:pt>
                <c:pt idx="2">
                  <c:v>73</c:v>
                </c:pt>
              </c:numCache>
            </c:numRef>
          </c:val>
          <c:extLst>
            <c:ext xmlns:c16="http://schemas.microsoft.com/office/drawing/2014/chart" uri="{C3380CC4-5D6E-409C-BE32-E72D297353CC}">
              <c16:uniqueId val="{00000002-9C17-4CD0-87C7-E8877F16F66E}"/>
            </c:ext>
          </c:extLst>
        </c:ser>
        <c:dLbls>
          <c:showLegendKey val="0"/>
          <c:showVal val="0"/>
          <c:showCatName val="0"/>
          <c:showSerName val="0"/>
          <c:showPercent val="0"/>
          <c:showBubbleSize val="0"/>
        </c:dLbls>
        <c:gapWidth val="20"/>
        <c:overlap val="100"/>
        <c:axId val="212185856"/>
        <c:axId val="212187392"/>
      </c:barChart>
      <c:catAx>
        <c:axId val="212185856"/>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7392"/>
        <c:crosses val="autoZero"/>
        <c:auto val="1"/>
        <c:lblAlgn val="ctr"/>
        <c:lblOffset val="100"/>
        <c:noMultiLvlLbl val="0"/>
      </c:catAx>
      <c:valAx>
        <c:axId val="2121873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5856"/>
        <c:crosses val="autoZero"/>
        <c:crossBetween val="between"/>
      </c:valAx>
      <c:spPr>
        <a:solidFill>
          <a:srgbClr val="8064A2">
            <a:lumMod val="20000"/>
            <a:lumOff val="80000"/>
          </a:srgbClr>
        </a:solidFill>
      </c:spPr>
    </c:plotArea>
    <c:legend>
      <c:legendPos val="r"/>
      <c:layout>
        <c:manualLayout>
          <c:xMode val="edge"/>
          <c:yMode val="edge"/>
          <c:x val="0.69331512751657487"/>
          <c:y val="0.24263155395993849"/>
          <c:w val="0.30097310090573937"/>
          <c:h val="0.38833336968612997"/>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7811953750844"/>
          <c:y val="0.1954050985918159"/>
          <c:w val="0.62148931920247963"/>
          <c:h val="0.71158442694663171"/>
        </c:manualLayout>
      </c:layout>
      <c:barChart>
        <c:barDir val="col"/>
        <c:grouping val="stacked"/>
        <c:varyColors val="0"/>
        <c:ser>
          <c:idx val="0"/>
          <c:order val="0"/>
          <c:tx>
            <c:strRef>
              <c:f>'Cab Floorspace'!$B$84</c:f>
              <c:strCache>
                <c:ptCount val="1"/>
                <c:pt idx="0">
                  <c:v>Used (m²)</c:v>
                </c:pt>
              </c:strCache>
            </c:strRef>
          </c:tx>
          <c:spPr>
            <a:solidFill>
              <a:srgbClr val="008000"/>
            </a:solidFill>
            <a:ln>
              <a:solidFill>
                <a:sysClr val="windowText" lastClr="000000"/>
              </a:solidFill>
            </a:ln>
          </c:spPr>
          <c:invertIfNegative val="0"/>
          <c:val>
            <c:numRef>
              <c:f>'Cab Floorspace'!$B$85</c:f>
              <c:numCache>
                <c:formatCode>0</c:formatCode>
                <c:ptCount val="1"/>
                <c:pt idx="0">
                  <c:v>48.96</c:v>
                </c:pt>
              </c:numCache>
            </c:numRef>
          </c:val>
          <c:extLst>
            <c:ext xmlns:c16="http://schemas.microsoft.com/office/drawing/2014/chart" uri="{C3380CC4-5D6E-409C-BE32-E72D297353CC}">
              <c16:uniqueId val="{00000000-B5B3-4F5F-B45B-1A7C3CD5DD19}"/>
            </c:ext>
          </c:extLst>
        </c:ser>
        <c:ser>
          <c:idx val="1"/>
          <c:order val="1"/>
          <c:tx>
            <c:strRef>
              <c:f>'Cab Floorspace'!$C$84</c:f>
              <c:strCache>
                <c:ptCount val="1"/>
                <c:pt idx="0">
                  <c:v>Forecast (m²)</c:v>
                </c:pt>
              </c:strCache>
            </c:strRef>
          </c:tx>
          <c:spPr>
            <a:solidFill>
              <a:srgbClr val="800000"/>
            </a:solidFill>
            <a:ln>
              <a:solidFill>
                <a:sysClr val="windowText" lastClr="000000"/>
              </a:solidFill>
            </a:ln>
          </c:spPr>
          <c:invertIfNegative val="0"/>
          <c:val>
            <c:numRef>
              <c:f>'Cab Floorspace'!$C$85</c:f>
              <c:numCache>
                <c:formatCode>0</c:formatCode>
                <c:ptCount val="1"/>
                <c:pt idx="0">
                  <c:v>0</c:v>
                </c:pt>
              </c:numCache>
            </c:numRef>
          </c:val>
          <c:extLst>
            <c:ext xmlns:c16="http://schemas.microsoft.com/office/drawing/2014/chart" uri="{C3380CC4-5D6E-409C-BE32-E72D297353CC}">
              <c16:uniqueId val="{00000001-B5B3-4F5F-B45B-1A7C3CD5DD19}"/>
            </c:ext>
          </c:extLst>
        </c:ser>
        <c:ser>
          <c:idx val="2"/>
          <c:order val="2"/>
          <c:tx>
            <c:strRef>
              <c:f>'Cab Floorspace'!$D$84</c:f>
              <c:strCache>
                <c:ptCount val="1"/>
                <c:pt idx="0">
                  <c:v>Remaining (m²)</c:v>
                </c:pt>
              </c:strCache>
            </c:strRef>
          </c:tx>
          <c:spPr>
            <a:solidFill>
              <a:srgbClr val="FFFFCC"/>
            </a:solidFill>
            <a:ln>
              <a:solidFill>
                <a:sysClr val="windowText" lastClr="000000"/>
              </a:solidFill>
            </a:ln>
          </c:spPr>
          <c:invertIfNegative val="0"/>
          <c:val>
            <c:numRef>
              <c:f>'Cab Floorspace'!$D$85</c:f>
              <c:numCache>
                <c:formatCode>0</c:formatCode>
                <c:ptCount val="1"/>
                <c:pt idx="0">
                  <c:v>3.84</c:v>
                </c:pt>
              </c:numCache>
            </c:numRef>
          </c:val>
          <c:extLst>
            <c:ext xmlns:c16="http://schemas.microsoft.com/office/drawing/2014/chart" uri="{C3380CC4-5D6E-409C-BE32-E72D297353CC}">
              <c16:uniqueId val="{00000002-B5B3-4F5F-B45B-1A7C3CD5DD19}"/>
            </c:ext>
          </c:extLst>
        </c:ser>
        <c:dLbls>
          <c:showLegendKey val="0"/>
          <c:showVal val="0"/>
          <c:showCatName val="0"/>
          <c:showSerName val="0"/>
          <c:showPercent val="0"/>
          <c:showBubbleSize val="0"/>
        </c:dLbls>
        <c:gapWidth val="150"/>
        <c:overlap val="100"/>
        <c:axId val="212227968"/>
        <c:axId val="212229504"/>
      </c:barChart>
      <c:catAx>
        <c:axId val="212227968"/>
        <c:scaling>
          <c:orientation val="minMax"/>
        </c:scaling>
        <c:delete val="1"/>
        <c:axPos val="b"/>
        <c:majorTickMark val="out"/>
        <c:minorTickMark val="none"/>
        <c:tickLblPos val="nextTo"/>
        <c:crossAx val="212229504"/>
        <c:crosses val="autoZero"/>
        <c:auto val="1"/>
        <c:lblAlgn val="ctr"/>
        <c:lblOffset val="100"/>
        <c:noMultiLvlLbl val="0"/>
      </c:catAx>
      <c:valAx>
        <c:axId val="212229504"/>
        <c:scaling>
          <c:orientation val="minMax"/>
          <c:min val="0"/>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227968"/>
        <c:crosses val="autoZero"/>
        <c:crossBetween val="between"/>
        <c:majorUnit val="10"/>
      </c:valAx>
      <c:spPr>
        <a:solidFill>
          <a:srgbClr val="E6E0EC"/>
        </a:solidFill>
      </c:spPr>
    </c:plotArea>
    <c:legend>
      <c:legendPos val="r"/>
      <c:layout>
        <c:manualLayout>
          <c:xMode val="edge"/>
          <c:yMode val="edge"/>
          <c:x val="0.75366501548806908"/>
          <c:y val="0.24691185501377116"/>
          <c:w val="0.23946935636066635"/>
          <c:h val="0.3933307086614173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2</xdr:col>
      <xdr:colOff>19050</xdr:colOff>
      <xdr:row>59</xdr:row>
      <xdr:rowOff>1361</xdr:rowOff>
    </xdr:from>
    <xdr:to>
      <xdr:col>10</xdr:col>
      <xdr:colOff>117021</xdr:colOff>
      <xdr:row>101</xdr:row>
      <xdr:rowOff>76200</xdr:rowOff>
    </xdr:to>
    <xdr:graphicFrame macro="">
      <xdr:nvGraphicFramePr>
        <xdr:cNvPr id="27" name="Chart 9">
          <a:extLst>
            <a:ext uri="{FF2B5EF4-FFF2-40B4-BE49-F238E27FC236}">
              <a16:creationId xmlns:a16="http://schemas.microsoft.com/office/drawing/2014/main" id="{EAE41DE4-88C0-3DB6-A9F4-3E4479EFF292}"/>
            </a:ext>
            <a:ext uri="{147F2762-F138-4A5C-976F-8EAC2B608ADB}">
              <a16:predDERef xmlns:a16="http://schemas.microsoft.com/office/drawing/2014/main" pred="{D5F5A787-53FC-0AD5-BE88-DA86AC75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59</xdr:row>
      <xdr:rowOff>38100</xdr:rowOff>
    </xdr:from>
    <xdr:to>
      <xdr:col>22</xdr:col>
      <xdr:colOff>400050</xdr:colOff>
      <xdr:row>101</xdr:row>
      <xdr:rowOff>57150</xdr:rowOff>
    </xdr:to>
    <xdr:graphicFrame macro="">
      <xdr:nvGraphicFramePr>
        <xdr:cNvPr id="30" name="Chart 10">
          <a:extLst>
            <a:ext uri="{FF2B5EF4-FFF2-40B4-BE49-F238E27FC236}">
              <a16:creationId xmlns:a16="http://schemas.microsoft.com/office/drawing/2014/main" id="{BCDACC24-B595-3151-C52B-8D3AB31C99CD}"/>
            </a:ext>
            <a:ext uri="{147F2762-F138-4A5C-976F-8EAC2B608ADB}">
              <a16:predDERef xmlns:a16="http://schemas.microsoft.com/office/drawing/2014/main" pred="{EAE41DE4-88C0-3DB6-A9F4-3E4479EF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392858</xdr:colOff>
      <xdr:row>15</xdr:row>
      <xdr:rowOff>59673</xdr:rowOff>
    </xdr:from>
    <xdr:to>
      <xdr:col>13</xdr:col>
      <xdr:colOff>1034726</xdr:colOff>
      <xdr:row>57</xdr:row>
      <xdr:rowOff>127128</xdr:rowOff>
    </xdr:to>
    <xdr:graphicFrame macro="">
      <xdr:nvGraphicFramePr>
        <xdr:cNvPr id="6" name="Chart 2">
          <a:extLst>
            <a:ext uri="{FF2B5EF4-FFF2-40B4-BE49-F238E27FC236}">
              <a16:creationId xmlns:a16="http://schemas.microsoft.com/office/drawing/2014/main" id="{7974E33F-0494-4542-BDEF-05DCEFBF5B5F}"/>
            </a:ext>
            <a:ext uri="{147F2762-F138-4A5C-976F-8EAC2B608ADB}">
              <a16:predDERef xmlns:a16="http://schemas.microsoft.com/office/drawing/2014/main" pred="{BCDACC24-B595-3151-C52B-8D3AB31C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15</xdr:row>
      <xdr:rowOff>0</xdr:rowOff>
    </xdr:from>
    <xdr:to>
      <xdr:col>40</xdr:col>
      <xdr:colOff>533787</xdr:colOff>
      <xdr:row>57</xdr:row>
      <xdr:rowOff>66094</xdr:rowOff>
    </xdr:to>
    <xdr:graphicFrame macro="">
      <xdr:nvGraphicFramePr>
        <xdr:cNvPr id="5" name="Chart 2">
          <a:extLst>
            <a:ext uri="{FF2B5EF4-FFF2-40B4-BE49-F238E27FC236}">
              <a16:creationId xmlns:a16="http://schemas.microsoft.com/office/drawing/2014/main" id="{CEFB689D-37EC-4416-B75D-9B33D653431F}"/>
            </a:ext>
            <a:ext uri="{147F2762-F138-4A5C-976F-8EAC2B608ADB}">
              <a16:predDERef xmlns:a16="http://schemas.microsoft.com/office/drawing/2014/main" pred="{7974E33F-0494-4542-BDEF-05DCEFBF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809624</xdr:colOff>
      <xdr:row>151</xdr:row>
      <xdr:rowOff>133349</xdr:rowOff>
    </xdr:from>
    <xdr:to>
      <xdr:col>13</xdr:col>
      <xdr:colOff>200025</xdr:colOff>
      <xdr:row>172</xdr:row>
      <xdr:rowOff>28575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09624" y="23050499"/>
          <a:ext cx="9982201" cy="2895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baseline="0">
              <a:solidFill>
                <a:schemeClr val="dk1"/>
              </a:solidFill>
              <a:latin typeface="+mn-lt"/>
              <a:ea typeface="+mn-ea"/>
              <a:cs typeface="+mn-cs"/>
            </a:rPr>
            <a:t>Charging current</a:t>
          </a:r>
        </a:p>
        <a:p>
          <a:r>
            <a:rPr lang="en-GB" sz="1100" b="0" i="0" u="none" strike="noStrike" baseline="0">
              <a:solidFill>
                <a:schemeClr val="dk1"/>
              </a:solidFill>
              <a:latin typeface="+mn-lt"/>
              <a:ea typeface="+mn-ea"/>
              <a:cs typeface="+mn-cs"/>
            </a:rPr>
            <a:t>A discharged VRLA battery will accept a high recharge current, but for those seeking a more economical charging system a current limit of 0.08 C10 : 0.1 C3 (A) is adequate.</a:t>
          </a:r>
        </a:p>
        <a:p>
          <a:r>
            <a:rPr lang="en-GB" sz="1100" b="1" i="1" u="none" strike="noStrike" baseline="0">
              <a:solidFill>
                <a:schemeClr val="dk1"/>
              </a:solidFill>
              <a:latin typeface="+mn-lt"/>
              <a:ea typeface="+mn-ea"/>
              <a:cs typeface="+mn-cs"/>
            </a:rPr>
            <a:t>Note: </a:t>
          </a:r>
          <a:r>
            <a:rPr lang="en-GB" sz="1100" b="0" i="1" u="none" strike="noStrike" baseline="0">
              <a:solidFill>
                <a:schemeClr val="dk1"/>
              </a:solidFill>
              <a:latin typeface="+mn-lt"/>
              <a:ea typeface="+mn-ea"/>
              <a:cs typeface="+mn-cs"/>
            </a:rPr>
            <a:t>For a completely discharged battery, 80% of the capacity is</a:t>
          </a:r>
        </a:p>
        <a:p>
          <a:r>
            <a:rPr lang="en-GB" sz="1100" b="0" i="1" u="none" strike="noStrike" baseline="0">
              <a:solidFill>
                <a:schemeClr val="dk1"/>
              </a:solidFill>
              <a:latin typeface="+mn-lt"/>
              <a:ea typeface="+mn-ea"/>
              <a:cs typeface="+mn-cs"/>
            </a:rPr>
            <a:t>replaced in approximately:</a:t>
          </a:r>
        </a:p>
        <a:p>
          <a:r>
            <a:rPr lang="en-GB" sz="1100" b="0" i="1" u="none" strike="noStrike" baseline="0">
              <a:solidFill>
                <a:schemeClr val="dk1"/>
              </a:solidFill>
              <a:latin typeface="+mn-lt"/>
              <a:ea typeface="+mn-ea"/>
              <a:cs typeface="+mn-cs"/>
            </a:rPr>
            <a:t>10 hours at 0.1 C</a:t>
          </a:r>
          <a:r>
            <a:rPr lang="en-GB" sz="1100" b="0" i="1" u="none" strike="noStrike" baseline="-25000">
              <a:solidFill>
                <a:schemeClr val="dk1"/>
              </a:solidFill>
              <a:latin typeface="+mn-lt"/>
              <a:ea typeface="+mn-ea"/>
              <a:cs typeface="+mn-cs"/>
            </a:rPr>
            <a:t>10</a:t>
          </a:r>
        </a:p>
        <a:p>
          <a:pPr marL="0" indent="0"/>
          <a:r>
            <a:rPr lang="en-GB" sz="1100" b="0" i="1" u="none" strike="noStrike" baseline="0">
              <a:solidFill>
                <a:schemeClr val="dk1"/>
              </a:solidFill>
              <a:latin typeface="+mn-lt"/>
              <a:ea typeface="+mn-ea"/>
              <a:cs typeface="+mn-cs"/>
            </a:rPr>
            <a:t>6 hours at 0.3 C</a:t>
          </a:r>
          <a:r>
            <a:rPr lang="en-GB" sz="1100" b="0" i="1" u="none" strike="noStrike" baseline="-25000">
              <a:solidFill>
                <a:schemeClr val="dk1"/>
              </a:solidFill>
              <a:latin typeface="+mn-lt"/>
              <a:ea typeface="+mn-ea"/>
              <a:cs typeface="+mn-cs"/>
            </a:rPr>
            <a:t>10</a:t>
          </a:r>
        </a:p>
        <a:p>
          <a:r>
            <a:rPr lang="en-GB" sz="1100" b="0" i="1" u="none" strike="noStrike" baseline="0">
              <a:solidFill>
                <a:schemeClr val="dk1"/>
              </a:solidFill>
              <a:latin typeface="+mn-lt"/>
              <a:ea typeface="+mn-ea"/>
              <a:cs typeface="+mn-cs"/>
            </a:rPr>
            <a:t>5 hours no current limit applied</a:t>
          </a:r>
        </a:p>
        <a:p>
          <a:endParaRPr lang="en-GB" sz="1100" b="0" i="1" u="none" strike="noStrike" baseline="0">
            <a:solidFill>
              <a:schemeClr val="dk1"/>
            </a:solidFill>
            <a:latin typeface="+mn-lt"/>
            <a:ea typeface="+mn-ea"/>
            <a:cs typeface="+mn-cs"/>
          </a:endParaRPr>
        </a:p>
        <a:p>
          <a:r>
            <a:rPr lang="en-GB" sz="1100" b="0" i="1" u="none" strike="noStrike" baseline="0">
              <a:solidFill>
                <a:schemeClr val="dk1"/>
              </a:solidFill>
              <a:latin typeface="+mn-lt"/>
              <a:ea typeface="+mn-ea"/>
              <a:cs typeface="+mn-cs"/>
            </a:rPr>
            <a:t>For a  6V165/6 (the current standard MTX battery ) C</a:t>
          </a:r>
          <a:r>
            <a:rPr lang="en-GB" sz="1100" b="0" i="1" u="none" strike="noStrike" baseline="-25000">
              <a:solidFill>
                <a:schemeClr val="dk1"/>
              </a:solidFill>
              <a:latin typeface="+mn-lt"/>
              <a:ea typeface="+mn-ea"/>
              <a:cs typeface="+mn-cs"/>
            </a:rPr>
            <a:t>10</a:t>
          </a:r>
          <a:r>
            <a:rPr lang="en-GB" sz="1100" b="0" i="1" u="none" strike="noStrike" baseline="0">
              <a:solidFill>
                <a:schemeClr val="dk1"/>
              </a:solidFill>
              <a:latin typeface="+mn-lt"/>
              <a:ea typeface="+mn-ea"/>
              <a:cs typeface="+mn-cs"/>
            </a:rPr>
            <a:t> is 173 (Ah) @ 20degC   </a:t>
          </a:r>
        </a:p>
        <a:p>
          <a:r>
            <a:rPr lang="en-GB" sz="1100" b="0" i="1" u="none" strike="noStrike" baseline="0">
              <a:solidFill>
                <a:schemeClr val="dk1"/>
              </a:solidFill>
              <a:latin typeface="+mn-lt"/>
              <a:ea typeface="+mn-ea"/>
              <a:cs typeface="+mn-cs"/>
            </a:rPr>
            <a:t>The recommended power plant capacity reserved for charging is 10-30%</a:t>
          </a:r>
        </a:p>
        <a:p>
          <a:endParaRPr lang="en-GB" sz="1100" b="0" i="1" u="none" strike="noStrike" baseline="0">
            <a:solidFill>
              <a:schemeClr val="dk1"/>
            </a:solidFill>
            <a:latin typeface="+mn-lt"/>
            <a:ea typeface="+mn-ea"/>
            <a:cs typeface="+mn-cs"/>
          </a:endParaRPr>
        </a:p>
        <a:p>
          <a:r>
            <a:rPr lang="en-GB" sz="1100"/>
            <a:t>Recharge % rate is calculated by ((redundant rectifier capacity</a:t>
          </a:r>
          <a:r>
            <a:rPr lang="en-GB" sz="1100" baseline="0"/>
            <a:t> in amps/number of battery strings - </a:t>
          </a:r>
          <a:r>
            <a:rPr lang="en-GB" sz="1100" i="1" baseline="0"/>
            <a:t>2 strings per cab in 6V165/6 config)/</a:t>
          </a:r>
          <a:r>
            <a:rPr lang="en-GB" sz="1100" b="0" i="1" baseline="0">
              <a:solidFill>
                <a:schemeClr val="dk1"/>
              </a:solidFill>
              <a:effectLst/>
              <a:latin typeface="+mn-lt"/>
              <a:ea typeface="+mn-ea"/>
              <a:cs typeface="+mn-cs"/>
            </a:rPr>
            <a:t>C</a:t>
          </a:r>
          <a:r>
            <a:rPr lang="en-GB" sz="1100" b="0" i="1" baseline="-25000">
              <a:solidFill>
                <a:schemeClr val="dk1"/>
              </a:solidFill>
              <a:effectLst/>
              <a:latin typeface="+mn-lt"/>
              <a:ea typeface="+mn-ea"/>
              <a:cs typeface="+mn-cs"/>
            </a:rPr>
            <a:t>10 </a:t>
          </a:r>
          <a:r>
            <a:rPr lang="en-GB" sz="1100" b="0" i="1" baseline="0">
              <a:solidFill>
                <a:schemeClr val="dk1"/>
              </a:solidFill>
              <a:effectLst/>
              <a:latin typeface="+mn-lt"/>
              <a:ea typeface="+mn-ea"/>
              <a:cs typeface="+mn-cs"/>
            </a:rPr>
            <a:t> Value)*100</a:t>
          </a:r>
        </a:p>
        <a:p>
          <a:endParaRPr lang="en-GB" sz="1100" b="0" i="1" baseline="0">
            <a:solidFill>
              <a:schemeClr val="dk1"/>
            </a:solidFill>
            <a:effectLst/>
            <a:latin typeface="+mn-lt"/>
            <a:ea typeface="+mn-ea"/>
            <a:cs typeface="+mn-cs"/>
          </a:endParaRPr>
        </a:p>
        <a:p>
          <a:r>
            <a:rPr lang="en-GB" sz="1100" b="0" i="1" baseline="0">
              <a:solidFill>
                <a:schemeClr val="dk1"/>
              </a:solidFill>
              <a:effectLst/>
              <a:latin typeface="+mn-lt"/>
              <a:ea typeface="+mn-ea"/>
              <a:cs typeface="+mn-cs"/>
            </a:rPr>
            <a:t>For a standard LPF10 NetSure deployment the recharge rate using 50% of the rectifers is 33.9%</a:t>
          </a:r>
        </a:p>
        <a:p>
          <a:r>
            <a:rPr lang="en-GB" sz="1100" b="0" i="1" baseline="0">
              <a:solidFill>
                <a:schemeClr val="dk1"/>
              </a:solidFill>
              <a:effectLst/>
              <a:latin typeface="+mn-lt"/>
              <a:ea typeface="+mn-ea"/>
              <a:cs typeface="+mn-cs"/>
            </a:rPr>
            <a:t>For a standard LPF 10 eSure deployment the recharge rate using 50% of the rectifiers is 37.1%</a:t>
          </a:r>
          <a:endParaRPr lang="en-GB" sz="1100" i="1"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87</xdr:row>
      <xdr:rowOff>60960</xdr:rowOff>
    </xdr:from>
    <xdr:to>
      <xdr:col>8</xdr:col>
      <xdr:colOff>403860</xdr:colOff>
      <xdr:row>112</xdr:row>
      <xdr:rowOff>0</xdr:rowOff>
    </xdr:to>
    <xdr:sp macro="" textlink="">
      <xdr:nvSpPr>
        <xdr:cNvPr id="52186113" name="Object 1" hidden="1">
          <a:extLst>
            <a:ext uri="{63B3BB69-23CF-44E3-9099-C40C66FF867C}">
              <a14:compatExt xmlns:a14="http://schemas.microsoft.com/office/drawing/2010/main" spid="_x0000_s52186113"/>
            </a:ext>
            <a:ext uri="{FF2B5EF4-FFF2-40B4-BE49-F238E27FC236}">
              <a16:creationId xmlns:a16="http://schemas.microsoft.com/office/drawing/2014/main" id="{00000000-0008-0000-0800-0000014C1C0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28098</xdr:colOff>
      <xdr:row>4</xdr:row>
      <xdr:rowOff>49531</xdr:rowOff>
    </xdr:from>
    <xdr:to>
      <xdr:col>11</xdr:col>
      <xdr:colOff>297338</xdr:colOff>
      <xdr:row>36</xdr:row>
      <xdr:rowOff>114300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70909</xdr:rowOff>
    </xdr:from>
    <xdr:to>
      <xdr:col>11</xdr:col>
      <xdr:colOff>347133</xdr:colOff>
      <xdr:row>97</xdr:row>
      <xdr:rowOff>84667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40</xdr:row>
      <xdr:rowOff>28575</xdr:rowOff>
    </xdr:from>
    <xdr:to>
      <xdr:col>29</xdr:col>
      <xdr:colOff>457200</xdr:colOff>
      <xdr:row>66</xdr:row>
      <xdr:rowOff>95250</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82762</xdr:colOff>
      <xdr:row>40</xdr:row>
      <xdr:rowOff>34184</xdr:rowOff>
    </xdr:from>
    <xdr:to>
      <xdr:col>11</xdr:col>
      <xdr:colOff>385657</xdr:colOff>
      <xdr:row>62</xdr:row>
      <xdr:rowOff>84984</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60809</xdr:colOff>
      <xdr:row>4</xdr:row>
      <xdr:rowOff>113694</xdr:rowOff>
    </xdr:from>
    <xdr:to>
      <xdr:col>30</xdr:col>
      <xdr:colOff>25400</xdr:colOff>
      <xdr:row>38</xdr:row>
      <xdr:rowOff>8467</xdr:rowOff>
    </xdr:to>
    <xdr:graphicFrame macro="">
      <xdr:nvGraphicFramePr>
        <xdr:cNvPr id="8" name="Chart 7">
          <a:extLst>
            <a:ext uri="{FF2B5EF4-FFF2-40B4-BE49-F238E27FC236}">
              <a16:creationId xmlns:a16="http://schemas.microsoft.com/office/drawing/2014/main" id="{AFB1EC23-F250-40A4-B57E-DA6C010CDE0B}"/>
            </a:ext>
            <a:ext uri="{147F2762-F138-4A5C-976F-8EAC2B608ADB}">
              <a16:predDERef xmlns:a16="http://schemas.microsoft.com/office/drawing/2014/main" pre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65616</xdr:colOff>
      <xdr:row>67</xdr:row>
      <xdr:rowOff>89534</xdr:rowOff>
    </xdr:from>
    <xdr:to>
      <xdr:col>29</xdr:col>
      <xdr:colOff>455082</xdr:colOff>
      <xdr:row>98</xdr:row>
      <xdr:rowOff>98000</xdr:rowOff>
    </xdr:to>
    <xdr:graphicFrame macro="">
      <xdr:nvGraphicFramePr>
        <xdr:cNvPr id="9" name="Chart 8">
          <a:extLst>
            <a:ext uri="{FF2B5EF4-FFF2-40B4-BE49-F238E27FC236}">
              <a16:creationId xmlns:a16="http://schemas.microsoft.com/office/drawing/2014/main" id="{5A4DA354-69F4-46D4-9024-9D22D3F9F651}"/>
            </a:ext>
            <a:ext uri="{147F2762-F138-4A5C-976F-8EAC2B608ADB}">
              <a16:predDERef xmlns:a16="http://schemas.microsoft.com/office/drawing/2014/main" pred="{AFB1EC23-F250-40A4-B57E-DA6C010C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51</xdr:row>
      <xdr:rowOff>19050</xdr:rowOff>
    </xdr:from>
    <xdr:to>
      <xdr:col>12</xdr:col>
      <xdr:colOff>333375</xdr:colOff>
      <xdr:row>53</xdr:row>
      <xdr:rowOff>57150</xdr:rowOff>
    </xdr:to>
    <xdr:sp macro="" textlink="">
      <xdr:nvSpPr>
        <xdr:cNvPr id="10" name="TextBox 4">
          <a:extLst>
            <a:ext uri="{FF2B5EF4-FFF2-40B4-BE49-F238E27FC236}">
              <a16:creationId xmlns:a16="http://schemas.microsoft.com/office/drawing/2014/main" id="{AAAE80AC-9D79-42EB-8C37-0DF19012CEB3}"/>
            </a:ext>
            <a:ext uri="{147F2762-F138-4A5C-976F-8EAC2B608ADB}">
              <a16:predDERef xmlns:a16="http://schemas.microsoft.com/office/drawing/2014/main" pred="{5A4DA354-69F4-46D4-9024-9D22D3F9F651}"/>
            </a:ext>
          </a:extLst>
        </xdr:cNvPr>
        <xdr:cNvSpPr txBox="1"/>
      </xdr:nvSpPr>
      <xdr:spPr>
        <a:xfrm>
          <a:off x="9258300" y="6838950"/>
          <a:ext cx="2000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800" b="0">
              <a:latin typeface="Vodafone Rg" panose="020B0606080202020204" pitchFamily="34" charset="0"/>
            </a:rPr>
            <a:t>m²</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0.02079</cdr:x>
      <cdr:y>0.01977</cdr:y>
    </cdr:from>
    <cdr:to>
      <cdr:x>0.35657</cdr:x>
      <cdr:y>0.0962</cdr:y>
    </cdr:to>
    <cdr:sp macro="" textlink="">
      <cdr:nvSpPr>
        <cdr:cNvPr id="3" name="TextBox 2">
          <a:extLst xmlns:a="http://schemas.openxmlformats.org/drawingml/2006/main">
            <a:ext uri="{FF2B5EF4-FFF2-40B4-BE49-F238E27FC236}">
              <a16:creationId xmlns:a16="http://schemas.microsoft.com/office/drawing/2014/main" id="{6BF372CF-BCFC-451D-9510-892BA0C60A24}"/>
            </a:ext>
          </a:extLst>
        </cdr:cNvPr>
        <cdr:cNvSpPr txBox="1"/>
      </cdr:nvSpPr>
      <cdr:spPr>
        <a:xfrm xmlns:a="http://schemas.openxmlformats.org/drawingml/2006/main">
          <a:off x="173180" y="73913"/>
          <a:ext cx="2797034" cy="28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NFV Sites Switchroom Usable Space</a:t>
          </a:r>
        </a:p>
      </cdr:txBody>
    </cdr:sp>
  </cdr:relSizeAnchor>
</c:userShapes>
</file>

<file path=xl/drawings/drawing6.xml><?xml version="1.0" encoding="utf-8"?>
<c:userShapes xmlns:c="http://schemas.openxmlformats.org/drawingml/2006/chart">
  <cdr:relSizeAnchor xmlns:cdr="http://schemas.openxmlformats.org/drawingml/2006/chartDrawing">
    <cdr:from>
      <cdr:x>0.01673</cdr:x>
      <cdr:y>0.36494</cdr:y>
    </cdr:from>
    <cdr:to>
      <cdr:x>0.05804</cdr:x>
      <cdr:y>0.50383</cdr:y>
    </cdr:to>
    <cdr:sp macro="" textlink="">
      <cdr:nvSpPr>
        <cdr:cNvPr id="2" name="TextBox 1">
          <a:extLst xmlns:a="http://schemas.openxmlformats.org/drawingml/2006/main">
            <a:ext uri="{FF2B5EF4-FFF2-40B4-BE49-F238E27FC236}">
              <a16:creationId xmlns:a16="http://schemas.microsoft.com/office/drawing/2014/main" id="{FFED7158-2D12-4BE3-85F0-AC21CF9A4187}"/>
            </a:ext>
          </a:extLst>
        </cdr:cNvPr>
        <cdr:cNvSpPr txBox="1"/>
      </cdr:nvSpPr>
      <cdr:spPr>
        <a:xfrm xmlns:a="http://schemas.openxmlformats.org/drawingml/2006/main">
          <a:off x="120017" y="1612900"/>
          <a:ext cx="296334" cy="613833"/>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800" b="0">
              <a:latin typeface="Vodafone Rg" panose="020B0606080202020204" pitchFamily="34" charset="0"/>
            </a:rPr>
            <a:t>kW</a:t>
          </a:r>
        </a:p>
      </cdr:txBody>
    </cdr:sp>
  </cdr:relSizeAnchor>
</c:userShapes>
</file>

<file path=xl/drawings/drawing7.xml><?xml version="1.0" encoding="utf-8"?>
<c:userShapes xmlns:c="http://schemas.openxmlformats.org/drawingml/2006/chart">
  <cdr:relSizeAnchor xmlns:cdr="http://schemas.openxmlformats.org/drawingml/2006/chartDrawing">
    <cdr:from>
      <cdr:x>0.00611</cdr:x>
      <cdr:y>0.37754</cdr:y>
    </cdr:from>
    <cdr:to>
      <cdr:x>0.03819</cdr:x>
      <cdr:y>0.52392</cdr:y>
    </cdr:to>
    <cdr:sp macro="" textlink="">
      <cdr:nvSpPr>
        <cdr:cNvPr id="2" name="TextBox 1">
          <a:extLst xmlns:a="http://schemas.openxmlformats.org/drawingml/2006/main">
            <a:ext uri="{FF2B5EF4-FFF2-40B4-BE49-F238E27FC236}">
              <a16:creationId xmlns:a16="http://schemas.microsoft.com/office/drawing/2014/main" id="{FDF1D6ED-229E-4355-9E43-27C5004D0D62}"/>
            </a:ext>
          </a:extLst>
        </cdr:cNvPr>
        <cdr:cNvSpPr txBox="1"/>
      </cdr:nvSpPr>
      <cdr:spPr>
        <a:xfrm xmlns:a="http://schemas.openxmlformats.org/drawingml/2006/main">
          <a:off x="50789" y="1610572"/>
          <a:ext cx="266500" cy="624417"/>
        </a:xfrm>
        <a:prstGeom xmlns:a="http://schemas.openxmlformats.org/drawingml/2006/main" prst="rect">
          <a:avLst/>
        </a:prstGeom>
      </cdr:spPr>
      <cdr:txBody>
        <a:bodyPr xmlns:a="http://schemas.openxmlformats.org/drawingml/2006/main" vert="vert270"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b="0">
              <a:latin typeface="Vodafone Rg" panose="020B0606080202020204" pitchFamily="34" charset="0"/>
            </a:rPr>
            <a:t>kW</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428625</xdr:colOff>
      <xdr:row>0</xdr:row>
      <xdr:rowOff>47625</xdr:rowOff>
    </xdr:from>
    <xdr:to>
      <xdr:col>24</xdr:col>
      <xdr:colOff>180975</xdr:colOff>
      <xdr:row>41</xdr:row>
      <xdr:rowOff>28575</xdr:rowOff>
    </xdr:to>
    <xdr:graphicFrame macro="">
      <xdr:nvGraphicFramePr>
        <xdr:cNvPr id="5" name="Chart 6">
          <a:extLst>
            <a:ext uri="{FF2B5EF4-FFF2-40B4-BE49-F238E27FC236}">
              <a16:creationId xmlns:a16="http://schemas.microsoft.com/office/drawing/2014/main" id="{00000000-0008-0000-0B00-000007000000}"/>
            </a:ext>
            <a:ext uri="{147F2762-F138-4A5C-976F-8EAC2B608ADB}">
              <a16:predDERef xmlns:a16="http://schemas.microsoft.com/office/drawing/2014/main" pred="{0A8E4A8B-0F1B-4209-8F47-80E137BA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144991</xdr:colOff>
      <xdr:row>44</xdr:row>
      <xdr:rowOff>102024</xdr:rowOff>
    </xdr:from>
    <xdr:to>
      <xdr:col>24</xdr:col>
      <xdr:colOff>313690</xdr:colOff>
      <xdr:row>75</xdr:row>
      <xdr:rowOff>56725</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154</xdr:row>
      <xdr:rowOff>0</xdr:rowOff>
    </xdr:from>
    <xdr:to>
      <xdr:col>25</xdr:col>
      <xdr:colOff>93135</xdr:colOff>
      <xdr:row>180</xdr:row>
      <xdr:rowOff>19685</xdr:rowOff>
    </xdr:to>
    <xdr:graphicFrame macro="">
      <xdr:nvGraphicFramePr>
        <xdr:cNvPr id="12" name="Chart 11">
          <a:extLst>
            <a:ext uri="{FF2B5EF4-FFF2-40B4-BE49-F238E27FC236}">
              <a16:creationId xmlns:a16="http://schemas.microsoft.com/office/drawing/2014/main" id="{8232B1BB-C738-4C16-9E4B-3F71F9C7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0.09644</cdr:x>
      <cdr:y>0.88174</cdr:y>
    </cdr:from>
    <cdr:to>
      <cdr:x>0.97509</cdr:x>
      <cdr:y>0.93442</cdr:y>
    </cdr:to>
    <cdr:sp macro="" textlink="">
      <cdr:nvSpPr>
        <cdr:cNvPr id="2" name="TextBox 1"/>
        <cdr:cNvSpPr txBox="1"/>
      </cdr:nvSpPr>
      <cdr:spPr>
        <a:xfrm xmlns:a="http://schemas.openxmlformats.org/drawingml/2006/main">
          <a:off x="893891" y="5068445"/>
          <a:ext cx="8144065" cy="3028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400">
              <a:latin typeface="Vodafone Rg" panose="020B0606080202020204" pitchFamily="34" charset="0"/>
            </a:rPr>
            <a:t>       </a:t>
          </a:r>
          <a:r>
            <a:rPr lang="en-GB" sz="800">
              <a:latin typeface="Vodafone Rg" panose="020B0606080202020204" pitchFamily="34" charset="0"/>
            </a:rPr>
            <a:t>XBE                                                      XMS                                              XLD                                                        XEH                                               XGL                                                   XGR                                                    XOM</a:t>
          </a:r>
          <a:endParaRPr lang="en-GB" sz="800">
            <a:effectLst/>
            <a:latin typeface="Vodafone Rg" panose="020B0606080202020204" pitchFamily="34" charset="0"/>
          </a:endParaRPr>
        </a:p>
        <a:p xmlns:a="http://schemas.openxmlformats.org/drawingml/2006/main">
          <a:r>
            <a:rPr lang="en-GB" sz="800">
              <a:latin typeface="Vodafone Rg" panose="020B0606080202020204" pitchFamily="34" charset="0"/>
            </a:rPr>
            <a:t> </a:t>
          </a:r>
        </a:p>
        <a:p xmlns:a="http://schemas.openxmlformats.org/drawingml/2006/main">
          <a:r>
            <a:rPr lang="en-GB" sz="800">
              <a:latin typeface="Vodafone Rg" panose="020B0606080202020204" pitchFamily="34" charset="0"/>
            </a:rPr>
            <a:t>                </a:t>
          </a:r>
        </a:p>
      </cdr:txBody>
    </cdr:sp>
  </cdr:relSizeAnchor>
  <cdr:relSizeAnchor xmlns:cdr="http://schemas.openxmlformats.org/drawingml/2006/chartDrawing">
    <cdr:from>
      <cdr:x>0.01804</cdr:x>
      <cdr:y>0.02087</cdr:y>
    </cdr:from>
    <cdr:to>
      <cdr:x>0.35259</cdr:x>
      <cdr:y>0.06504</cdr:y>
    </cdr:to>
    <cdr:sp macro="" textlink="">
      <cdr:nvSpPr>
        <cdr:cNvPr id="3" name="TextBox 2">
          <a:extLst xmlns:a="http://schemas.openxmlformats.org/drawingml/2006/main">
            <a:ext uri="{FF2B5EF4-FFF2-40B4-BE49-F238E27FC236}">
              <a16:creationId xmlns:a16="http://schemas.microsoft.com/office/drawing/2014/main" id="{281654A8-7026-43E6-93DA-9DA143D0C196}"/>
            </a:ext>
          </a:extLst>
        </cdr:cNvPr>
        <cdr:cNvSpPr txBox="1"/>
      </cdr:nvSpPr>
      <cdr:spPr>
        <a:xfrm xmlns:a="http://schemas.openxmlformats.org/drawingml/2006/main">
          <a:off x="167218" y="120017"/>
          <a:ext cx="3100916"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12 Month Technology Load</a:t>
          </a:r>
        </a:p>
      </cdr:txBody>
    </cdr:sp>
  </cdr:relSizeAnchor>
</c:userShapes>
</file>

<file path=xl/drawings/drawing10.xml><?xml version="1.0" encoding="utf-8"?>
<c:userShapes xmlns:c="http://schemas.openxmlformats.org/drawingml/2006/chart">
  <cdr:relSizeAnchor xmlns:cdr="http://schemas.openxmlformats.org/drawingml/2006/chartDrawing">
    <cdr:from>
      <cdr:x>0.00447</cdr:x>
      <cdr:y>0.46186</cdr:y>
    </cdr:from>
    <cdr:to>
      <cdr:x>0.03738</cdr:x>
      <cdr:y>0.54786</cdr:y>
    </cdr:to>
    <cdr:sp macro="" textlink="">
      <cdr:nvSpPr>
        <cdr:cNvPr id="2" name="TextBox 7">
          <a:extLst xmlns:a="http://schemas.openxmlformats.org/drawingml/2006/main">
            <a:ext uri="{FF2B5EF4-FFF2-40B4-BE49-F238E27FC236}">
              <a16:creationId xmlns:a16="http://schemas.microsoft.com/office/drawing/2014/main" id="{00000000-0008-0000-0B00-000008000000}"/>
            </a:ext>
          </a:extLst>
        </cdr:cNvPr>
        <cdr:cNvSpPr txBox="1"/>
      </cdr:nvSpPr>
      <cdr:spPr>
        <a:xfrm xmlns:a="http://schemas.openxmlformats.org/drawingml/2006/main">
          <a:off x="31750" y="1659466"/>
          <a:ext cx="234004" cy="309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400">
              <a:latin typeface="Vodafone Rg" panose="020B0606080202020204" pitchFamily="34" charset="0"/>
            </a:rPr>
            <a:t>kW</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507585</xdr:colOff>
      <xdr:row>1</xdr:row>
      <xdr:rowOff>0</xdr:rowOff>
    </xdr:from>
    <xdr:to>
      <xdr:col>9</xdr:col>
      <xdr:colOff>121067</xdr:colOff>
      <xdr:row>14</xdr:row>
      <xdr:rowOff>81661</xdr:rowOff>
    </xdr:to>
    <xdr:graphicFrame macro="">
      <xdr:nvGraphicFramePr>
        <xdr:cNvPr id="2" name="Chart 1">
          <a:extLst>
            <a:ext uri="{FF2B5EF4-FFF2-40B4-BE49-F238E27FC236}">
              <a16:creationId xmlns:a16="http://schemas.microsoft.com/office/drawing/2014/main" id="{17FBC60D-4F62-4ADF-932F-67A305FA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14061</xdr:colOff>
      <xdr:row>32</xdr:row>
      <xdr:rowOff>12699</xdr:rowOff>
    </xdr:from>
    <xdr:to>
      <xdr:col>9</xdr:col>
      <xdr:colOff>160489</xdr:colOff>
      <xdr:row>45</xdr:row>
      <xdr:rowOff>94360</xdr:rowOff>
    </xdr:to>
    <xdr:graphicFrame macro="">
      <xdr:nvGraphicFramePr>
        <xdr:cNvPr id="4" name="Chart 3">
          <a:extLst>
            <a:ext uri="{FF2B5EF4-FFF2-40B4-BE49-F238E27FC236}">
              <a16:creationId xmlns:a16="http://schemas.microsoft.com/office/drawing/2014/main" id="{B92E1A09-E1FD-4728-A55B-CEB7F9036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11339</xdr:colOff>
      <xdr:row>47</xdr:row>
      <xdr:rowOff>22679</xdr:rowOff>
    </xdr:from>
    <xdr:to>
      <xdr:col>9</xdr:col>
      <xdr:colOff>157767</xdr:colOff>
      <xdr:row>60</xdr:row>
      <xdr:rowOff>104340</xdr:rowOff>
    </xdr:to>
    <xdr:graphicFrame macro="">
      <xdr:nvGraphicFramePr>
        <xdr:cNvPr id="5" name="Chart 4">
          <a:extLst>
            <a:ext uri="{FF2B5EF4-FFF2-40B4-BE49-F238E27FC236}">
              <a16:creationId xmlns:a16="http://schemas.microsoft.com/office/drawing/2014/main" id="{5619C528-C783-4F31-BE5E-3D6F693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90715</xdr:colOff>
      <xdr:row>15</xdr:row>
      <xdr:rowOff>56697</xdr:rowOff>
    </xdr:from>
    <xdr:to>
      <xdr:col>11</xdr:col>
      <xdr:colOff>239048</xdr:colOff>
      <xdr:row>31</xdr:row>
      <xdr:rowOff>55354</xdr:rowOff>
    </xdr:to>
    <xdr:graphicFrame macro="">
      <xdr:nvGraphicFramePr>
        <xdr:cNvPr id="7" name="Chart 6">
          <a:extLst>
            <a:ext uri="{FF2B5EF4-FFF2-40B4-BE49-F238E27FC236}">
              <a16:creationId xmlns:a16="http://schemas.microsoft.com/office/drawing/2014/main" id="{40D857B2-C024-4D90-A7A0-D923E89BA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0.06798</cdr:x>
      <cdr:y>0.80908</cdr:y>
    </cdr:from>
    <cdr:to>
      <cdr:x>0.94254</cdr:x>
      <cdr:y>0.88306</cdr:y>
    </cdr:to>
    <cdr:sp macro="" textlink="">
      <cdr:nvSpPr>
        <cdr:cNvPr id="2" name="TextBox 1"/>
        <cdr:cNvSpPr txBox="1"/>
      </cdr:nvSpPr>
      <cdr:spPr>
        <a:xfrm xmlns:a="http://schemas.openxmlformats.org/drawingml/2006/main">
          <a:off x="317677" y="2275257"/>
          <a:ext cx="4086645" cy="2080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600">
              <a:latin typeface="Vodafone Rg" panose="020B0606080202020204" pitchFamily="34" charset="0"/>
            </a:rPr>
            <a:t>       XBE   </a:t>
          </a:r>
          <a:r>
            <a:rPr lang="en-GB" sz="600" baseline="0">
              <a:latin typeface="Vodafone Rg" panose="020B0606080202020204" pitchFamily="34" charset="0"/>
            </a:rPr>
            <a:t>                         </a:t>
          </a:r>
          <a:r>
            <a:rPr lang="en-GB" sz="600">
              <a:latin typeface="Vodafone Rg" panose="020B0606080202020204" pitchFamily="34" charset="0"/>
            </a:rPr>
            <a:t>XMS                            XLD                             XEH                            XGL                           XGR                            XOM</a:t>
          </a:r>
          <a:endParaRPr lang="en-GB" sz="600">
            <a:effectLst/>
            <a:latin typeface="Vodafone Rg" panose="020B0606080202020204" pitchFamily="34" charset="0"/>
          </a:endParaRPr>
        </a:p>
        <a:p xmlns:a="http://schemas.openxmlformats.org/drawingml/2006/main">
          <a:r>
            <a:rPr lang="en-GB" sz="600">
              <a:latin typeface="Vodafone Rg" panose="020B0606080202020204" pitchFamily="34" charset="0"/>
            </a:rPr>
            <a:t> </a:t>
          </a:r>
        </a:p>
        <a:p xmlns:a="http://schemas.openxmlformats.org/drawingml/2006/main">
          <a:r>
            <a:rPr lang="en-GB" sz="600">
              <a:latin typeface="Vodafone Rg" panose="020B0606080202020204" pitchFamily="34" charset="0"/>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428625</xdr:colOff>
      <xdr:row>17</xdr:row>
      <xdr:rowOff>76200</xdr:rowOff>
    </xdr:from>
    <xdr:to>
      <xdr:col>18</xdr:col>
      <xdr:colOff>57150</xdr:colOff>
      <xdr:row>38</xdr:row>
      <xdr:rowOff>114300</xdr:rowOff>
    </xdr:to>
    <xdr:graphicFrame macro="">
      <xdr:nvGraphicFramePr>
        <xdr:cNvPr id="2" name="Chart 2">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514350</xdr:colOff>
      <xdr:row>17</xdr:row>
      <xdr:rowOff>0</xdr:rowOff>
    </xdr:from>
    <xdr:to>
      <xdr:col>24</xdr:col>
      <xdr:colOff>257175</xdr:colOff>
      <xdr:row>36</xdr:row>
      <xdr:rowOff>28575</xdr:rowOff>
    </xdr:to>
    <xdr:graphicFrame macro="">
      <xdr:nvGraphicFramePr>
        <xdr:cNvPr id="3" name="Chart 3">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50</xdr:row>
      <xdr:rowOff>9525</xdr:rowOff>
    </xdr:from>
    <xdr:to>
      <xdr:col>18</xdr:col>
      <xdr:colOff>133350</xdr:colOff>
      <xdr:row>80</xdr:row>
      <xdr:rowOff>28575</xdr:rowOff>
    </xdr:to>
    <xdr:graphicFrame macro="">
      <xdr:nvGraphicFramePr>
        <xdr:cNvPr id="4" name="Chart 1">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5</xdr:col>
      <xdr:colOff>123825</xdr:colOff>
      <xdr:row>1</xdr:row>
      <xdr:rowOff>76200</xdr:rowOff>
    </xdr:from>
    <xdr:to>
      <xdr:col>19</xdr:col>
      <xdr:colOff>352425</xdr:colOff>
      <xdr:row>6</xdr:row>
      <xdr:rowOff>47625</xdr:rowOff>
    </xdr:to>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2790825" y="219075"/>
          <a:ext cx="76962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Type A Sites - Dual Running Analysis (DC)</a:t>
          </a:r>
        </a:p>
        <a:p>
          <a:pPr algn="ctr"/>
          <a:endParaRPr lang="en-GB" sz="1100"/>
        </a:p>
      </xdr:txBody>
    </xdr:sp>
    <xdr:clientData/>
  </xdr:twoCellAnchor>
  <xdr:twoCellAnchor>
    <xdr:from>
      <xdr:col>0</xdr:col>
      <xdr:colOff>504825</xdr:colOff>
      <xdr:row>7</xdr:row>
      <xdr:rowOff>66675</xdr:rowOff>
    </xdr:from>
    <xdr:to>
      <xdr:col>24</xdr:col>
      <xdr:colOff>533400</xdr:colOff>
      <xdr:row>42</xdr:row>
      <xdr:rowOff>104775</xdr:rowOff>
    </xdr:to>
    <xdr:graphicFrame macro="">
      <xdr:nvGraphicFramePr>
        <xdr:cNvPr id="44956859" name="Chart 2">
          <a:extLst>
            <a:ext uri="{FF2B5EF4-FFF2-40B4-BE49-F238E27FC236}">
              <a16:creationId xmlns:a16="http://schemas.microsoft.com/office/drawing/2014/main" id="{00000000-0008-0000-0F00-0000BB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43</xdr:row>
      <xdr:rowOff>0</xdr:rowOff>
    </xdr:from>
    <xdr:to>
      <xdr:col>11</xdr:col>
      <xdr:colOff>304800</xdr:colOff>
      <xdr:row>70</xdr:row>
      <xdr:rowOff>76200</xdr:rowOff>
    </xdr:to>
    <xdr:graphicFrame macro="">
      <xdr:nvGraphicFramePr>
        <xdr:cNvPr id="44956860" name="Chart 3">
          <a:extLst>
            <a:ext uri="{FF2B5EF4-FFF2-40B4-BE49-F238E27FC236}">
              <a16:creationId xmlns:a16="http://schemas.microsoft.com/office/drawing/2014/main" id="{00000000-0008-0000-0F00-0000BC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374650</xdr:colOff>
      <xdr:row>45</xdr:row>
      <xdr:rowOff>98424</xdr:rowOff>
    </xdr:from>
    <xdr:to>
      <xdr:col>24</xdr:col>
      <xdr:colOff>254000</xdr:colOff>
      <xdr:row>62</xdr:row>
      <xdr:rowOff>139699</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6242050" y="6384924"/>
          <a:ext cx="6813550" cy="2416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Arial" pitchFamily="34" charset="0"/>
            <a:buChar char="•"/>
          </a:pPr>
          <a:r>
            <a:rPr lang="en-GB" sz="2000">
              <a:latin typeface="Vodafone Lt" pitchFamily="34" charset="0"/>
            </a:rPr>
            <a:t>The top</a:t>
          </a:r>
          <a:r>
            <a:rPr lang="en-GB" sz="2000" baseline="0">
              <a:latin typeface="Vodafone Lt" pitchFamily="34" charset="0"/>
            </a:rPr>
            <a:t> graph shows the % of a site's DC load attributed to dual running</a:t>
          </a:r>
        </a:p>
        <a:p>
          <a:pPr marL="342900" indent="-342900">
            <a:buFont typeface="Arial" pitchFamily="34" charset="0"/>
            <a:buChar char="•"/>
          </a:pPr>
          <a:r>
            <a:rPr lang="en-GB" sz="2000" baseline="0">
              <a:latin typeface="Vodafone Lt" pitchFamily="34" charset="0"/>
            </a:rPr>
            <a:t>The lower graph shows which network elements are dual running and the % they use across all Type A sites</a:t>
          </a:r>
          <a:endParaRPr lang="en-GB" sz="2000">
            <a:latin typeface="Vodafone Lt" pitchFamily="34" charset="0"/>
          </a:endParaRPr>
        </a:p>
        <a:p>
          <a:pPr marL="342900" marR="0" indent="-342900" defTabSz="914400" eaLnBrk="1" fontAlgn="auto" latinLnBrk="0" hangingPunct="1">
            <a:lnSpc>
              <a:spcPct val="100000"/>
            </a:lnSpc>
            <a:spcBef>
              <a:spcPts val="0"/>
            </a:spcBef>
            <a:spcAft>
              <a:spcPts val="0"/>
            </a:spcAft>
            <a:buClrTx/>
            <a:buSzTx/>
            <a:buFont typeface="Arial" pitchFamily="34" charset="0"/>
            <a:buChar char="•"/>
            <a:tabLst/>
            <a:defRPr/>
          </a:pPr>
          <a:r>
            <a:rPr lang="en-GB" sz="2000">
              <a:solidFill>
                <a:schemeClr val="dk1"/>
              </a:solidFill>
              <a:effectLst/>
              <a:latin typeface="Vodafone Lt" pitchFamily="34" charset="0"/>
              <a:ea typeface="+mn-ea"/>
              <a:cs typeface="+mn-cs"/>
            </a:rPr>
            <a:t>Reducing the number</a:t>
          </a:r>
          <a:r>
            <a:rPr lang="en-GB" sz="2000" baseline="0">
              <a:solidFill>
                <a:schemeClr val="dk1"/>
              </a:solidFill>
              <a:effectLst/>
              <a:latin typeface="Vodafone Lt" pitchFamily="34" charset="0"/>
              <a:ea typeface="+mn-ea"/>
              <a:cs typeface="+mn-cs"/>
            </a:rPr>
            <a:t> of dual running elements could increase our DC capacity by 23%</a:t>
          </a:r>
          <a:endParaRPr lang="en-GB" sz="2000">
            <a:latin typeface="Vodafone Lt" pitchFamily="34" charset="0"/>
          </a:endParaRPr>
        </a:p>
        <a:p>
          <a:r>
            <a:rPr lang="en-GB" sz="2000">
              <a:latin typeface="Vodafone Lt" pitchFamily="34" charset="0"/>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107950</xdr:colOff>
      <xdr:row>10</xdr:row>
      <xdr:rowOff>146050</xdr:rowOff>
    </xdr:from>
    <xdr:to>
      <xdr:col>23</xdr:col>
      <xdr:colOff>374650</xdr:colOff>
      <xdr:row>58</xdr:row>
      <xdr:rowOff>120650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07950" y="1670050"/>
          <a:ext cx="12534900" cy="728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2400">
            <a:latin typeface="Vodafone Lt" pitchFamily="34" charset="0"/>
          </a:endParaRPr>
        </a:p>
        <a:p>
          <a:r>
            <a:rPr lang="en-GB" sz="3600" b="1">
              <a:solidFill>
                <a:srgbClr val="FF0000"/>
              </a:solidFill>
              <a:effectLst/>
              <a:latin typeface="Vodafone Lt" pitchFamily="34" charset="0"/>
              <a:ea typeface="+mn-ea"/>
              <a:cs typeface="+mn-cs"/>
            </a:rPr>
            <a:t>MTX Space and Power Utilisation</a:t>
          </a:r>
          <a:br>
            <a:rPr lang="en-GB" sz="3600" b="1">
              <a:solidFill>
                <a:srgbClr val="FF0000"/>
              </a:solidFill>
              <a:effectLst/>
              <a:latin typeface="Vodafone Lt" pitchFamily="34" charset="0"/>
              <a:ea typeface="+mn-ea"/>
              <a:cs typeface="+mn-cs"/>
            </a:rPr>
          </a:br>
          <a:br>
            <a:rPr lang="en-GB" sz="3600" b="1">
              <a:solidFill>
                <a:srgbClr val="FF0000"/>
              </a:solidFill>
              <a:effectLst/>
              <a:latin typeface="Vodafone Lt" pitchFamily="34" charset="0"/>
              <a:ea typeface="+mn-ea"/>
              <a:cs typeface="+mn-cs"/>
            </a:rPr>
          </a:br>
          <a:r>
            <a:rPr lang="en-GB" sz="3600" b="1">
              <a:solidFill>
                <a:srgbClr val="FF0000"/>
              </a:solidFill>
              <a:effectLst/>
              <a:latin typeface="Vodafone Lt" pitchFamily="34" charset="0"/>
              <a:ea typeface="+mn-ea"/>
              <a:cs typeface="+mn-cs"/>
            </a:rPr>
            <a:t>July 2017</a:t>
          </a:r>
        </a:p>
        <a:p>
          <a:br>
            <a:rPr lang="en-GB" sz="3600" b="1">
              <a:solidFill>
                <a:schemeClr val="dk1"/>
              </a:solidFill>
              <a:effectLst/>
              <a:latin typeface="Vodafone Lt" pitchFamily="34" charset="0"/>
              <a:ea typeface="+mn-ea"/>
              <a:cs typeface="+mn-cs"/>
            </a:rPr>
          </a:br>
          <a:br>
            <a:rPr lang="en-GB" sz="3600" b="1">
              <a:solidFill>
                <a:schemeClr val="dk1"/>
              </a:solidFill>
              <a:effectLst/>
              <a:latin typeface="Vodafone Lt" pitchFamily="34" charset="0"/>
              <a:ea typeface="+mn-ea"/>
              <a:cs typeface="+mn-cs"/>
            </a:rPr>
          </a:br>
          <a:r>
            <a:rPr lang="en-GB" sz="3600" b="1">
              <a:solidFill>
                <a:schemeClr val="bg1">
                  <a:lumMod val="85000"/>
                </a:schemeClr>
              </a:solidFill>
              <a:effectLst/>
              <a:latin typeface="Vodafone Lt" pitchFamily="34" charset="0"/>
              <a:ea typeface="+mn-ea"/>
              <a:cs typeface="+mn-cs"/>
            </a:rPr>
            <a:t>Leigh Peake, MTX  Infrastructure Team</a:t>
          </a:r>
          <a:endParaRPr lang="en-GB" sz="3600">
            <a:solidFill>
              <a:schemeClr val="bg1">
                <a:lumMod val="85000"/>
              </a:schemeClr>
            </a:solidFill>
            <a:latin typeface="Vodafone Lt"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114299</xdr:colOff>
      <xdr:row>1</xdr:row>
      <xdr:rowOff>133350</xdr:rowOff>
    </xdr:from>
    <xdr:to>
      <xdr:col>21</xdr:col>
      <xdr:colOff>123824</xdr:colOff>
      <xdr:row>54</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647699" y="276225"/>
          <a:ext cx="10677525" cy="7562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u="sng">
              <a:latin typeface="Vodafone Lt" pitchFamily="34" charset="0"/>
            </a:rPr>
            <a:t>MTX Site Information</a:t>
          </a:r>
        </a:p>
        <a:p>
          <a:pPr algn="ctr"/>
          <a:endParaRPr lang="en-GB" sz="3200" u="sng">
            <a:latin typeface="Vodafone Lt" pitchFamily="34" charset="0"/>
          </a:endParaRPr>
        </a:p>
        <a:p>
          <a:pPr algn="l"/>
          <a:r>
            <a:rPr lang="en-GB" sz="2000" u="none">
              <a:latin typeface="Vodafone Lt" pitchFamily="34" charset="0"/>
            </a:rPr>
            <a:t>The</a:t>
          </a:r>
          <a:r>
            <a:rPr lang="en-GB" sz="2000" u="none" baseline="0">
              <a:latin typeface="Vodafone Lt" pitchFamily="34" charset="0"/>
            </a:rPr>
            <a:t> MTX sites are split into the following categories-</a:t>
          </a:r>
        </a:p>
        <a:p>
          <a:pPr algn="l"/>
          <a:endParaRPr lang="en-GB" sz="2000" u="none" baseline="0">
            <a:latin typeface="Vodafone Lt" pitchFamily="34" charset="0"/>
          </a:endParaRPr>
        </a:p>
        <a:p>
          <a:pPr algn="l"/>
          <a:r>
            <a:rPr lang="en-GB" sz="2000" u="sng" baseline="0">
              <a:latin typeface="Vodafone Lt" pitchFamily="34" charset="0"/>
            </a:rPr>
            <a:t>Core MTX Sites</a:t>
          </a:r>
          <a:r>
            <a:rPr lang="en-GB" sz="2000" u="none" baseline="0">
              <a:latin typeface="Vodafone Lt" pitchFamily="34" charset="0"/>
            </a:rPr>
            <a:t>  contain Core Network elements (switching, messaging and IN) RAN Capability and Transmission equipment</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x9 strategic sites for new Core deployment</a:t>
          </a:r>
        </a:p>
        <a:p>
          <a:pPr algn="l"/>
          <a:endParaRPr lang="en-GB" sz="2000" u="none" baseline="0">
            <a:latin typeface="Vodafone Lt" pitchFamily="34" charset="0"/>
          </a:endParaRPr>
        </a:p>
        <a:p>
          <a:pPr algn="l"/>
          <a:r>
            <a:rPr lang="en-GB" sz="2000" u="none" baseline="0">
              <a:latin typeface="Vodafone Lt" pitchFamily="34" charset="0"/>
            </a:rPr>
            <a:t>x5 non-strategic sites closed to new Core deployment</a:t>
          </a:r>
        </a:p>
        <a:p>
          <a:pPr algn="l"/>
          <a:endParaRPr lang="en-GB" sz="2000" u="none" baseline="0">
            <a:latin typeface="Vodafone Lt" pitchFamily="34" charset="0"/>
          </a:endParaRPr>
        </a:p>
        <a:p>
          <a:pPr algn="l"/>
          <a:r>
            <a:rPr lang="en-GB" sz="2000" u="sng" baseline="0">
              <a:latin typeface="Vodafone Lt" pitchFamily="34" charset="0"/>
            </a:rPr>
            <a:t>Network Aggregation Sites</a:t>
          </a:r>
          <a:r>
            <a:rPr lang="en-GB" sz="2000" u="none" baseline="0">
              <a:latin typeface="Vodafone Lt" pitchFamily="34" charset="0"/>
            </a:rPr>
            <a:t> </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x12 sites that generally only contain RAN Capability and Transmission equipment</a:t>
          </a:r>
        </a:p>
        <a:p>
          <a:pPr algn="l"/>
          <a:endParaRPr lang="en-GB" sz="2000" u="none" baseline="0">
            <a:latin typeface="Vodafone Lt" pitchFamily="34" charset="0"/>
          </a:endParaRPr>
        </a:p>
        <a:p>
          <a:pPr algn="l"/>
          <a:r>
            <a:rPr lang="en-GB" sz="2000" u="none" baseline="0">
              <a:latin typeface="Vodafone Lt" pitchFamily="34" charset="0"/>
            </a:rPr>
            <a:t>x2 sites that only contain Transmission equipment</a:t>
          </a:r>
        </a:p>
        <a:p>
          <a:pPr algn="l"/>
          <a:endParaRPr lang="en-GB" sz="2000" u="none" baseline="0">
            <a:latin typeface="Vodafone Lt" pitchFamily="34" charset="0"/>
          </a:endParaRPr>
        </a:p>
        <a:p>
          <a:pPr algn="l"/>
          <a:r>
            <a:rPr lang="en-GB" sz="2000" u="none" baseline="0">
              <a:latin typeface="Vodafone Lt" pitchFamily="34" charset="0"/>
            </a:rPr>
            <a:t>Canal House Computer Room at XNY has been included in the report as it is under Networks control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76201</xdr:colOff>
      <xdr:row>0</xdr:row>
      <xdr:rowOff>9525</xdr:rowOff>
    </xdr:from>
    <xdr:to>
      <xdr:col>22</xdr:col>
      <xdr:colOff>203201</xdr:colOff>
      <xdr:row>3</xdr:row>
      <xdr:rowOff>114300</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2743201" y="9525"/>
          <a:ext cx="9194800"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Power Breakdown</a:t>
          </a:r>
        </a:p>
        <a:p>
          <a:pPr>
            <a:lnSpc>
              <a:spcPts val="1100"/>
            </a:lnSpc>
          </a:pPr>
          <a:endParaRPr lang="en-GB" sz="1100"/>
        </a:p>
      </xdr:txBody>
    </xdr:sp>
    <xdr:clientData/>
  </xdr:twoCellAnchor>
  <xdr:twoCellAnchor>
    <xdr:from>
      <xdr:col>0</xdr:col>
      <xdr:colOff>312964</xdr:colOff>
      <xdr:row>61</xdr:row>
      <xdr:rowOff>108857</xdr:rowOff>
    </xdr:from>
    <xdr:to>
      <xdr:col>25</xdr:col>
      <xdr:colOff>517072</xdr:colOff>
      <xdr:row>73</xdr:row>
      <xdr:rowOff>108857</xdr:rowOff>
    </xdr:to>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12964" y="9239250"/>
          <a:ext cx="13471072" cy="1796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500"/>
            </a:lnSpc>
            <a:spcBef>
              <a:spcPts val="60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60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342900" marR="0" lvl="0" indent="-342900" defTabSz="914400" eaLnBrk="1" fontAlgn="auto" latinLnBrk="0" hangingPunct="1">
            <a:lnSpc>
              <a:spcPts val="1500"/>
            </a:lnSpc>
            <a:spcBef>
              <a:spcPts val="60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remaining power capability at XMS is reserved for Virtulisation and is not currently deployed</a:t>
          </a:r>
        </a:p>
        <a:p>
          <a:pPr marL="342900" marR="0" lvl="0" indent="-342900" defTabSz="914400" eaLnBrk="1" fontAlgn="auto" latinLnBrk="0" hangingPunct="1">
            <a:lnSpc>
              <a:spcPts val="2000"/>
            </a:lnSpc>
            <a:spcBef>
              <a:spcPts val="600"/>
            </a:spcBef>
            <a:spcAft>
              <a:spcPts val="600"/>
            </a:spcAft>
            <a:buClrTx/>
            <a:buSzTx/>
            <a:buFont typeface="Arial" panose="020B0604020202020204"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9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xdr:txBody>
    </xdr:sp>
    <xdr:clientData/>
  </xdr:twoCellAnchor>
  <xdr:twoCellAnchor>
    <xdr:from>
      <xdr:col>6</xdr:col>
      <xdr:colOff>139699</xdr:colOff>
      <xdr:row>6</xdr:row>
      <xdr:rowOff>50801</xdr:rowOff>
    </xdr:from>
    <xdr:to>
      <xdr:col>16</xdr:col>
      <xdr:colOff>342152</xdr:colOff>
      <xdr:row>9</xdr:row>
      <xdr:rowOff>21189</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3340099" y="889001"/>
          <a:ext cx="5536453" cy="389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itchFamily="34" charset="0"/>
            </a:rPr>
            <a:t>STRATEGIC SITES FOR NEW CORE DEPLOYMENT</a:t>
          </a:r>
          <a:br>
            <a:rPr lang="en-GB" sz="1100"/>
          </a:br>
          <a:br>
            <a:rPr lang="en-GB" sz="1100"/>
          </a:br>
          <a:endParaRPr lang="en-GB" sz="1100"/>
        </a:p>
      </xdr:txBody>
    </xdr:sp>
    <xdr:clientData/>
  </xdr:twoCellAnchor>
  <xdr:twoCellAnchor>
    <xdr:from>
      <xdr:col>22</xdr:col>
      <xdr:colOff>355600</xdr:colOff>
      <xdr:row>37</xdr:row>
      <xdr:rowOff>101600</xdr:rowOff>
    </xdr:from>
    <xdr:to>
      <xdr:col>24</xdr:col>
      <xdr:colOff>469900</xdr:colOff>
      <xdr:row>39</xdr:row>
      <xdr:rowOff>114300</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090400" y="5270500"/>
          <a:ext cx="1181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Vodafone Lt" pitchFamily="34" charset="0"/>
            </a:rPr>
            <a:t>* - CHE SITEC</a:t>
          </a:r>
        </a:p>
      </xdr:txBody>
    </xdr:sp>
    <xdr:clientData/>
  </xdr:twoCellAnchor>
  <xdr:twoCellAnchor>
    <xdr:from>
      <xdr:col>0</xdr:col>
      <xdr:colOff>257175</xdr:colOff>
      <xdr:row>4</xdr:row>
      <xdr:rowOff>85725</xdr:rowOff>
    </xdr:from>
    <xdr:to>
      <xdr:col>25</xdr:col>
      <xdr:colOff>390525</xdr:colOff>
      <xdr:row>61</xdr:row>
      <xdr:rowOff>66675</xdr:rowOff>
    </xdr:to>
    <xdr:graphicFrame macro="">
      <xdr:nvGraphicFramePr>
        <xdr:cNvPr id="10926307" name="Chart 9">
          <a:extLst>
            <a:ext uri="{FF2B5EF4-FFF2-40B4-BE49-F238E27FC236}">
              <a16:creationId xmlns:a16="http://schemas.microsoft.com/office/drawing/2014/main" id="{00000000-0008-0000-1500-0000E3B8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355601</xdr:colOff>
      <xdr:row>24</xdr:row>
      <xdr:rowOff>38100</xdr:rowOff>
    </xdr:from>
    <xdr:ext cx="478593" cy="1308100"/>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55601" y="3630386"/>
          <a:ext cx="478593" cy="130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spAutoFit/>
        </a:bodyPr>
        <a:lstStyle/>
        <a:p>
          <a:r>
            <a:rPr lang="en-GB" sz="2000">
              <a:latin typeface="Vodafone Lt" pitchFamily="34" charset="0"/>
            </a:rPr>
            <a:t>Power (kW)</a:t>
          </a:r>
        </a:p>
      </xdr:txBody>
    </xdr:sp>
    <xdr:clientData/>
  </xdr:oneCellAnchor>
</xdr:wsDr>
</file>

<file path=xl/drawings/drawing18.xml><?xml version="1.0" encoding="utf-8"?>
<c:userShapes xmlns:c="http://schemas.openxmlformats.org/drawingml/2006/chart">
  <cdr:relSizeAnchor xmlns:cdr="http://schemas.openxmlformats.org/drawingml/2006/chartDrawing">
    <cdr:from>
      <cdr:x>0.78147</cdr:x>
      <cdr:y>0.03386</cdr:y>
    </cdr:from>
    <cdr:to>
      <cdr:x>0.7827</cdr:x>
      <cdr:y>0.03299</cdr:y>
    </cdr:to>
    <cdr:sp macro="" textlink="">
      <cdr:nvSpPr>
        <cdr:cNvPr id="2" name="TextBox 1"/>
        <cdr:cNvSpPr txBox="1"/>
      </cdr:nvSpPr>
      <cdr:spPr>
        <a:xfrm xmlns:a="http://schemas.openxmlformats.org/drawingml/2006/main">
          <a:off x="3670300" y="304800"/>
          <a:ext cx="505460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0.78116</cdr:x>
      <cdr:y>0.03434</cdr:y>
    </cdr:from>
    <cdr:to>
      <cdr:x>0.78268</cdr:x>
      <cdr:y>0.03325</cdr:y>
    </cdr:to>
    <cdr:sp macro="" textlink="">
      <cdr:nvSpPr>
        <cdr:cNvPr id="3" name="TextBox 2"/>
        <cdr:cNvSpPr txBox="1"/>
      </cdr:nvSpPr>
      <cdr:spPr>
        <a:xfrm xmlns:a="http://schemas.openxmlformats.org/drawingml/2006/main">
          <a:off x="3352611" y="321783"/>
          <a:ext cx="5410390" cy="45291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itchFamily="34" charset="0"/>
            </a:rPr>
            <a:t>STRATEGIC SITES FOR NEW CORE DEPLOYMENT</a:t>
          </a:r>
        </a:p>
      </cdr:txBody>
    </cdr:sp>
  </cdr:relSizeAnchor>
  <cdr:relSizeAnchor xmlns:cdr="http://schemas.openxmlformats.org/drawingml/2006/chartDrawing">
    <cdr:from>
      <cdr:x>0.83148</cdr:x>
      <cdr:y>0.90013</cdr:y>
    </cdr:from>
    <cdr:to>
      <cdr:x>0.95851</cdr:x>
      <cdr:y>0.95963</cdr:y>
    </cdr:to>
    <cdr:sp macro="" textlink="">
      <cdr:nvSpPr>
        <cdr:cNvPr id="4" name="TextBox 3"/>
        <cdr:cNvSpPr txBox="1"/>
      </cdr:nvSpPr>
      <cdr:spPr>
        <a:xfrm xmlns:a="http://schemas.openxmlformats.org/drawingml/2006/main">
          <a:off x="11198657" y="7150480"/>
          <a:ext cx="1710893" cy="4726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000">
              <a:latin typeface="Vodafone Lt" pitchFamily="34" charset="0"/>
            </a:rPr>
            <a:t>*- CHE SITE</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101600</xdr:colOff>
      <xdr:row>5</xdr:row>
      <xdr:rowOff>133351</xdr:rowOff>
    </xdr:from>
    <xdr:to>
      <xdr:col>31</xdr:col>
      <xdr:colOff>412750</xdr:colOff>
      <xdr:row>40</xdr:row>
      <xdr:rowOff>63501</xdr:rowOff>
    </xdr:to>
    <xdr:graphicFrame macro="">
      <xdr:nvGraphicFramePr>
        <xdr:cNvPr id="10928277" name="Chart 9">
          <a:extLst>
            <a:ext uri="{FF2B5EF4-FFF2-40B4-BE49-F238E27FC236}">
              <a16:creationId xmlns:a16="http://schemas.microsoft.com/office/drawing/2014/main" id="{00000000-0008-0000-1600-000095C0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127001</xdr:colOff>
      <xdr:row>75</xdr:row>
      <xdr:rowOff>1</xdr:rowOff>
    </xdr:from>
    <xdr:to>
      <xdr:col>31</xdr:col>
      <xdr:colOff>254001</xdr:colOff>
      <xdr:row>83</xdr:row>
      <xdr:rowOff>47625</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127001" y="11176001"/>
          <a:ext cx="16859250" cy="1190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900"/>
            </a:lnSpc>
            <a:spcBef>
              <a:spcPts val="0"/>
            </a:spcBef>
            <a:spcAft>
              <a:spcPts val="900"/>
            </a:spcAft>
            <a:buClrTx/>
            <a:buSzTx/>
            <a:buFontTx/>
            <a:buNone/>
            <a:tabLst/>
            <a:defRPr/>
          </a:pPr>
          <a:r>
            <a:rPr lang="en-GB" sz="2400" b="0" i="0" baseline="0">
              <a:solidFill>
                <a:schemeClr val="dk1"/>
              </a:solidFill>
              <a:effectLst/>
              <a:latin typeface="Vodafone Lt" panose="020B0606040202020204" pitchFamily="34" charset="0"/>
              <a:ea typeface="+mn-ea"/>
              <a:cs typeface="+mn-cs"/>
            </a:rPr>
            <a:t>Derived AC expansion and deployed capability is subject to DC power availability at each site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The reserved and forecast figures at XBE, XMS and XLD are for Virtulisation use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IC13GL, IC14GL, IC12LD and IC13LD are TSi inverter systems for Voicemail use</a:t>
          </a:r>
        </a:p>
        <a:p>
          <a:pPr marL="0" indent="0">
            <a:lnSpc>
              <a:spcPts val="2000"/>
            </a:lnSpc>
            <a:buFontTx/>
            <a:buNone/>
          </a:pPr>
          <a:endParaRPr lang="en-GB" sz="2000" b="0" i="0" u="none" strike="noStrike" baseline="0">
            <a:solidFill>
              <a:sysClr val="windowText" lastClr="000000"/>
            </a:solidFill>
            <a:effectLst/>
            <a:latin typeface="Vodafone Lt" pitchFamily="34" charset="0"/>
            <a:ea typeface="+mn-ea"/>
            <a:cs typeface="+mn-cs"/>
          </a:endParaRPr>
        </a:p>
        <a:p>
          <a:pPr marL="342900" indent="-342900">
            <a:lnSpc>
              <a:spcPts val="2000"/>
            </a:lnSpc>
            <a:buFont typeface="Arial" panose="020B0604020202020204" pitchFamily="34" charset="0"/>
            <a:buChar char="•"/>
          </a:pPr>
          <a:endParaRPr lang="en-GB" sz="2000" b="0" i="0" u="none" strike="noStrike" baseline="0">
            <a:solidFill>
              <a:sysClr val="windowText" lastClr="000000"/>
            </a:solidFill>
            <a:effectLst/>
            <a:latin typeface="Vodafone Lt" pitchFamily="34" charset="0"/>
            <a:ea typeface="+mn-ea"/>
            <a:cs typeface="+mn-cs"/>
          </a:endParaRPr>
        </a:p>
        <a:p>
          <a:pPr marL="0" indent="0">
            <a:lnSpc>
              <a:spcPts val="1900"/>
            </a:lnSpc>
            <a:buFontTx/>
            <a:buNone/>
          </a:pPr>
          <a:endParaRPr lang="en-GB" sz="2000" b="0" i="0" u="none" strike="noStrike">
            <a:solidFill>
              <a:sysClr val="windowText" lastClr="000000"/>
            </a:solidFill>
            <a:effectLst/>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endParaRPr lang="en-GB" sz="2000" b="0" i="0" u="none" strike="noStrike">
            <a:solidFill>
              <a:sysClr val="windowText" lastClr="000000"/>
            </a:solidFill>
            <a:effectLst/>
            <a:latin typeface="Vodafone Lt" pitchFamily="34" charset="0"/>
            <a:ea typeface="+mn-ea"/>
            <a:cs typeface="+mn-cs"/>
          </a:endParaRPr>
        </a:p>
      </xdr:txBody>
    </xdr:sp>
    <xdr:clientData/>
  </xdr:twoCellAnchor>
  <xdr:twoCellAnchor>
    <xdr:from>
      <xdr:col>8</xdr:col>
      <xdr:colOff>435428</xdr:colOff>
      <xdr:row>0</xdr:row>
      <xdr:rowOff>9526</xdr:rowOff>
    </xdr:from>
    <xdr:to>
      <xdr:col>21</xdr:col>
      <xdr:colOff>298449</xdr:colOff>
      <xdr:row>4</xdr:row>
      <xdr:rowOff>54430</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4680857" y="9526"/>
          <a:ext cx="6761842" cy="643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800" b="1">
              <a:latin typeface="Vodafone Lt" pitchFamily="34" charset="0"/>
            </a:rPr>
            <a:t> CHE </a:t>
          </a:r>
          <a:r>
            <a:rPr lang="en-GB" sz="3800" b="1" baseline="0">
              <a:latin typeface="Vodafone Lt" pitchFamily="34" charset="0"/>
            </a:rPr>
            <a:t>Sites - Power Breakdown</a:t>
          </a:r>
          <a:endParaRPr lang="en-GB" sz="3800" b="1">
            <a:latin typeface="Vodafone Lt" pitchFamily="34" charset="0"/>
          </a:endParaRPr>
        </a:p>
      </xdr:txBody>
    </xdr:sp>
    <xdr:clientData/>
  </xdr:twoCellAnchor>
  <xdr:twoCellAnchor>
    <xdr:from>
      <xdr:col>0</xdr:col>
      <xdr:colOff>111124</xdr:colOff>
      <xdr:row>40</xdr:row>
      <xdr:rowOff>111125</xdr:rowOff>
    </xdr:from>
    <xdr:to>
      <xdr:col>31</xdr:col>
      <xdr:colOff>412750</xdr:colOff>
      <xdr:row>74</xdr:row>
      <xdr:rowOff>0</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0.00712</cdr:x>
      <cdr:y>0.24488</cdr:y>
    </cdr:from>
    <cdr:to>
      <cdr:x>0.0294</cdr:x>
      <cdr:y>0.5801</cdr:y>
    </cdr:to>
    <cdr:sp macro="" textlink="">
      <cdr:nvSpPr>
        <cdr:cNvPr id="2" name="TextBox 1"/>
        <cdr:cNvSpPr txBox="1"/>
      </cdr:nvSpPr>
      <cdr:spPr>
        <a:xfrm xmlns:a="http://schemas.openxmlformats.org/drawingml/2006/main">
          <a:off x="121216" y="1294550"/>
          <a:ext cx="379631" cy="1772053"/>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r>
            <a:rPr lang="en-GB" sz="2000">
              <a:latin typeface="Vodafone Lt" panose="020B0606040202020204" pitchFamily="34" charset="0"/>
            </a:rPr>
            <a:t>Power (kW)</a:t>
          </a:r>
        </a:p>
      </cdr:txBody>
    </cdr:sp>
  </cdr:relSizeAnchor>
  <cdr:relSizeAnchor xmlns:cdr="http://schemas.openxmlformats.org/drawingml/2006/chartDrawing">
    <cdr:from>
      <cdr:x>0.39143</cdr:x>
      <cdr:y>0.01201</cdr:y>
    </cdr:from>
    <cdr:to>
      <cdr:x>0.57409</cdr:x>
      <cdr:y>0.0991</cdr:y>
    </cdr:to>
    <cdr:sp macro="" textlink="">
      <cdr:nvSpPr>
        <cdr:cNvPr id="3" name="TextBox 2"/>
        <cdr:cNvSpPr txBox="1"/>
      </cdr:nvSpPr>
      <cdr:spPr>
        <a:xfrm xmlns:a="http://schemas.openxmlformats.org/drawingml/2006/main">
          <a:off x="6667501" y="63500"/>
          <a:ext cx="3111500" cy="460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600" b="1">
              <a:latin typeface="Vodafone Lt" panose="020B0606040202020204" pitchFamily="34" charset="0"/>
            </a:rPr>
            <a:t>Inverter Capacity (AC)</a:t>
          </a: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171450</xdr:colOff>
      <xdr:row>5</xdr:row>
      <xdr:rowOff>104775</xdr:rowOff>
    </xdr:from>
    <xdr:to>
      <xdr:col>25</xdr:col>
      <xdr:colOff>323850</xdr:colOff>
      <xdr:row>36</xdr:row>
      <xdr:rowOff>0</xdr:rowOff>
    </xdr:to>
    <xdr:graphicFrame macro="">
      <xdr:nvGraphicFramePr>
        <xdr:cNvPr id="10935482" name="Chart 11">
          <a:extLst>
            <a:ext uri="{FF2B5EF4-FFF2-40B4-BE49-F238E27FC236}">
              <a16:creationId xmlns:a16="http://schemas.microsoft.com/office/drawing/2014/main" id="{00000000-0008-0000-1700-0000BA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196849</xdr:colOff>
      <xdr:row>14</xdr:row>
      <xdr:rowOff>108857</xdr:rowOff>
    </xdr:from>
    <xdr:to>
      <xdr:col>1</xdr:col>
      <xdr:colOff>136071</xdr:colOff>
      <xdr:row>24</xdr:row>
      <xdr:rowOff>0</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96849" y="2204357"/>
          <a:ext cx="469901" cy="1387929"/>
        </a:xfrm>
        <a:prstGeom prst="rect">
          <a:avLst/>
        </a:prstGeom>
        <a:solidFill>
          <a:sysClr val="window" lastClr="FFFFFF"/>
        </a:solidFill>
        <a:ln w="9525" cmpd="sng">
          <a:noFill/>
        </a:ln>
        <a:effectLst/>
      </xdr:spPr>
      <xdr:txBody>
        <a:bodyPr vertOverflow="clip" horzOverflow="clip" vert="vert270"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(kW)</a:t>
          </a:r>
        </a:p>
      </xdr:txBody>
    </xdr:sp>
    <xdr:clientData/>
  </xdr:twoCellAnchor>
  <xdr:twoCellAnchor>
    <xdr:from>
      <xdr:col>4</xdr:col>
      <xdr:colOff>215106</xdr:colOff>
      <xdr:row>0</xdr:row>
      <xdr:rowOff>64293</xdr:rowOff>
    </xdr:from>
    <xdr:to>
      <xdr:col>20</xdr:col>
      <xdr:colOff>291306</xdr:colOff>
      <xdr:row>5</xdr:row>
      <xdr:rowOff>13493</xdr:rowOff>
    </xdr:to>
    <xdr:sp macro="" textlink="">
      <xdr:nvSpPr>
        <xdr:cNvPr id="12" name="TextBox 11">
          <a:extLst>
            <a:ext uri="{FF2B5EF4-FFF2-40B4-BE49-F238E27FC236}">
              <a16:creationId xmlns:a16="http://schemas.microsoft.com/office/drawing/2014/main" id="{00000000-0008-0000-1700-00000C000000}"/>
            </a:ext>
          </a:extLst>
        </xdr:cNvPr>
        <xdr:cNvSpPr txBox="1"/>
      </xdr:nvSpPr>
      <xdr:spPr>
        <a:xfrm>
          <a:off x="2358231" y="64293"/>
          <a:ext cx="8648700" cy="66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Sites (Non- CHE) - Plant Usage</a:t>
          </a:r>
        </a:p>
        <a:p>
          <a:endParaRPr lang="en-GB" sz="1100"/>
        </a:p>
      </xdr:txBody>
    </xdr:sp>
    <xdr:clientData/>
  </xdr:twoCellAnchor>
  <xdr:twoCellAnchor>
    <xdr:from>
      <xdr:col>0</xdr:col>
      <xdr:colOff>161925</xdr:colOff>
      <xdr:row>36</xdr:row>
      <xdr:rowOff>38100</xdr:rowOff>
    </xdr:from>
    <xdr:to>
      <xdr:col>15</xdr:col>
      <xdr:colOff>514350</xdr:colOff>
      <xdr:row>68</xdr:row>
      <xdr:rowOff>133350</xdr:rowOff>
    </xdr:to>
    <xdr:graphicFrame macro="">
      <xdr:nvGraphicFramePr>
        <xdr:cNvPr id="10935485" name="Chart 1">
          <a:extLst>
            <a:ext uri="{FF2B5EF4-FFF2-40B4-BE49-F238E27FC236}">
              <a16:creationId xmlns:a16="http://schemas.microsoft.com/office/drawing/2014/main" id="{00000000-0008-0000-1700-0000BD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176893</xdr:colOff>
      <xdr:row>39</xdr:row>
      <xdr:rowOff>140152</xdr:rowOff>
    </xdr:from>
    <xdr:to>
      <xdr:col>26</xdr:col>
      <xdr:colOff>68036</xdr:colOff>
      <xdr:row>67</xdr:row>
      <xdr:rowOff>136071</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8667750" y="5977616"/>
          <a:ext cx="5197929" cy="418691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HLR and DSC cabs at XCY and XGR are installed and included in the forecast figures , but not due to be powered on until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IC5AN is reserved for security cab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wsDr>
</file>

<file path=xl/drawings/drawing22.xml><?xml version="1.0" encoding="utf-8"?>
<c:userShapes xmlns:c="http://schemas.openxmlformats.org/drawingml/2006/chart">
  <cdr:relSizeAnchor xmlns:cdr="http://schemas.openxmlformats.org/drawingml/2006/chartDrawing">
    <cdr:from>
      <cdr:x>0.87064</cdr:x>
      <cdr:y>0.01217</cdr:y>
    </cdr:from>
    <cdr:to>
      <cdr:x>0.87393</cdr:x>
      <cdr:y>0.01415</cdr:y>
    </cdr:to>
    <cdr:sp macro="" textlink="">
      <cdr:nvSpPr>
        <cdr:cNvPr id="3" name="TextBox 2"/>
        <cdr:cNvSpPr txBox="1"/>
      </cdr:nvSpPr>
      <cdr:spPr>
        <a:xfrm xmlns:a="http://schemas.openxmlformats.org/drawingml/2006/main">
          <a:off x="2956414" y="80069"/>
          <a:ext cx="6809886" cy="427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GB" sz="2400" b="1" i="0" baseline="0">
              <a:effectLst/>
              <a:latin typeface="Vodafone Lt" pitchFamily="34" charset="0"/>
              <a:ea typeface="+mn-ea"/>
              <a:cs typeface="+mn-cs"/>
            </a:rPr>
            <a:t>Non- CHE Strategic Sites DC Plant Utilisation </a:t>
          </a:r>
          <a:endParaRPr lang="en-GB" sz="2400">
            <a:effectLst/>
            <a:latin typeface="Vodafone Lt" pitchFamily="34" charset="0"/>
          </a:endParaRPr>
        </a:p>
        <a:p xmlns:a="http://schemas.openxmlformats.org/drawingml/2006/main">
          <a:endParaRPr lang="en-GB" sz="2400">
            <a:latin typeface="Vodafone Lt" pitchFamily="34" charset="0"/>
          </a:endParaRPr>
        </a:p>
      </cdr:txBody>
    </cdr:sp>
  </cdr:relSizeAnchor>
  <cdr:relSizeAnchor xmlns:cdr="http://schemas.openxmlformats.org/drawingml/2006/chartDrawing">
    <cdr:from>
      <cdr:x>0.25453</cdr:x>
      <cdr:y>0.01156</cdr:y>
    </cdr:from>
    <cdr:to>
      <cdr:x>0.70803</cdr:x>
      <cdr:y>0.11619</cdr:y>
    </cdr:to>
    <cdr:sp macro="" textlink="">
      <cdr:nvSpPr>
        <cdr:cNvPr id="5" name="TextBox 4"/>
        <cdr:cNvSpPr txBox="1"/>
      </cdr:nvSpPr>
      <cdr:spPr>
        <a:xfrm xmlns:a="http://schemas.openxmlformats.org/drawingml/2006/main">
          <a:off x="3448050" y="50006"/>
          <a:ext cx="6143625" cy="4524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Strategic Sites (Non- CHE) </a:t>
          </a:r>
          <a:r>
            <a:rPr lang="en-GB" sz="2400" b="1" baseline="0">
              <a:latin typeface="Vodafone Lt" panose="020B0606040202020204" pitchFamily="34" charset="0"/>
            </a:rPr>
            <a:t> </a:t>
          </a:r>
          <a:r>
            <a:rPr lang="en-GB" sz="2400" b="1">
              <a:latin typeface="Vodafone Lt" panose="020B0606040202020204" pitchFamily="34" charset="0"/>
            </a:rPr>
            <a:t>DC Plant Utilisation</a:t>
          </a:r>
        </a:p>
      </cdr:txBody>
    </cdr:sp>
  </cdr:relSizeAnchor>
</c:userShapes>
</file>

<file path=xl/drawings/drawing23.xml><?xml version="1.0" encoding="utf-8"?>
<c:userShapes xmlns:c="http://schemas.openxmlformats.org/drawingml/2006/chart">
  <cdr:relSizeAnchor xmlns:cdr="http://schemas.openxmlformats.org/drawingml/2006/chartDrawing">
    <cdr:from>
      <cdr:x>0.08369</cdr:x>
      <cdr:y>0.01033</cdr:y>
    </cdr:from>
    <cdr:to>
      <cdr:x>0.85955</cdr:x>
      <cdr:y>0.10641</cdr:y>
    </cdr:to>
    <cdr:sp macro="" textlink="">
      <cdr:nvSpPr>
        <cdr:cNvPr id="6" name="TextBox 5"/>
        <cdr:cNvSpPr txBox="1"/>
      </cdr:nvSpPr>
      <cdr:spPr>
        <a:xfrm xmlns:a="http://schemas.openxmlformats.org/drawingml/2006/main">
          <a:off x="695681" y="50462"/>
          <a:ext cx="6449429" cy="46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2400" b="1">
              <a:latin typeface="Vodafone Lt" pitchFamily="34" charset="0"/>
            </a:rPr>
            <a:t>     Strategic Sites (Non- CHE)  AC Plant Utilisation</a:t>
          </a:r>
        </a:p>
      </cdr:txBody>
    </cdr:sp>
  </cdr:relSizeAnchor>
</c:userShapes>
</file>

<file path=xl/drawings/drawing2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3</xdr:col>
      <xdr:colOff>342900</xdr:colOff>
      <xdr:row>0</xdr:row>
      <xdr:rowOff>88900</xdr:rowOff>
    </xdr:from>
    <xdr:to>
      <xdr:col>22</xdr:col>
      <xdr:colOff>520700</xdr:colOff>
      <xdr:row>5</xdr:row>
      <xdr:rowOff>50800</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943100" y="88900"/>
          <a:ext cx="103124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- 12 Month Power Usage</a:t>
          </a:r>
        </a:p>
        <a:p>
          <a:pPr algn="ctr"/>
          <a:endParaRPr lang="en-GB" sz="1100"/>
        </a:p>
      </xdr:txBody>
    </xdr:sp>
    <xdr:clientData/>
  </xdr:twoCellAnchor>
  <xdr:twoCellAnchor>
    <xdr:from>
      <xdr:col>1</xdr:col>
      <xdr:colOff>50798</xdr:colOff>
      <xdr:row>44</xdr:row>
      <xdr:rowOff>15875</xdr:rowOff>
    </xdr:from>
    <xdr:to>
      <xdr:col>26</xdr:col>
      <xdr:colOff>476250</xdr:colOff>
      <xdr:row>72</xdr:row>
      <xdr:rowOff>47625</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90548" y="6302375"/>
          <a:ext cx="13919202" cy="403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usage figures on AC plants are included in the DC figures as AC power is derived from the DC plants</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XGL and XLD values include TSi inverter figures that are powered by raw mains</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1"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an overall decrease in power usage of 113kW across Strategic Core MTX sites. However, the forecast and reserved figures predict an increase of 461kW, resulting in an increase of 288kW  year on year</a:t>
          </a: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r>
            <a:rPr kumimoji="0" lang="en-GB" sz="2000" b="0" i="0" u="sng" strike="noStrike" kern="0" cap="none" spc="0" normalizeH="0" baseline="0" noProof="0">
              <a:ln>
                <a:noFill/>
              </a:ln>
              <a:solidFill>
                <a:sysClr val="windowText" lastClr="000000"/>
              </a:solidFill>
              <a:effectLst/>
              <a:uLnTx/>
              <a:uFillTx/>
              <a:latin typeface="Vodafone Lt" pitchFamily="34" charset="0"/>
              <a:ea typeface="+mn-ea"/>
              <a:cs typeface="+mn-cs"/>
            </a:rPr>
            <a:t>Power decreases</a:t>
          </a: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 The decreases at  XBE, XGL, XMS, and XLD are due to a combination of the powering down of MCA, ACF, CLS and SSM cabs and CHE and Vosnet cab equipment</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chemeClr val="bg1">
                  <a:lumMod val="50000"/>
                </a:schemeClr>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At XAN, there is  20kW reserved to support a new security cab suite</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Virtulisation requirements account for the reserved and forecast figures at XBE, XLD and XMS                                                          </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xdr:txBody>
    </xdr:sp>
    <xdr:clientData/>
  </xdr:twoCellAnchor>
  <xdr:twoCellAnchor>
    <xdr:from>
      <xdr:col>1</xdr:col>
      <xdr:colOff>28575</xdr:colOff>
      <xdr:row>5</xdr:row>
      <xdr:rowOff>123825</xdr:rowOff>
    </xdr:from>
    <xdr:to>
      <xdr:col>26</xdr:col>
      <xdr:colOff>460375</xdr:colOff>
      <xdr:row>43</xdr:row>
      <xdr:rowOff>31750</xdr:rowOff>
    </xdr:to>
    <xdr:graphicFrame macro="">
      <xdr:nvGraphicFramePr>
        <xdr:cNvPr id="10941592" name="Chart 8">
          <a:extLst>
            <a:ext uri="{FF2B5EF4-FFF2-40B4-BE49-F238E27FC236}">
              <a16:creationId xmlns:a16="http://schemas.microsoft.com/office/drawing/2014/main" id="{00000000-0008-0000-1800-000098F4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0.83555</cdr:x>
      <cdr:y>0.03087</cdr:y>
    </cdr:from>
    <cdr:to>
      <cdr:x>0.83723</cdr:x>
      <cdr:y>0.0322</cdr:y>
    </cdr:to>
    <cdr:sp macro="" textlink="">
      <cdr:nvSpPr>
        <cdr:cNvPr id="2" name="TextBox 1"/>
        <cdr:cNvSpPr txBox="1"/>
      </cdr:nvSpPr>
      <cdr:spPr>
        <a:xfrm xmlns:a="http://schemas.openxmlformats.org/drawingml/2006/main">
          <a:off x="3365041" y="210961"/>
          <a:ext cx="5194759" cy="51293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endParaRPr lang="en-GB" sz="2000">
            <a:latin typeface="Vodafone Lt" pitchFamily="34" charset="0"/>
          </a:endParaRPr>
        </a:p>
      </cdr:txBody>
    </cdr:sp>
  </cdr:relSizeAnchor>
  <cdr:relSizeAnchor xmlns:cdr="http://schemas.openxmlformats.org/drawingml/2006/chartDrawing">
    <cdr:from>
      <cdr:x>0.00983</cdr:x>
      <cdr:y>0.3718</cdr:y>
    </cdr:from>
    <cdr:to>
      <cdr:x>0.04</cdr:x>
      <cdr:y>0.59504</cdr:y>
    </cdr:to>
    <cdr:sp macro="" textlink="">
      <cdr:nvSpPr>
        <cdr:cNvPr id="4" name="TextBox 3"/>
        <cdr:cNvSpPr txBox="1"/>
      </cdr:nvSpPr>
      <cdr:spPr>
        <a:xfrm xmlns:a="http://schemas.openxmlformats.org/drawingml/2006/main">
          <a:off x="130066" y="2271032"/>
          <a:ext cx="399251" cy="1363619"/>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1800">
              <a:latin typeface="Vodafone Lt" panose="020B0606040202020204" pitchFamily="34" charset="0"/>
            </a:rPr>
            <a:t>Power (kW)</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425450</xdr:colOff>
      <xdr:row>0</xdr:row>
      <xdr:rowOff>34923</xdr:rowOff>
    </xdr:from>
    <xdr:to>
      <xdr:col>27</xdr:col>
      <xdr:colOff>476250</xdr:colOff>
      <xdr:row>4</xdr:row>
      <xdr:rowOff>127000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3663950" y="34923"/>
          <a:ext cx="11385550" cy="66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 Strategic Core MTX Sites - Switchroom </a:t>
          </a:r>
          <a:r>
            <a:rPr lang="en-GB" sz="3600" b="1">
              <a:latin typeface="Vodafone Lt" pitchFamily="34" charset="0"/>
            </a:rPr>
            <a:t>Floor Space Usage </a:t>
          </a:r>
        </a:p>
      </xdr:txBody>
    </xdr:sp>
    <xdr:clientData/>
  </xdr:twoCellAnchor>
  <xdr:twoCellAnchor>
    <xdr:from>
      <xdr:col>19</xdr:col>
      <xdr:colOff>238125</xdr:colOff>
      <xdr:row>63</xdr:row>
      <xdr:rowOff>25400</xdr:rowOff>
    </xdr:from>
    <xdr:to>
      <xdr:col>31</xdr:col>
      <xdr:colOff>495300</xdr:colOff>
      <xdr:row>86</xdr:row>
      <xdr:rowOff>0</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372725" y="9626600"/>
          <a:ext cx="6657975" cy="365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2400"/>
            </a:lnSpc>
          </a:pPr>
          <a:r>
            <a:rPr lang="en-GB" sz="2400">
              <a:latin typeface="Vodafone Lt" panose="020B0606040202020204" pitchFamily="34" charset="0"/>
            </a:rPr>
            <a:t>At the CHE sites, and</a:t>
          </a:r>
          <a:r>
            <a:rPr lang="en-GB" sz="2400" baseline="0">
              <a:latin typeface="Vodafone Lt" panose="020B0606040202020204" pitchFamily="34" charset="0"/>
            </a:rPr>
            <a:t> </a:t>
          </a:r>
          <a:r>
            <a:rPr lang="en-GB" sz="2400">
              <a:latin typeface="Vodafone Lt" panose="020B0606040202020204" pitchFamily="34" charset="0"/>
            </a:rPr>
            <a:t>at XAN, hot air containment areas are deployed  </a:t>
          </a:r>
        </a:p>
        <a:p>
          <a:pPr>
            <a:lnSpc>
              <a:spcPts val="2400"/>
            </a:lnSpc>
          </a:pPr>
          <a:r>
            <a:rPr lang="en-GB" sz="2400">
              <a:latin typeface="Vodafone Lt" panose="020B0606040202020204" pitchFamily="34" charset="0"/>
            </a:rPr>
            <a:t>These areas are to allow for deployment of platforms that have large power requirements and therefore exhaust  a considerable amount of hot air. Such equipment includes Voice Mail, VCA, Gi LAN and SPGW platforms </a:t>
          </a:r>
        </a:p>
        <a:p>
          <a:pPr>
            <a:lnSpc>
              <a:spcPts val="2400"/>
            </a:lnSpc>
          </a:pPr>
          <a:endParaRPr lang="en-GB" sz="2400">
            <a:latin typeface="Vodafone Lt" panose="020B0606040202020204" pitchFamily="34" charset="0"/>
          </a:endParaRPr>
        </a:p>
        <a:p>
          <a:pPr marL="342900" indent="-342900">
            <a:lnSpc>
              <a:spcPts val="2400"/>
            </a:lnSpc>
            <a:spcBef>
              <a:spcPts val="0"/>
            </a:spcBef>
            <a:spcAft>
              <a:spcPts val="0"/>
            </a:spcAft>
            <a:buFont typeface="Arial" panose="020B0604020202020204" pitchFamily="34" charset="0"/>
            <a:buChar char="•"/>
          </a:pPr>
          <a:r>
            <a:rPr lang="en-GB" sz="2400">
              <a:latin typeface="Vodafone Lt" panose="020B0606040202020204" pitchFamily="34" charset="0"/>
            </a:rPr>
            <a:t>The reserved and forecast</a:t>
          </a:r>
          <a:r>
            <a:rPr lang="en-GB" sz="2400" baseline="0">
              <a:latin typeface="Vodafone Lt" panose="020B0606040202020204" pitchFamily="34" charset="0"/>
            </a:rPr>
            <a:t> </a:t>
          </a:r>
          <a:r>
            <a:rPr lang="en-GB" sz="2400">
              <a:latin typeface="Vodafone Lt" panose="020B0606040202020204" pitchFamily="34" charset="0"/>
            </a:rPr>
            <a:t>spaces at XBE, XLD and XMS are</a:t>
          </a:r>
          <a:r>
            <a:rPr lang="en-GB" sz="2400" baseline="0">
              <a:latin typeface="Vodafone Lt" panose="020B0606040202020204" pitchFamily="34" charset="0"/>
            </a:rPr>
            <a:t> </a:t>
          </a:r>
          <a:r>
            <a:rPr lang="en-GB" sz="2400">
              <a:latin typeface="Vodafone Lt" panose="020B0606040202020204" pitchFamily="34" charset="0"/>
            </a:rPr>
            <a:t>to be used for Virtulisation hardware</a:t>
          </a:r>
        </a:p>
      </xdr:txBody>
    </xdr:sp>
    <xdr:clientData/>
  </xdr:twoCellAnchor>
  <xdr:twoCellAnchor>
    <xdr:from>
      <xdr:col>0</xdr:col>
      <xdr:colOff>288925</xdr:colOff>
      <xdr:row>47</xdr:row>
      <xdr:rowOff>41274</xdr:rowOff>
    </xdr:from>
    <xdr:to>
      <xdr:col>31</xdr:col>
      <xdr:colOff>95250</xdr:colOff>
      <xdr:row>56</xdr:row>
      <xdr:rowOff>38100</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288925" y="7204074"/>
          <a:ext cx="16341725" cy="1368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300"/>
            </a:spcAft>
          </a:pPr>
          <a:r>
            <a:rPr lang="en-GB" sz="2400">
              <a:latin typeface="Vodafone Lt" panose="020B0606040202020204" pitchFamily="34" charset="0"/>
            </a:rPr>
            <a:t>The above figures are based on total switchroom floorspace,</a:t>
          </a:r>
          <a:r>
            <a:rPr lang="en-GB" sz="2400" baseline="0">
              <a:latin typeface="Vodafone Lt" panose="020B0606040202020204" pitchFamily="34" charset="0"/>
            </a:rPr>
            <a:t> minus </a:t>
          </a:r>
          <a:r>
            <a:rPr lang="en-GB" sz="2400">
              <a:latin typeface="Vodafone Lt" panose="020B0606040202020204" pitchFamily="34" charset="0"/>
            </a:rPr>
            <a:t>the hot air containment areas at the CHE sites and XAN and caged areas at XAN and XBE</a:t>
          </a:r>
        </a:p>
        <a:p>
          <a:pPr marL="342900" indent="-342900">
            <a:spcAft>
              <a:spcPts val="300"/>
            </a:spcAft>
            <a:buFont typeface="Arial" panose="020B0604020202020204" pitchFamily="34" charset="0"/>
            <a:buChar char="•"/>
          </a:pPr>
          <a:r>
            <a:rPr lang="en-GB" sz="2400">
              <a:latin typeface="Vodafone Lt" panose="020B0606040202020204" pitchFamily="34" charset="0"/>
            </a:rPr>
            <a:t>Space has been reserved for new inverter systems</a:t>
          </a:r>
          <a:r>
            <a:rPr lang="en-GB" sz="2400" baseline="0">
              <a:latin typeface="Vodafone Lt" panose="020B0606040202020204" pitchFamily="34" charset="0"/>
            </a:rPr>
            <a:t> at XAN, XCY, XGR, XOM and XRM and for NFV cabs at XBE and XMS</a:t>
          </a:r>
          <a:endParaRPr lang="en-GB" sz="2400">
            <a:latin typeface="Vodafone Lt" panose="020B0606040202020204" pitchFamily="34" charset="0"/>
          </a:endParaRPr>
        </a:p>
      </xdr:txBody>
    </xdr:sp>
    <xdr:clientData/>
  </xdr:twoCellAnchor>
  <xdr:twoCellAnchor>
    <xdr:from>
      <xdr:col>0</xdr:col>
      <xdr:colOff>209550</xdr:colOff>
      <xdr:row>5</xdr:row>
      <xdr:rowOff>76200</xdr:rowOff>
    </xdr:from>
    <xdr:to>
      <xdr:col>32</xdr:col>
      <xdr:colOff>247650</xdr:colOff>
      <xdr:row>46</xdr:row>
      <xdr:rowOff>133350</xdr:rowOff>
    </xdr:to>
    <xdr:graphicFrame macro="">
      <xdr:nvGraphicFramePr>
        <xdr:cNvPr id="10944775" name="Chart 17">
          <a:extLst>
            <a:ext uri="{FF2B5EF4-FFF2-40B4-BE49-F238E27FC236}">
              <a16:creationId xmlns:a16="http://schemas.microsoft.com/office/drawing/2014/main" id="{00000000-0008-0000-1900-0000070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479424</xdr:colOff>
      <xdr:row>55</xdr:row>
      <xdr:rowOff>139700</xdr:rowOff>
    </xdr:from>
    <xdr:to>
      <xdr:col>19</xdr:col>
      <xdr:colOff>342899</xdr:colOff>
      <xdr:row>59</xdr:row>
      <xdr:rowOff>28574</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6824" y="8521700"/>
          <a:ext cx="4130675" cy="498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3600" b="1">
              <a:latin typeface="Vodafone Lt" panose="020B0606040202020204" pitchFamily="34" charset="0"/>
            </a:rPr>
            <a:t>Hot Air Containment</a:t>
          </a:r>
        </a:p>
      </xdr:txBody>
    </xdr:sp>
    <xdr:clientData/>
  </xdr:twoCellAnchor>
  <xdr:twoCellAnchor>
    <xdr:from>
      <xdr:col>9</xdr:col>
      <xdr:colOff>244929</xdr:colOff>
      <xdr:row>8</xdr:row>
      <xdr:rowOff>40821</xdr:rowOff>
    </xdr:from>
    <xdr:to>
      <xdr:col>20</xdr:col>
      <xdr:colOff>142875</xdr:colOff>
      <xdr:row>11</xdr:row>
      <xdr:rowOff>31750</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5102679" y="1183821"/>
          <a:ext cx="5835196" cy="419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anose="020B0606040202020204" pitchFamily="34" charset="0"/>
            </a:rPr>
            <a:t>STRATEGIC SITES CLOSED TO NEW CORE DEPLOYMENT</a:t>
          </a:r>
        </a:p>
      </xdr:txBody>
    </xdr:sp>
    <xdr:clientData/>
  </xdr:twoCellAnchor>
  <xdr:twoCellAnchor>
    <xdr:from>
      <xdr:col>0</xdr:col>
      <xdr:colOff>342900</xdr:colOff>
      <xdr:row>60</xdr:row>
      <xdr:rowOff>0</xdr:rowOff>
    </xdr:from>
    <xdr:to>
      <xdr:col>19</xdr:col>
      <xdr:colOff>190500</xdr:colOff>
      <xdr:row>88</xdr:row>
      <xdr:rowOff>133350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0.0053</cdr:x>
      <cdr:y>0.36858</cdr:y>
    </cdr:from>
    <cdr:to>
      <cdr:x>0.03118</cdr:x>
      <cdr:y>0.60657</cdr:y>
    </cdr:to>
    <cdr:sp macro="" textlink="">
      <cdr:nvSpPr>
        <cdr:cNvPr id="2" name="TextBox 1"/>
        <cdr:cNvSpPr txBox="1"/>
      </cdr:nvSpPr>
      <cdr:spPr>
        <a:xfrm xmlns:a="http://schemas.openxmlformats.org/drawingml/2006/main">
          <a:off x="90666" y="2324100"/>
          <a:ext cx="442733" cy="1500657"/>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0.01145</cdr:x>
      <cdr:y>0.29167</cdr:y>
    </cdr:from>
    <cdr:to>
      <cdr:x>0.04962</cdr:x>
      <cdr:y>0.57917</cdr:y>
    </cdr:to>
    <cdr:sp macro="" textlink="">
      <cdr:nvSpPr>
        <cdr:cNvPr id="2" name="TextBox 1"/>
        <cdr:cNvSpPr txBox="1"/>
      </cdr:nvSpPr>
      <cdr:spPr>
        <a:xfrm xmlns:a="http://schemas.openxmlformats.org/drawingml/2006/main">
          <a:off x="114300" y="1333500"/>
          <a:ext cx="381000" cy="13144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800">
              <a:latin typeface="Vodafone Lt" panose="020B0606040202020204" pitchFamily="34" charset="0"/>
            </a:rPr>
            <a:t>Space </a:t>
          </a:r>
          <a:r>
            <a:rPr lang="en-GB" sz="1800" baseline="0">
              <a:latin typeface="Vodafone Lt" panose="020B0606040202020204" pitchFamily="34" charset="0"/>
            </a:rPr>
            <a:t> </a:t>
          </a:r>
          <a:r>
            <a:rPr lang="en-GB" sz="1800">
              <a:effectLst/>
              <a:latin typeface="Vodafone Lt" panose="020B0606040202020204" pitchFamily="34" charset="0"/>
              <a:ea typeface="+mn-ea"/>
              <a:cs typeface="+mn-cs"/>
            </a:rPr>
            <a:t>(m²)</a:t>
          </a:r>
          <a:endParaRPr lang="en-GB" sz="1800">
            <a:effectLst/>
            <a:latin typeface="Vodafone Lt" panose="020B0606040202020204" pitchFamily="34" charset="0"/>
          </a:endParaRPr>
        </a:p>
        <a:p xmlns:a="http://schemas.openxmlformats.org/drawingml/2006/main">
          <a:endParaRPr lang="en-GB" sz="1100"/>
        </a:p>
      </cdr:txBody>
    </cdr:sp>
  </cdr:relSizeAnchor>
</c:userShapes>
</file>

<file path=xl/drawings/drawing29.xml><?xml version="1.0" encoding="utf-8"?>
<xdr:wsDr xmlns:xdr="http://schemas.openxmlformats.org/drawingml/2006/spreadsheetDrawing" xmlns:a="http://schemas.openxmlformats.org/drawingml/2006/main">
  <xdr:twoCellAnchor>
    <xdr:from>
      <xdr:col>3</xdr:col>
      <xdr:colOff>390524</xdr:colOff>
      <xdr:row>33</xdr:row>
      <xdr:rowOff>63500</xdr:rowOff>
    </xdr:from>
    <xdr:to>
      <xdr:col>4</xdr:col>
      <xdr:colOff>266700</xdr:colOff>
      <xdr:row>42</xdr:row>
      <xdr:rowOff>92074</xdr:rowOff>
    </xdr:to>
    <xdr:sp macro="" textlink="">
      <xdr:nvSpPr>
        <xdr:cNvPr id="21" name="TextBox 20">
          <a:extLst>
            <a:ext uri="{FF2B5EF4-FFF2-40B4-BE49-F238E27FC236}">
              <a16:creationId xmlns:a16="http://schemas.microsoft.com/office/drawing/2014/main" id="{00000000-0008-0000-1A00-000015000000}"/>
            </a:ext>
          </a:extLst>
        </xdr:cNvPr>
        <xdr:cNvSpPr txBox="1"/>
      </xdr:nvSpPr>
      <xdr:spPr>
        <a:xfrm>
          <a:off x="1990724" y="4673600"/>
          <a:ext cx="409576" cy="1285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itchFamily="34" charset="0"/>
            </a:rPr>
            <a:t>Power</a:t>
          </a:r>
          <a:r>
            <a:rPr lang="en-GB" sz="2000" baseline="0">
              <a:latin typeface="Vodafone Lt" pitchFamily="34" charset="0"/>
            </a:rPr>
            <a:t> (kW)</a:t>
          </a:r>
          <a:endParaRPr lang="en-GB" sz="2000">
            <a:latin typeface="Vodafone Lt" pitchFamily="34" charset="0"/>
          </a:endParaRPr>
        </a:p>
      </xdr:txBody>
    </xdr:sp>
    <xdr:clientData/>
  </xdr:twoCellAnchor>
  <xdr:twoCellAnchor>
    <xdr:from>
      <xdr:col>3</xdr:col>
      <xdr:colOff>330200</xdr:colOff>
      <xdr:row>0</xdr:row>
      <xdr:rowOff>9525</xdr:rowOff>
    </xdr:from>
    <xdr:to>
      <xdr:col>23</xdr:col>
      <xdr:colOff>368299</xdr:colOff>
      <xdr:row>3</xdr:row>
      <xdr:rowOff>76200</xdr:rowOff>
    </xdr:to>
    <xdr:sp macro="" textlink="">
      <xdr:nvSpPr>
        <xdr:cNvPr id="24" name="TextBox 23">
          <a:extLst>
            <a:ext uri="{FF2B5EF4-FFF2-40B4-BE49-F238E27FC236}">
              <a16:creationId xmlns:a16="http://schemas.microsoft.com/office/drawing/2014/main" id="{00000000-0008-0000-1A00-000018000000}"/>
            </a:ext>
          </a:extLst>
        </xdr:cNvPr>
        <xdr:cNvSpPr txBox="1"/>
      </xdr:nvSpPr>
      <xdr:spPr>
        <a:xfrm>
          <a:off x="1930400" y="9525"/>
          <a:ext cx="10706099"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Power Breakdown</a:t>
          </a:r>
        </a:p>
        <a:p>
          <a:pPr>
            <a:lnSpc>
              <a:spcPts val="1100"/>
            </a:lnSpc>
          </a:pPr>
          <a:endParaRPr lang="en-GB" sz="1100"/>
        </a:p>
      </xdr:txBody>
    </xdr:sp>
    <xdr:clientData/>
  </xdr:twoCellAnchor>
  <xdr:twoCellAnchor>
    <xdr:from>
      <xdr:col>0</xdr:col>
      <xdr:colOff>228600</xdr:colOff>
      <xdr:row>64</xdr:row>
      <xdr:rowOff>88900</xdr:rowOff>
    </xdr:from>
    <xdr:to>
      <xdr:col>25</xdr:col>
      <xdr:colOff>495300</xdr:colOff>
      <xdr:row>75</xdr:row>
      <xdr:rowOff>63500</xdr:rowOff>
    </xdr:to>
    <xdr:sp macro="" textlink="">
      <xdr:nvSpPr>
        <xdr:cNvPr id="25" name="TextBox 24">
          <a:extLst>
            <a:ext uri="{FF2B5EF4-FFF2-40B4-BE49-F238E27FC236}">
              <a16:creationId xmlns:a16="http://schemas.microsoft.com/office/drawing/2014/main" id="{00000000-0008-0000-1A00-000019000000}"/>
            </a:ext>
          </a:extLst>
        </xdr:cNvPr>
        <xdr:cNvSpPr txBox="1"/>
      </xdr:nvSpPr>
      <xdr:spPr>
        <a:xfrm>
          <a:off x="228600" y="9029700"/>
          <a:ext cx="13601700" cy="151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XKS, due to the limitations regarding the power on the 2nd floor, deployment to this floor is restricted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reserved power at XEH is for Virtulisation use</a:t>
          </a:r>
          <a:endParaRPr kumimoji="0" lang="en-GB" sz="2000" b="0" i="0" u="none" strike="noStrike" kern="0" cap="none" spc="0" normalizeH="0" baseline="0" noProof="0">
            <a:ln>
              <a:noFill/>
            </a:ln>
            <a:solidFill>
              <a:srgbClr val="FF0000"/>
            </a:solidFill>
            <a:effectLst/>
            <a:uLnTx/>
            <a:uFillTx/>
            <a:latin typeface="Vodafone Lt" pitchFamily="34" charset="0"/>
            <a:ea typeface="+mn-ea"/>
            <a:cs typeface="+mn-cs"/>
          </a:endParaRPr>
        </a:p>
      </xdr:txBody>
    </xdr:sp>
    <xdr:clientData/>
  </xdr:twoCellAnchor>
  <xdr:twoCellAnchor>
    <xdr:from>
      <xdr:col>9</xdr:col>
      <xdr:colOff>87085</xdr:colOff>
      <xdr:row>13</xdr:row>
      <xdr:rowOff>119743</xdr:rowOff>
    </xdr:from>
    <xdr:to>
      <xdr:col>18</xdr:col>
      <xdr:colOff>326571</xdr:colOff>
      <xdr:row>16</xdr:row>
      <xdr:rowOff>39007</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4887685" y="1935843"/>
          <a:ext cx="5040086" cy="338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Vodafone Lt" pitchFamily="34" charset="0"/>
            </a:rPr>
            <a:t>SITES CLOSED</a:t>
          </a:r>
          <a:r>
            <a:rPr lang="en-GB" sz="2000" baseline="0">
              <a:latin typeface="Vodafone Lt" pitchFamily="34" charset="0"/>
            </a:rPr>
            <a:t> TO NEW CORE DEPLOYMENT</a:t>
          </a:r>
          <a:endParaRPr lang="en-GB" sz="2000">
            <a:latin typeface="Vodafone Lt" pitchFamily="34" charset="0"/>
          </a:endParaRPr>
        </a:p>
      </xdr:txBody>
    </xdr:sp>
    <xdr:clientData/>
  </xdr:twoCellAnchor>
  <xdr:twoCellAnchor>
    <xdr:from>
      <xdr:col>0</xdr:col>
      <xdr:colOff>190500</xdr:colOff>
      <xdr:row>5</xdr:row>
      <xdr:rowOff>12700</xdr:rowOff>
    </xdr:from>
    <xdr:to>
      <xdr:col>25</xdr:col>
      <xdr:colOff>431800</xdr:colOff>
      <xdr:row>63</xdr:row>
      <xdr:rowOff>127000</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155575</xdr:colOff>
      <xdr:row>5</xdr:row>
      <xdr:rowOff>50800</xdr:rowOff>
    </xdr:from>
    <xdr:to>
      <xdr:col>25</xdr:col>
      <xdr:colOff>368300</xdr:colOff>
      <xdr:row>36</xdr:row>
      <xdr:rowOff>38100</xdr:rowOff>
    </xdr:to>
    <xdr:graphicFrame macro="">
      <xdr:nvGraphicFramePr>
        <xdr:cNvPr id="10948836" name="Chart 30">
          <a:extLst>
            <a:ext uri="{FF2B5EF4-FFF2-40B4-BE49-F238E27FC236}">
              <a16:creationId xmlns:a16="http://schemas.microsoft.com/office/drawing/2014/main" id="{00000000-0008-0000-1A00-0000E41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28</xdr:row>
      <xdr:rowOff>12700</xdr:rowOff>
    </xdr:from>
    <xdr:to>
      <xdr:col>1</xdr:col>
      <xdr:colOff>203200</xdr:colOff>
      <xdr:row>36</xdr:row>
      <xdr:rowOff>101600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0200" y="3924300"/>
          <a:ext cx="406400" cy="120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1800">
              <a:latin typeface="Vodafone Lt" panose="020B0606040202020204" pitchFamily="34" charset="0"/>
            </a:rPr>
            <a:t>Power</a:t>
          </a:r>
          <a:r>
            <a:rPr lang="en-GB" sz="1800" baseline="0">
              <a:latin typeface="Vodafone Lt" panose="020B0606040202020204" pitchFamily="34" charset="0"/>
            </a:rPr>
            <a:t> (kW)</a:t>
          </a:r>
          <a:endParaRPr lang="en-GB" sz="1800">
            <a:latin typeface="Vodafone Lt" panose="020B0606040202020204" pitchFamily="34" charset="0"/>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0.30122</cdr:x>
      <cdr:y>0.03555</cdr:y>
    </cdr:from>
    <cdr:to>
      <cdr:x>0.64172</cdr:x>
      <cdr:y>0.08501</cdr:y>
    </cdr:to>
    <cdr:sp macro="" textlink="">
      <cdr:nvSpPr>
        <cdr:cNvPr id="2" name="TextBox 1"/>
        <cdr:cNvSpPr txBox="1"/>
      </cdr:nvSpPr>
      <cdr:spPr>
        <a:xfrm xmlns:a="http://schemas.openxmlformats.org/drawingml/2006/main">
          <a:off x="4089400" y="292100"/>
          <a:ext cx="4622800" cy="406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anose="020B0606040202020204" pitchFamily="34" charset="0"/>
            </a:rPr>
            <a:t>SITES CLOSED TO NEW CORE DEPLOYMENT</a:t>
          </a:r>
        </a:p>
      </cdr:txBody>
    </cdr:sp>
  </cdr:relSizeAnchor>
</c:userShapes>
</file>

<file path=xl/drawings/drawing31.xml><?xml version="1.0" encoding="utf-8"?>
<c:userShapes xmlns:c="http://schemas.openxmlformats.org/drawingml/2006/chart">
  <cdr:relSizeAnchor xmlns:cdr="http://schemas.openxmlformats.org/drawingml/2006/chartDrawing">
    <cdr:from>
      <cdr:x>0.70911</cdr:x>
      <cdr:y>0.3052</cdr:y>
    </cdr:from>
    <cdr:to>
      <cdr:x>0.98255</cdr:x>
      <cdr:y>0.89237</cdr:y>
    </cdr:to>
    <cdr:sp macro="" textlink="">
      <cdr:nvSpPr>
        <cdr:cNvPr id="2" name="TextBox 1"/>
        <cdr:cNvSpPr txBox="1"/>
      </cdr:nvSpPr>
      <cdr:spPr>
        <a:xfrm xmlns:a="http://schemas.openxmlformats.org/drawingml/2006/main">
          <a:off x="4927600" y="1092200"/>
          <a:ext cx="1930400" cy="2082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0.03973</cdr:x>
      <cdr:y>0.88824</cdr:y>
    </cdr:from>
    <cdr:to>
      <cdr:x>0.98938</cdr:x>
      <cdr:y>0.98529</cdr:y>
    </cdr:to>
    <cdr:sp macro="" textlink="">
      <cdr:nvSpPr>
        <cdr:cNvPr id="5" name="TextBox 21"/>
        <cdr:cNvSpPr txBox="1"/>
      </cdr:nvSpPr>
      <cdr:spPr>
        <a:xfrm xmlns:a="http://schemas.openxmlformats.org/drawingml/2006/main">
          <a:off x="156039" y="4110185"/>
          <a:ext cx="3729708" cy="44908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nSpc>
              <a:spcPct val="100000"/>
            </a:lnSpc>
          </a:pPr>
          <a:r>
            <a:rPr lang="en-GB" sz="1400">
              <a:solidFill>
                <a:schemeClr val="dk1"/>
              </a:solidFill>
              <a:effectLst/>
              <a:latin typeface="Vodafone Lt" pitchFamily="34" charset="0"/>
              <a:ea typeface="+mn-ea"/>
              <a:cs typeface="+mn-cs"/>
            </a:rPr>
            <a:t>The max power availabilty </a:t>
          </a:r>
          <a:r>
            <a:rPr lang="en-GB" sz="1400" baseline="0">
              <a:solidFill>
                <a:schemeClr val="dk1"/>
              </a:solidFill>
              <a:effectLst/>
              <a:latin typeface="Vodafone Lt" pitchFamily="34" charset="0"/>
              <a:ea typeface="+mn-ea"/>
              <a:cs typeface="+mn-cs"/>
            </a:rPr>
            <a:t>of each floor is governed by the cooling capability at  N+2</a:t>
          </a:r>
          <a:endParaRPr lang="en-GB" sz="1400">
            <a:effectLst/>
            <a:latin typeface="Vodafone Lt" pitchFamily="34" charset="0"/>
          </a:endParaRPr>
        </a:p>
      </cdr:txBody>
    </cdr:sp>
  </cdr:relSizeAnchor>
  <cdr:relSizeAnchor xmlns:cdr="http://schemas.openxmlformats.org/drawingml/2006/chartDrawing">
    <cdr:from>
      <cdr:x>0.01178</cdr:x>
      <cdr:y>0.33166</cdr:y>
    </cdr:from>
    <cdr:to>
      <cdr:x>0.07328</cdr:x>
      <cdr:y>0.55078</cdr:y>
    </cdr:to>
    <cdr:sp macro="" textlink="">
      <cdr:nvSpPr>
        <cdr:cNvPr id="7" name="TextBox 6"/>
        <cdr:cNvSpPr txBox="1"/>
      </cdr:nvSpPr>
      <cdr:spPr>
        <a:xfrm xmlns:a="http://schemas.openxmlformats.org/drawingml/2006/main">
          <a:off x="48792" y="1524000"/>
          <a:ext cx="254647" cy="100692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itchFamily="34" charset="0"/>
            </a:rPr>
            <a:t>Power (kW)</a:t>
          </a:r>
        </a:p>
      </cdr:txBody>
    </cdr:sp>
  </cdr:relSizeAnchor>
  <cdr:relSizeAnchor xmlns:cdr="http://schemas.openxmlformats.org/drawingml/2006/chartDrawing">
    <cdr:from>
      <cdr:x>0.30169</cdr:x>
      <cdr:y>0.0535</cdr:y>
    </cdr:from>
    <cdr:to>
      <cdr:x>0.7815</cdr:x>
      <cdr:y>0.10294</cdr:y>
    </cdr:to>
    <cdr:sp macro="" textlink="">
      <cdr:nvSpPr>
        <cdr:cNvPr id="8" name="TextBox 7"/>
        <cdr:cNvSpPr txBox="1"/>
      </cdr:nvSpPr>
      <cdr:spPr>
        <a:xfrm xmlns:a="http://schemas.openxmlformats.org/drawingml/2006/main">
          <a:off x="1190625" y="231013"/>
          <a:ext cx="1893584" cy="21348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600">
              <a:latin typeface="Vodafone Lt" pitchFamily="34" charset="0"/>
            </a:rPr>
            <a:t>XKS Power by Floor</a:t>
          </a:r>
        </a:p>
      </cdr:txBody>
    </cdr:sp>
  </cdr:relSizeAnchor>
</c:userShapes>
</file>

<file path=xl/drawings/drawing32.xml><?xml version="1.0" encoding="utf-8"?>
<xdr:wsDr xmlns:xdr="http://schemas.openxmlformats.org/drawingml/2006/spreadsheetDrawing" xmlns:a="http://schemas.openxmlformats.org/drawingml/2006/main">
  <xdr:twoCellAnchor>
    <xdr:from>
      <xdr:col>4</xdr:col>
      <xdr:colOff>381000</xdr:colOff>
      <xdr:row>1</xdr:row>
      <xdr:rowOff>25400</xdr:rowOff>
    </xdr:from>
    <xdr:to>
      <xdr:col>21</xdr:col>
      <xdr:colOff>152400</xdr:colOff>
      <xdr:row>6</xdr:row>
      <xdr:rowOff>127000</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514600" y="165100"/>
          <a:ext cx="883920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latin typeface="Vodafone Lt" pitchFamily="34" charset="0"/>
            </a:rPr>
            <a:t>Non-</a:t>
          </a:r>
          <a:r>
            <a:rPr lang="en-GB" sz="3600" b="1" baseline="0">
              <a:latin typeface="Vodafone Lt" pitchFamily="34" charset="0"/>
            </a:rPr>
            <a:t> </a:t>
          </a:r>
          <a:r>
            <a:rPr lang="en-GB" sz="3600" b="1">
              <a:latin typeface="Vodafone Lt" pitchFamily="34" charset="0"/>
            </a:rPr>
            <a:t>Strategic Core</a:t>
          </a:r>
          <a:r>
            <a:rPr lang="en-GB" sz="3600" b="1" baseline="0">
              <a:latin typeface="Vodafone Lt" pitchFamily="34" charset="0"/>
            </a:rPr>
            <a:t> MTX</a:t>
          </a:r>
          <a:r>
            <a:rPr lang="en-GB" sz="3600" b="1">
              <a:latin typeface="Vodafone Lt" pitchFamily="34" charset="0"/>
            </a:rPr>
            <a:t> Sites -</a:t>
          </a:r>
          <a:r>
            <a:rPr lang="en-GB" sz="3600" b="1" baseline="0">
              <a:latin typeface="Vodafone Lt" pitchFamily="34" charset="0"/>
            </a:rPr>
            <a:t> Plant Usage </a:t>
          </a:r>
          <a:endParaRPr lang="en-GB" sz="3600" b="1">
            <a:latin typeface="Vodafone Lt" pitchFamily="34" charset="0"/>
          </a:endParaRPr>
        </a:p>
      </xdr:txBody>
    </xdr:sp>
    <xdr:clientData/>
  </xdr:twoCellAnchor>
  <xdr:twoCellAnchor>
    <xdr:from>
      <xdr:col>0</xdr:col>
      <xdr:colOff>101600</xdr:colOff>
      <xdr:row>36</xdr:row>
      <xdr:rowOff>25400</xdr:rowOff>
    </xdr:from>
    <xdr:to>
      <xdr:col>14</xdr:col>
      <xdr:colOff>466725</xdr:colOff>
      <xdr:row>65</xdr:row>
      <xdr:rowOff>104775</xdr:rowOff>
    </xdr:to>
    <xdr:graphicFrame macro="">
      <xdr:nvGraphicFramePr>
        <xdr:cNvPr id="10954063" name="Chart 7">
          <a:extLst>
            <a:ext uri="{FF2B5EF4-FFF2-40B4-BE49-F238E27FC236}">
              <a16:creationId xmlns:a16="http://schemas.microsoft.com/office/drawing/2014/main" id="{00000000-0008-0000-1B00-00004F25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44</xdr:row>
      <xdr:rowOff>88900</xdr:rowOff>
    </xdr:from>
    <xdr:to>
      <xdr:col>0</xdr:col>
      <xdr:colOff>520700</xdr:colOff>
      <xdr:row>56</xdr:row>
      <xdr:rowOff>12700</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03200" y="6235700"/>
          <a:ext cx="3175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6</xdr:col>
      <xdr:colOff>266700</xdr:colOff>
      <xdr:row>7</xdr:row>
      <xdr:rowOff>9525</xdr:rowOff>
    </xdr:from>
    <xdr:to>
      <xdr:col>17</xdr:col>
      <xdr:colOff>381000</xdr:colOff>
      <xdr:row>10</xdr:row>
      <xdr:rowOff>9525</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3467100" y="987425"/>
          <a:ext cx="5981700" cy="41910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DC Plant Utilisation</a:t>
          </a:r>
          <a:endParaRPr kumimoji="0" lang="en-GB" sz="2400" b="1"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152400</xdr:colOff>
      <xdr:row>14</xdr:row>
      <xdr:rowOff>114300</xdr:rowOff>
    </xdr:from>
    <xdr:to>
      <xdr:col>1</xdr:col>
      <xdr:colOff>12700</xdr:colOff>
      <xdr:row>26</xdr:row>
      <xdr:rowOff>38100</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152400" y="2070100"/>
          <a:ext cx="39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1</xdr:col>
      <xdr:colOff>444500</xdr:colOff>
      <xdr:row>36</xdr:row>
      <xdr:rowOff>63500</xdr:rowOff>
    </xdr:from>
    <xdr:to>
      <xdr:col>12</xdr:col>
      <xdr:colOff>63500</xdr:colOff>
      <xdr:row>39</xdr:row>
      <xdr:rowOff>76200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977900" y="5092700"/>
          <a:ext cx="5486400" cy="43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AC Plant Utilisation</a:t>
          </a:r>
          <a:endParaRPr kumimoji="0" lang="en-GB" sz="2400" b="1" i="0" u="none" strike="noStrike" kern="0" cap="none" spc="0" normalizeH="0" baseline="0" noProof="0">
            <a:ln>
              <a:noFill/>
            </a:ln>
            <a:solidFill>
              <a:sysClr val="windowText" lastClr="000000"/>
            </a:solidFill>
            <a:effectLst/>
            <a:uLnTx/>
            <a:uFillTx/>
            <a:latin typeface="+mn-lt"/>
            <a:ea typeface="+mn-ea"/>
            <a:cs typeface="+mn-cs"/>
          </a:endParaRPr>
        </a:p>
        <a:p>
          <a:endParaRPr lang="en-GB" sz="1100"/>
        </a:p>
      </xdr:txBody>
    </xdr:sp>
    <xdr:clientData/>
  </xdr:twoCellAnchor>
  <xdr:twoCellAnchor>
    <xdr:from>
      <xdr:col>0</xdr:col>
      <xdr:colOff>127000</xdr:colOff>
      <xdr:row>66</xdr:row>
      <xdr:rowOff>12700</xdr:rowOff>
    </xdr:from>
    <xdr:to>
      <xdr:col>25</xdr:col>
      <xdr:colOff>76200</xdr:colOff>
      <xdr:row>70</xdr:row>
      <xdr:rowOff>76200</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27000" y="9232900"/>
          <a:ext cx="13284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15</xdr:col>
      <xdr:colOff>127000</xdr:colOff>
      <xdr:row>42</xdr:row>
      <xdr:rowOff>25400</xdr:rowOff>
    </xdr:from>
    <xdr:to>
      <xdr:col>24</xdr:col>
      <xdr:colOff>317500</xdr:colOff>
      <xdr:row>63</xdr:row>
      <xdr:rowOff>19307</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8128000" y="5892800"/>
          <a:ext cx="4991100" cy="292760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ts val="25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342900" marR="0" lvl="0" indent="-342900" defTabSz="914400" eaLnBrk="1" fontAlgn="auto" latinLnBrk="0" hangingPunct="1">
            <a:lnSpc>
              <a:spcPts val="25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 reserved figure at XEH is for Virtulisation use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twoCellAnchor>
    <xdr:from>
      <xdr:col>0</xdr:col>
      <xdr:colOff>101600</xdr:colOff>
      <xdr:row>7</xdr:row>
      <xdr:rowOff>25400</xdr:rowOff>
    </xdr:from>
    <xdr:to>
      <xdr:col>25</xdr:col>
      <xdr:colOff>139700</xdr:colOff>
      <xdr:row>35</xdr:row>
      <xdr:rowOff>50800</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0.82967</cdr:x>
      <cdr:y>0.01211</cdr:y>
    </cdr:from>
    <cdr:to>
      <cdr:x>0.83411</cdr:x>
      <cdr:y>0.01221</cdr:y>
    </cdr:to>
    <cdr:sp macro="" textlink="">
      <cdr:nvSpPr>
        <cdr:cNvPr id="3" name="TextBox 2"/>
        <cdr:cNvSpPr txBox="1"/>
      </cdr:nvSpPr>
      <cdr:spPr>
        <a:xfrm xmlns:a="http://schemas.openxmlformats.org/drawingml/2006/main">
          <a:off x="2041526" y="88901"/>
          <a:ext cx="84201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2400" b="1">
              <a:latin typeface="Vodafone Lt" pitchFamily="34" charset="0"/>
            </a:rPr>
            <a:t>Non- Strategic Core Sites AC</a:t>
          </a:r>
          <a:r>
            <a:rPr lang="en-GB" sz="2400" b="1" baseline="0">
              <a:latin typeface="Vodafone Lt" pitchFamily="34" charset="0"/>
            </a:rPr>
            <a:t> Plant Utilisation</a:t>
          </a:r>
          <a:endParaRPr lang="en-GB" sz="2400" b="1">
            <a:latin typeface="Vodafone Lt" pitchFamily="34" charset="0"/>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0.0095</cdr:x>
      <cdr:y>0.28333</cdr:y>
    </cdr:from>
    <cdr:to>
      <cdr:x>0.02944</cdr:x>
      <cdr:y>0.71667</cdr:y>
    </cdr:to>
    <cdr:sp macro="" textlink="">
      <cdr:nvSpPr>
        <cdr:cNvPr id="2" name="TextBox 1"/>
        <cdr:cNvSpPr txBox="1"/>
      </cdr:nvSpPr>
      <cdr:spPr>
        <a:xfrm xmlns:a="http://schemas.openxmlformats.org/drawingml/2006/main">
          <a:off x="127000" y="1079500"/>
          <a:ext cx="266700" cy="1651000"/>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Power (kW)</a:t>
          </a:r>
        </a:p>
      </cdr:txBody>
    </cdr:sp>
  </cdr:relSizeAnchor>
  <cdr:relSizeAnchor xmlns:cdr="http://schemas.openxmlformats.org/drawingml/2006/chartDrawing">
    <cdr:from>
      <cdr:x>0.29535</cdr:x>
      <cdr:y>0.02333</cdr:y>
    </cdr:from>
    <cdr:to>
      <cdr:x>0.69611</cdr:x>
      <cdr:y>0.14</cdr:y>
    </cdr:to>
    <cdr:sp macro="" textlink="">
      <cdr:nvSpPr>
        <cdr:cNvPr id="3" name="TextBox 2"/>
        <cdr:cNvSpPr txBox="1"/>
      </cdr:nvSpPr>
      <cdr:spPr>
        <a:xfrm xmlns:a="http://schemas.openxmlformats.org/drawingml/2006/main">
          <a:off x="3949700" y="88900"/>
          <a:ext cx="5359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Non- Strategic Core Sites DC Plant Utilisation</a:t>
          </a:r>
        </a:p>
      </cdr:txBody>
    </cdr:sp>
  </cdr:relSizeAnchor>
</c:userShapes>
</file>

<file path=xl/drawings/drawing35.xml><?xml version="1.0" encoding="utf-8"?>
<xdr:wsDr xmlns:xdr="http://schemas.openxmlformats.org/drawingml/2006/spreadsheetDrawing" xmlns:a="http://schemas.openxmlformats.org/drawingml/2006/main">
  <xdr:twoCellAnchor>
    <xdr:from>
      <xdr:col>3</xdr:col>
      <xdr:colOff>279400</xdr:colOff>
      <xdr:row>1</xdr:row>
      <xdr:rowOff>0</xdr:rowOff>
    </xdr:from>
    <xdr:to>
      <xdr:col>23</xdr:col>
      <xdr:colOff>88900</xdr:colOff>
      <xdr:row>6</xdr:row>
      <xdr:rowOff>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879600" y="142875"/>
          <a:ext cx="10477500"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- 12 Month Power Usage</a:t>
          </a:r>
        </a:p>
        <a:p>
          <a:endParaRPr lang="en-GB" sz="1100"/>
        </a:p>
      </xdr:txBody>
    </xdr:sp>
    <xdr:clientData/>
  </xdr:twoCellAnchor>
  <xdr:twoCellAnchor>
    <xdr:from>
      <xdr:col>0</xdr:col>
      <xdr:colOff>365122</xdr:colOff>
      <xdr:row>53</xdr:row>
      <xdr:rowOff>111125</xdr:rowOff>
    </xdr:from>
    <xdr:to>
      <xdr:col>27</xdr:col>
      <xdr:colOff>412750</xdr:colOff>
      <xdr:row>74</xdr:row>
      <xdr:rowOff>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365122" y="7683500"/>
          <a:ext cx="14620878" cy="2889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0" fontAlgn="base" latinLnBrk="0" hangingPunct="0">
            <a:lnSpc>
              <a:spcPts val="16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usage figures on AC plants are included in the DC figures as AC power is derived from the DC plants</a:t>
          </a:r>
        </a:p>
        <a:p>
          <a:pPr marL="0" marR="0" lvl="0" indent="0" defTabSz="914400" rtl="0" eaLnBrk="0" fontAlgn="base" latinLnBrk="0" hangingPunct="0">
            <a:lnSpc>
              <a:spcPts val="16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 decrease of 22kW in power usage across Non- Strategic Core MTX sites.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forecast and reserved figures predict an increase of 158kW, resulting in a increase of 136kW year on year</a:t>
          </a: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Power  Decreases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downs of RNC, BSC and CBX elements along with the power down and closure of the basement have contibuted to        power decrease figures at XKS</a:t>
          </a:r>
        </a:p>
        <a:p>
          <a:pPr marL="0" marR="0" lvl="0" indent="0" defTabSz="914400" rtl="0" eaLnBrk="0" fontAlgn="base" latinLnBrk="0" hangingPunct="0">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XSY, the reserved figures include 4kW for CSDB (installed HLR cab not due to be powered on until 2018)</a:t>
          </a:r>
        </a:p>
        <a:p>
          <a:pPr marL="0" marR="0" lvl="0" indent="0" defTabSz="914400" rtl="0" eaLnBrk="0" fontAlgn="base" latinLnBrk="0" hangingPunct="0">
            <a:lnSpc>
              <a:spcPts val="29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a:p>
          <a:pPr marL="171450" marR="0" lvl="0" indent="-171450" defTabSz="914400" rtl="0" eaLnBrk="0" fontAlgn="base" latinLnBrk="0" hangingPunct="0">
            <a:lnSpc>
              <a:spcPts val="29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ts val="7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a:lnSpc>
              <a:spcPts val="700"/>
            </a:lnSpc>
          </a:pPr>
          <a:endParaRPr lang="en-GB" sz="1100"/>
        </a:p>
      </xdr:txBody>
    </xdr:sp>
    <xdr:clientData/>
  </xdr:twoCellAnchor>
  <xdr:twoCellAnchor>
    <xdr:from>
      <xdr:col>8</xdr:col>
      <xdr:colOff>368300</xdr:colOff>
      <xdr:row>10</xdr:row>
      <xdr:rowOff>0</xdr:rowOff>
    </xdr:from>
    <xdr:to>
      <xdr:col>18</xdr:col>
      <xdr:colOff>241300</xdr:colOff>
      <xdr:row>12</xdr:row>
      <xdr:rowOff>76200</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4635500" y="1397000"/>
          <a:ext cx="5207000" cy="355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SITES CLOSED TO NEW CORE DEPLOYMENT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485775</xdr:colOff>
      <xdr:row>6</xdr:row>
      <xdr:rowOff>38100</xdr:rowOff>
    </xdr:from>
    <xdr:to>
      <xdr:col>25</xdr:col>
      <xdr:colOff>485775</xdr:colOff>
      <xdr:row>53</xdr:row>
      <xdr:rowOff>66675</xdr:rowOff>
    </xdr:to>
    <xdr:graphicFrame macro="">
      <xdr:nvGraphicFramePr>
        <xdr:cNvPr id="10956952" name="Chart 6">
          <a:extLst>
            <a:ext uri="{FF2B5EF4-FFF2-40B4-BE49-F238E27FC236}">
              <a16:creationId xmlns:a16="http://schemas.microsoft.com/office/drawing/2014/main" id="{00000000-0008-0000-1C00-0000983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0.83849</cdr:x>
      <cdr:y>0.00756</cdr:y>
    </cdr:from>
    <cdr:to>
      <cdr:x>0.84067</cdr:x>
      <cdr:y>0.00857</cdr:y>
    </cdr:to>
    <cdr:sp macro="" textlink="">
      <cdr:nvSpPr>
        <cdr:cNvPr id="3" name="TextBox 2"/>
        <cdr:cNvSpPr txBox="1"/>
      </cdr:nvSpPr>
      <cdr:spPr>
        <a:xfrm xmlns:a="http://schemas.openxmlformats.org/drawingml/2006/main">
          <a:off x="3284277" y="278737"/>
          <a:ext cx="5067700" cy="365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itchFamily="34" charset="0"/>
            </a:rPr>
            <a:t>SITES CLOSED TO NEW CORE DEPLOYMENT</a:t>
          </a:r>
        </a:p>
      </cdr:txBody>
    </cdr:sp>
  </cdr:relSizeAnchor>
  <cdr:relSizeAnchor xmlns:cdr="http://schemas.openxmlformats.org/drawingml/2006/chartDrawing">
    <cdr:from>
      <cdr:x>0.0079</cdr:x>
      <cdr:y>0.3587</cdr:y>
    </cdr:from>
    <cdr:to>
      <cdr:x>0.03621</cdr:x>
      <cdr:y>0.57006</cdr:y>
    </cdr:to>
    <cdr:sp macro="" textlink="">
      <cdr:nvSpPr>
        <cdr:cNvPr id="4" name="TextBox 3"/>
        <cdr:cNvSpPr txBox="1"/>
      </cdr:nvSpPr>
      <cdr:spPr>
        <a:xfrm xmlns:a="http://schemas.openxmlformats.org/drawingml/2006/main">
          <a:off x="104809" y="2533650"/>
          <a:ext cx="375588" cy="1492951"/>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Power (kW)</a:t>
          </a:r>
        </a:p>
      </cdr:txBody>
    </cdr:sp>
  </cdr:relSizeAnchor>
</c:userShapes>
</file>

<file path=xl/drawings/drawing37.xml><?xml version="1.0" encoding="utf-8"?>
<xdr:wsDr xmlns:xdr="http://schemas.openxmlformats.org/drawingml/2006/spreadsheetDrawing" xmlns:a="http://schemas.openxmlformats.org/drawingml/2006/main">
  <xdr:twoCellAnchor>
    <xdr:from>
      <xdr:col>2</xdr:col>
      <xdr:colOff>12700</xdr:colOff>
      <xdr:row>0</xdr:row>
      <xdr:rowOff>79374</xdr:rowOff>
    </xdr:from>
    <xdr:to>
      <xdr:col>24</xdr:col>
      <xdr:colOff>254000</xdr:colOff>
      <xdr:row>4</xdr:row>
      <xdr:rowOff>127000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079500" y="79374"/>
          <a:ext cx="11976100" cy="606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Switchroom </a:t>
          </a:r>
          <a:r>
            <a:rPr lang="en-GB" sz="3600" b="1">
              <a:latin typeface="Vodafone Lt" pitchFamily="34" charset="0"/>
            </a:rPr>
            <a:t>Floor Space Usage </a:t>
          </a:r>
        </a:p>
      </xdr:txBody>
    </xdr:sp>
    <xdr:clientData/>
  </xdr:twoCellAnchor>
  <xdr:twoCellAnchor>
    <xdr:from>
      <xdr:col>0</xdr:col>
      <xdr:colOff>203200</xdr:colOff>
      <xdr:row>67</xdr:row>
      <xdr:rowOff>111125</xdr:rowOff>
    </xdr:from>
    <xdr:to>
      <xdr:col>25</xdr:col>
      <xdr:colOff>482600</xdr:colOff>
      <xdr:row>76</xdr:row>
      <xdr:rowOff>12700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03200" y="9683750"/>
          <a:ext cx="13773150"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600"/>
            </a:spcAft>
            <a:buClrTx/>
            <a:buSzTx/>
            <a:buFontTx/>
            <a:buNone/>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The XKS floorspace figures exclude the caged area on the 3rd floor</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Space has been reserved for new inverter systems at the above sites</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At XEH, space has also been reserved for x15 Virtulistaion cabs</a:t>
          </a:r>
        </a:p>
        <a:p>
          <a:pPr marL="0" marR="0" lvl="0" indent="0" defTabSz="914400" eaLnBrk="1" fontAlgn="auto" latinLnBrk="0" hangingPunct="1">
            <a:lnSpc>
              <a:spcPct val="100000"/>
            </a:lnSpc>
            <a:spcBef>
              <a:spcPts val="0"/>
            </a:spcBef>
            <a:spcAft>
              <a:spcPts val="0"/>
            </a:spcAft>
            <a:buClrTx/>
            <a:buSzTx/>
            <a:buFontTx/>
            <a:buNone/>
            <a:tabLst/>
            <a:defRPr/>
          </a:pPr>
          <a:endParaRPr lang="en-GB"/>
        </a:p>
      </xdr:txBody>
    </xdr:sp>
    <xdr:clientData/>
  </xdr:twoCellAnchor>
  <xdr:twoCellAnchor>
    <xdr:from>
      <xdr:col>0</xdr:col>
      <xdr:colOff>406400</xdr:colOff>
      <xdr:row>31</xdr:row>
      <xdr:rowOff>25400</xdr:rowOff>
    </xdr:from>
    <xdr:to>
      <xdr:col>1</xdr:col>
      <xdr:colOff>292100</xdr:colOff>
      <xdr:row>41</xdr:row>
      <xdr:rowOff>38100</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406400" y="4356100"/>
          <a:ext cx="419100" cy="1409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xdr:txBody>
    </xdr:sp>
    <xdr:clientData/>
  </xdr:twoCellAnchor>
  <xdr:twoCellAnchor>
    <xdr:from>
      <xdr:col>0</xdr:col>
      <xdr:colOff>238125</xdr:colOff>
      <xdr:row>5</xdr:row>
      <xdr:rowOff>47625</xdr:rowOff>
    </xdr:from>
    <xdr:to>
      <xdr:col>26</xdr:col>
      <xdr:colOff>95250</xdr:colOff>
      <xdr:row>66</xdr:row>
      <xdr:rowOff>63500</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127000</xdr:colOff>
      <xdr:row>5</xdr:row>
      <xdr:rowOff>79374</xdr:rowOff>
    </xdr:from>
    <xdr:to>
      <xdr:col>26</xdr:col>
      <xdr:colOff>44450</xdr:colOff>
      <xdr:row>35</xdr:row>
      <xdr:rowOff>95249</xdr:rowOff>
    </xdr:to>
    <xdr:graphicFrame macro="">
      <xdr:nvGraphicFramePr>
        <xdr:cNvPr id="10959038" name="Chart 6">
          <a:extLst>
            <a:ext uri="{FF2B5EF4-FFF2-40B4-BE49-F238E27FC236}">
              <a16:creationId xmlns:a16="http://schemas.microsoft.com/office/drawing/2014/main" id="{00000000-0008-0000-1D00-0000BE38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333374</xdr:colOff>
      <xdr:row>7</xdr:row>
      <xdr:rowOff>111124</xdr:rowOff>
    </xdr:from>
    <xdr:to>
      <xdr:col>17</xdr:col>
      <xdr:colOff>444499</xdr:colOff>
      <xdr:row>10</xdr:row>
      <xdr:rowOff>79374</xdr:rowOff>
    </xdr:to>
    <xdr:sp macro="" textlink="">
      <xdr:nvSpPr>
        <xdr:cNvPr id="5" name="TextBox 4">
          <a:extLst>
            <a:ext uri="{FF2B5EF4-FFF2-40B4-BE49-F238E27FC236}">
              <a16:creationId xmlns:a16="http://schemas.microsoft.com/office/drawing/2014/main" id="{00000000-0008-0000-1D00-000005000000}"/>
            </a:ext>
          </a:extLst>
        </xdr:cNvPr>
        <xdr:cNvSpPr txBox="1"/>
      </xdr:nvSpPr>
      <xdr:spPr>
        <a:xfrm>
          <a:off x="3032124" y="1111249"/>
          <a:ext cx="658812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a typeface="+mn-ea"/>
              <a:cs typeface="+mn-cs"/>
            </a:rPr>
            <a:t>NON- STRATEGIC SITES CLOSED TO NEW CORE DEPLOYMENT</a:t>
          </a:r>
        </a:p>
        <a:p>
          <a:endParaRPr lang="en-GB"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0.00758</cdr:x>
      <cdr:y>0.35455</cdr:y>
    </cdr:from>
    <cdr:to>
      <cdr:x>0.04</cdr:x>
      <cdr:y>0.56385</cdr:y>
    </cdr:to>
    <cdr:sp macro="" textlink="">
      <cdr:nvSpPr>
        <cdr:cNvPr id="4" name="TextBox 3"/>
        <cdr:cNvSpPr txBox="1"/>
      </cdr:nvSpPr>
      <cdr:spPr>
        <a:xfrm xmlns:a="http://schemas.openxmlformats.org/drawingml/2006/main">
          <a:off x="105330" y="3095625"/>
          <a:ext cx="450295" cy="1827447"/>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2000">
              <a:latin typeface="Vodafone Lt" panose="020B0606040202020204" pitchFamily="34" charset="0"/>
            </a:rPr>
            <a:t>Space (</a:t>
          </a:r>
          <a:r>
            <a:rPr lang="en-GB" sz="2000">
              <a:effectLst/>
              <a:latin typeface="Vodafone Lt" panose="020B0606040202020204" pitchFamily="34" charset="0"/>
              <a:ea typeface="+mn-ea"/>
              <a:cs typeface="+mn-cs"/>
            </a:rPr>
            <a:t>m²)</a:t>
          </a:r>
          <a:endParaRPr lang="en-GB" sz="2000">
            <a:effectLst/>
            <a:latin typeface="Vodafone Lt" panose="020B0606040202020204" pitchFamily="34" charset="0"/>
          </a:endParaRPr>
        </a:p>
        <a:p xmlns:a="http://schemas.openxmlformats.org/drawingml/2006/main">
          <a:endParaRPr lang="en-GB" sz="2000"/>
        </a:p>
      </cdr:txBody>
    </cdr:sp>
  </cdr:relSizeAnchor>
</c:userShapes>
</file>

<file path=xl/drawings/drawing39.xml><?xml version="1.0" encoding="utf-8"?>
<c:userShapes xmlns:c="http://schemas.openxmlformats.org/drawingml/2006/chart">
  <cdr:relSizeAnchor xmlns:cdr="http://schemas.openxmlformats.org/drawingml/2006/chartDrawing">
    <cdr:from>
      <cdr:x>0</cdr:x>
      <cdr:y>0.38745</cdr:y>
    </cdr:from>
    <cdr:to>
      <cdr:x>0.07496</cdr:x>
      <cdr:y>0.62984</cdr:y>
    </cdr:to>
    <cdr:sp macro="" textlink="">
      <cdr:nvSpPr>
        <cdr:cNvPr id="2" name="TextBox 1"/>
        <cdr:cNvSpPr txBox="1"/>
      </cdr:nvSpPr>
      <cdr:spPr>
        <a:xfrm xmlns:a="http://schemas.openxmlformats.org/drawingml/2006/main">
          <a:off x="0" y="1666876"/>
          <a:ext cx="317500" cy="104277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anose="020B0606040202020204" pitchFamily="34" charset="0"/>
            </a:rPr>
            <a:t>Space (m</a:t>
          </a:r>
          <a:r>
            <a:rPr lang="en-GB" sz="1400">
              <a:latin typeface="Vodafone Lt" panose="020B0606040202020204" pitchFamily="34" charset="0"/>
              <a:cs typeface="Arial"/>
            </a:rPr>
            <a:t>²)</a:t>
          </a:r>
          <a:endParaRPr lang="en-GB" sz="1400">
            <a:latin typeface="Vodafone Lt" panose="020B0606040202020204" pitchFamily="34" charset="0"/>
          </a:endParaRPr>
        </a:p>
      </cdr:txBody>
    </cdr:sp>
  </cdr:relSizeAnchor>
  <cdr:relSizeAnchor xmlns:cdr="http://schemas.openxmlformats.org/drawingml/2006/chartDrawing">
    <cdr:from>
      <cdr:x>0.02926</cdr:x>
      <cdr:y>0.816</cdr:y>
    </cdr:from>
    <cdr:to>
      <cdr:x>0.97872</cdr:x>
      <cdr:y>0.964</cdr:y>
    </cdr:to>
    <cdr:sp macro="" textlink="">
      <cdr:nvSpPr>
        <cdr:cNvPr id="3" name="TextBox 2"/>
        <cdr:cNvSpPr txBox="1"/>
      </cdr:nvSpPr>
      <cdr:spPr>
        <a:xfrm xmlns:a="http://schemas.openxmlformats.org/drawingml/2006/main">
          <a:off x="139700" y="2590800"/>
          <a:ext cx="4533900" cy="469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0.3632</cdr:x>
      <cdr:y>0.11034</cdr:y>
    </cdr:from>
    <cdr:to>
      <cdr:x>0.84454</cdr:x>
      <cdr:y>0.18953</cdr:y>
    </cdr:to>
    <cdr:sp macro="" textlink="">
      <cdr:nvSpPr>
        <cdr:cNvPr id="6" name="TextBox 5"/>
        <cdr:cNvSpPr txBox="1"/>
      </cdr:nvSpPr>
      <cdr:spPr>
        <a:xfrm xmlns:a="http://schemas.openxmlformats.org/drawingml/2006/main">
          <a:off x="1499105" y="462794"/>
          <a:ext cx="1986731" cy="33213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800">
              <a:latin typeface="Vodafone Lt" panose="020B0606040202020204" pitchFamily="34" charset="0"/>
            </a:rPr>
            <a:t>XKS Space by Floor</a:t>
          </a:r>
        </a:p>
      </cdr:txBody>
    </cdr:sp>
  </cdr:relSizeAnchor>
</c:userShapes>
</file>

<file path=xl/drawings/drawing40.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10962069" name="Chart 1">
          <a:extLst>
            <a:ext uri="{FF2B5EF4-FFF2-40B4-BE49-F238E27FC236}">
              <a16:creationId xmlns:a16="http://schemas.microsoft.com/office/drawing/2014/main" id="{00000000-0008-0000-1E00-000095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006600" y="165100"/>
          <a:ext cx="10985500"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10962071" name="Chart 8">
          <a:extLst>
            <a:ext uri="{FF2B5EF4-FFF2-40B4-BE49-F238E27FC236}">
              <a16:creationId xmlns:a16="http://schemas.microsoft.com/office/drawing/2014/main" id="{00000000-0008-0000-1E00-000097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7</xdr:row>
      <xdr:rowOff>85725</xdr:rowOff>
    </xdr:from>
    <xdr:to>
      <xdr:col>25</xdr:col>
      <xdr:colOff>419100</xdr:colOff>
      <xdr:row>39</xdr:row>
      <xdr:rowOff>66675</xdr:rowOff>
    </xdr:to>
    <xdr:graphicFrame macro="">
      <xdr:nvGraphicFramePr>
        <xdr:cNvPr id="10962072" name="Chart 10">
          <a:extLst>
            <a:ext uri="{FF2B5EF4-FFF2-40B4-BE49-F238E27FC236}">
              <a16:creationId xmlns:a16="http://schemas.microsoft.com/office/drawing/2014/main" id="{00000000-0008-0000-1E00-000098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0.92478</cdr:x>
      <cdr:y>0.17192</cdr:y>
    </cdr:to>
    <cdr:sp macro="" textlink="">
      <cdr:nvSpPr>
        <cdr:cNvPr id="3" name="TextBox 2"/>
        <cdr:cNvSpPr txBox="1"/>
      </cdr:nvSpPr>
      <cdr:spPr>
        <a:xfrm xmlns:a="http://schemas.openxmlformats.org/drawingml/2006/main">
          <a:off x="179615" y="136011"/>
          <a:ext cx="5885687" cy="643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Power Utilisation at Network Aggregation Sites</a:t>
          </a:r>
        </a:p>
      </cdr:txBody>
    </cdr:sp>
  </cdr:relSizeAnchor>
</c:userShapes>
</file>

<file path=xl/drawings/drawing42.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0.22627</cdr:x>
      <cdr:y>0.03054</cdr:y>
    </cdr:from>
    <cdr:to>
      <cdr:x>0.77293</cdr:x>
      <cdr:y>0.17598</cdr:y>
    </cdr:to>
    <cdr:sp macro="" textlink="">
      <cdr:nvSpPr>
        <cdr:cNvPr id="2" name="TextBox 1"/>
        <cdr:cNvSpPr txBox="1"/>
      </cdr:nvSpPr>
      <cdr:spPr>
        <a:xfrm xmlns:a="http://schemas.openxmlformats.org/drawingml/2006/main">
          <a:off x="3075214" y="145697"/>
          <a:ext cx="7429500" cy="69386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MTX Sites </a:t>
          </a:r>
        </a:p>
        <a:p xmlns:a="http://schemas.openxmlformats.org/drawingml/2006/main">
          <a:pPr algn="ctr"/>
          <a:r>
            <a:rPr lang="en-GB" sz="1600" b="1">
              <a:latin typeface="Vodafone Lt" pitchFamily="34" charset="0"/>
            </a:rPr>
            <a:t>(x9 sites for new Core Deployment)</a:t>
          </a:r>
        </a:p>
      </cdr:txBody>
    </cdr:sp>
  </cdr:relSizeAnchor>
</c:userShapes>
</file>

<file path=xl/drawings/drawing44.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006600" y="168275"/>
          <a:ext cx="10985500"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4" name="Chart 8">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8</xdr:row>
      <xdr:rowOff>0</xdr:rowOff>
    </xdr:from>
    <xdr:to>
      <xdr:col>13</xdr:col>
      <xdr:colOff>204108</xdr:colOff>
      <xdr:row>39</xdr:row>
      <xdr:rowOff>66675</xdr:rowOff>
    </xdr:to>
    <xdr:graphicFrame macro="">
      <xdr:nvGraphicFramePr>
        <xdr:cNvPr id="5" name="Chart 10">
          <a:extLst>
            <a:ext uri="{FF2B5EF4-FFF2-40B4-BE49-F238E27FC236}">
              <a16:creationId xmlns:a16="http://schemas.microsoft.com/office/drawing/2014/main" id="{00000000-0008-0000-1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231322</xdr:colOff>
      <xdr:row>8</xdr:row>
      <xdr:rowOff>0</xdr:rowOff>
    </xdr:from>
    <xdr:to>
      <xdr:col>25</xdr:col>
      <xdr:colOff>421822</xdr:colOff>
      <xdr:row>39</xdr:row>
      <xdr:rowOff>68036</xdr:rowOff>
    </xdr:to>
    <xdr:graphicFrame macro="">
      <xdr:nvGraphicFramePr>
        <xdr:cNvPr id="7" name="Chart 10">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0.95062</cdr:x>
      <cdr:y>0.17192</cdr:y>
    </cdr:to>
    <cdr:sp macro="" textlink="">
      <cdr:nvSpPr>
        <cdr:cNvPr id="3" name="TextBox 2"/>
        <cdr:cNvSpPr txBox="1"/>
      </cdr:nvSpPr>
      <cdr:spPr>
        <a:xfrm xmlns:a="http://schemas.openxmlformats.org/drawingml/2006/main">
          <a:off x="179641" y="136012"/>
          <a:ext cx="6055152" cy="643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    Power Utilisation at Network Aggregation Sites</a:t>
          </a:r>
        </a:p>
      </cdr:txBody>
    </cdr:sp>
  </cdr:relSizeAnchor>
</c:userShapes>
</file>

<file path=xl/drawings/drawing46.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7.xml><?xml version="1.0" encoding="utf-8"?>
<c:userShapes xmlns:c="http://schemas.openxmlformats.org/drawingml/2006/chart">
  <cdr:relSizeAnchor xmlns:cdr="http://schemas.openxmlformats.org/drawingml/2006/chartDrawing">
    <cdr:from>
      <cdr:x>0.07184</cdr:x>
      <cdr:y>0.03343</cdr:y>
    </cdr:from>
    <cdr:to>
      <cdr:x>0.94175</cdr:x>
      <cdr:y>0.17887</cdr:y>
    </cdr:to>
    <cdr:sp macro="" textlink="">
      <cdr:nvSpPr>
        <cdr:cNvPr id="2" name="TextBox 1"/>
        <cdr:cNvSpPr txBox="1"/>
      </cdr:nvSpPr>
      <cdr:spPr>
        <a:xfrm xmlns:a="http://schemas.openxmlformats.org/drawingml/2006/main">
          <a:off x="503465" y="157350"/>
          <a:ext cx="6096000" cy="68454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CHE MTX Sites </a:t>
          </a:r>
        </a:p>
      </cdr:txBody>
    </cdr:sp>
  </cdr:relSizeAnchor>
</c:userShapes>
</file>

<file path=xl/drawings/drawing48.xml><?xml version="1.0" encoding="utf-8"?>
<c:userShapes xmlns:c="http://schemas.openxmlformats.org/drawingml/2006/chart">
  <cdr:relSizeAnchor xmlns:cdr="http://schemas.openxmlformats.org/drawingml/2006/chartDrawing">
    <cdr:from>
      <cdr:x>0.00837</cdr:x>
      <cdr:y>0.03634</cdr:y>
    </cdr:from>
    <cdr:to>
      <cdr:x>0.9917</cdr:x>
      <cdr:y>0.21269</cdr:y>
    </cdr:to>
    <cdr:sp macro="" textlink="">
      <cdr:nvSpPr>
        <cdr:cNvPr id="2" name="TextBox 1"/>
        <cdr:cNvSpPr txBox="1"/>
      </cdr:nvSpPr>
      <cdr:spPr>
        <a:xfrm xmlns:a="http://schemas.openxmlformats.org/drawingml/2006/main">
          <a:off x="54882" y="170583"/>
          <a:ext cx="6449332" cy="827900"/>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Non- CHE MTX Sites </a:t>
          </a:r>
        </a:p>
      </cdr:txBody>
    </cdr:sp>
  </cdr:relSizeAnchor>
</c:userShapes>
</file>

<file path=xl/drawings/drawing49.xml><?xml version="1.0" encoding="utf-8"?>
<xdr:wsDr xmlns:xdr="http://schemas.openxmlformats.org/drawingml/2006/spreadsheetDrawing" xmlns:a="http://schemas.openxmlformats.org/drawingml/2006/main">
  <xdr:twoCellAnchor>
    <xdr:from>
      <xdr:col>0</xdr:col>
      <xdr:colOff>133804</xdr:colOff>
      <xdr:row>66</xdr:row>
      <xdr:rowOff>111126</xdr:rowOff>
    </xdr:from>
    <xdr:to>
      <xdr:col>28</xdr:col>
      <xdr:colOff>301626</xdr:colOff>
      <xdr:row>85</xdr:row>
      <xdr:rowOff>31751</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33804" y="9540876"/>
          <a:ext cx="15280822" cy="295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lnSpc>
              <a:spcPct val="100000"/>
            </a:lnSpc>
            <a:spcBef>
              <a:spcPts val="0"/>
            </a:spcBef>
            <a:spcAft>
              <a:spcPts val="500"/>
            </a:spcAft>
            <a:buFontTx/>
            <a:buNone/>
          </a:pPr>
          <a:r>
            <a:rPr lang="en-GB" sz="2000" b="0">
              <a:effectLst/>
              <a:latin typeface="Vodafone Lt" pitchFamily="34" charset="0"/>
            </a:rPr>
            <a:t>Power usage effectiveness (PUE) </a:t>
          </a:r>
          <a:r>
            <a:rPr lang="en-GB" sz="2000">
              <a:effectLst/>
              <a:latin typeface="Vodafone Lt" pitchFamily="34" charset="0"/>
            </a:rPr>
            <a:t>is a measure of how efficiently an</a:t>
          </a:r>
          <a:r>
            <a:rPr lang="en-GB" sz="2000" baseline="0">
              <a:effectLst/>
              <a:latin typeface="Vodafone Lt" pitchFamily="34" charset="0"/>
            </a:rPr>
            <a:t> MTX </a:t>
          </a:r>
          <a:r>
            <a:rPr lang="en-GB" sz="2000">
              <a:effectLst/>
              <a:latin typeface="Vodafone Lt" pitchFamily="34" charset="0"/>
            </a:rPr>
            <a:t>uses its power; specifically, how much of the power is actually used by the technology</a:t>
          </a:r>
          <a:r>
            <a:rPr lang="en-GB" sz="2000" baseline="0">
              <a:effectLst/>
              <a:latin typeface="Vodafone Lt" pitchFamily="34" charset="0"/>
            </a:rPr>
            <a:t> elements </a:t>
          </a:r>
          <a:r>
            <a:rPr lang="en-GB" sz="2000">
              <a:effectLst/>
              <a:latin typeface="Vodafone Lt" pitchFamily="34" charset="0"/>
            </a:rPr>
            <a:t>in contrast to cooling and other overheads</a:t>
          </a:r>
          <a:endParaRPr lang="en-GB" sz="2000">
            <a:solidFill>
              <a:schemeClr val="dk1"/>
            </a:solidFill>
            <a:effectLst/>
            <a:latin typeface="Vodafone Lt" pitchFamily="34" charset="0"/>
            <a:ea typeface="+mn-ea"/>
            <a:cs typeface="+mn-cs"/>
          </a:endParaRPr>
        </a:p>
        <a:p>
          <a:pPr marL="0" indent="0" rtl="0">
            <a:lnSpc>
              <a:spcPct val="100000"/>
            </a:lnSpc>
            <a:spcBef>
              <a:spcPts val="0"/>
            </a:spcBef>
            <a:spcAft>
              <a:spcPts val="500"/>
            </a:spcAft>
            <a:buFontTx/>
            <a:buNone/>
          </a:pPr>
          <a:r>
            <a:rPr lang="en-GB" sz="2000">
              <a:solidFill>
                <a:schemeClr val="dk1"/>
              </a:solidFill>
              <a:effectLst/>
              <a:latin typeface="Vodafone Lt" pitchFamily="34" charset="0"/>
              <a:ea typeface="+mn-ea"/>
              <a:cs typeface="+mn-cs"/>
            </a:rPr>
            <a:t>PUE readings are the average figures taken</a:t>
          </a:r>
          <a:r>
            <a:rPr lang="en-GB" sz="2000" baseline="0">
              <a:solidFill>
                <a:schemeClr val="dk1"/>
              </a:solidFill>
              <a:effectLst/>
              <a:latin typeface="Vodafone Lt" pitchFamily="34" charset="0"/>
              <a:ea typeface="+mn-ea"/>
              <a:cs typeface="+mn-cs"/>
            </a:rPr>
            <a:t> from the Vodafone Building Management System (BMS)</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A PUE value of 1.5 is our current</a:t>
          </a:r>
          <a:r>
            <a:rPr lang="en-GB" sz="2000" baseline="0">
              <a:solidFill>
                <a:sysClr val="windowText" lastClr="000000"/>
              </a:solidFill>
              <a:effectLst/>
              <a:latin typeface="Vodafone Lt" pitchFamily="34" charset="0"/>
              <a:ea typeface="+mn-ea"/>
              <a:cs typeface="+mn-cs"/>
            </a:rPr>
            <a:t> target</a:t>
          </a:r>
          <a:r>
            <a:rPr lang="en-GB" sz="2000">
              <a:solidFill>
                <a:sysClr val="windowText" lastClr="000000"/>
              </a:solidFill>
              <a:effectLst/>
              <a:latin typeface="Vodafone Lt" pitchFamily="34" charset="0"/>
              <a:ea typeface="+mn-ea"/>
              <a:cs typeface="+mn-cs"/>
            </a:rPr>
            <a:t>,</a:t>
          </a:r>
          <a:r>
            <a:rPr lang="en-GB" sz="2000" baseline="0">
              <a:solidFill>
                <a:sysClr val="windowText" lastClr="000000"/>
              </a:solidFill>
              <a:effectLst/>
              <a:latin typeface="Vodafone Lt" pitchFamily="34" charset="0"/>
              <a:ea typeface="+mn-ea"/>
              <a:cs typeface="+mn-cs"/>
            </a:rPr>
            <a:t> t</a:t>
          </a:r>
          <a:r>
            <a:rPr lang="en-GB" sz="2000">
              <a:solidFill>
                <a:sysClr val="windowText" lastClr="000000"/>
              </a:solidFill>
              <a:effectLst/>
              <a:latin typeface="Vodafone Lt" pitchFamily="34" charset="0"/>
              <a:ea typeface="+mn-ea"/>
              <a:cs typeface="+mn-cs"/>
            </a:rPr>
            <a:t>he lower the PUE value, the better the energy efficiency of the MTX</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The building infrastructure that governs the PUE value is controlled by MITIE  </a:t>
          </a:r>
        </a:p>
        <a:p>
          <a:pPr marL="0" indent="0" rtl="0" eaLnBrk="0" fontAlgn="base" hangingPunct="0">
            <a:lnSpc>
              <a:spcPct val="100000"/>
            </a:lnSpc>
            <a:spcBef>
              <a:spcPts val="0"/>
            </a:spcBef>
            <a:spcAft>
              <a:spcPts val="600"/>
            </a:spcAft>
            <a:buFontTx/>
            <a:buNone/>
          </a:pPr>
          <a:endParaRPr lang="en-GB" sz="2000">
            <a:solidFill>
              <a:sysClr val="windowText" lastClr="000000"/>
            </a:solidFill>
            <a:effectLst/>
            <a:latin typeface="Vodafone Lt" pitchFamily="34" charset="0"/>
            <a:ea typeface="+mn-ea"/>
            <a:cs typeface="+mn-cs"/>
          </a:endParaRPr>
        </a:p>
        <a:p>
          <a:pPr marL="0" indent="0" rtl="0" eaLnBrk="0" fontAlgn="base" hangingPunct="0">
            <a:lnSpc>
              <a:spcPts val="6200"/>
            </a:lnSpc>
            <a:spcBef>
              <a:spcPts val="600"/>
            </a:spcBef>
            <a:spcAft>
              <a:spcPts val="600"/>
            </a:spcAft>
            <a:buFontTx/>
            <a:buNone/>
          </a:pPr>
          <a:endParaRPr lang="en-GB" sz="2000">
            <a:solidFill>
              <a:schemeClr val="dk1"/>
            </a:solidFill>
            <a:effectLst/>
            <a:latin typeface="Vodafone Lt" pitchFamily="34" charset="0"/>
            <a:ea typeface="+mn-ea"/>
            <a:cs typeface="+mn-cs"/>
          </a:endParaRPr>
        </a:p>
        <a:p>
          <a:pPr>
            <a:lnSpc>
              <a:spcPts val="300"/>
            </a:lnSpc>
          </a:pPr>
          <a:endParaRPr lang="en-GB" sz="1200">
            <a:latin typeface="Vodafone Rg" pitchFamily="34" charset="0"/>
          </a:endParaRPr>
        </a:p>
      </xdr:txBody>
    </xdr:sp>
    <xdr:clientData/>
  </xdr:twoCellAnchor>
  <xdr:twoCellAnchor>
    <xdr:from>
      <xdr:col>3</xdr:col>
      <xdr:colOff>317500</xdr:colOff>
      <xdr:row>0</xdr:row>
      <xdr:rowOff>0</xdr:rowOff>
    </xdr:from>
    <xdr:to>
      <xdr:col>22</xdr:col>
      <xdr:colOff>203200</xdr:colOff>
      <xdr:row>4</xdr:row>
      <xdr:rowOff>12700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1917700" y="0"/>
          <a:ext cx="100203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Core MTX Sites - Power</a:t>
          </a:r>
          <a:r>
            <a:rPr lang="en-GB" sz="3600" b="1" baseline="0">
              <a:latin typeface="Vodafone Lt" pitchFamily="34" charset="0"/>
            </a:rPr>
            <a:t> Usage Effectiveness (</a:t>
          </a:r>
          <a:r>
            <a:rPr lang="en-GB" sz="3600" b="1">
              <a:latin typeface="Vodafone Lt" pitchFamily="34" charset="0"/>
            </a:rPr>
            <a:t>PUE)</a:t>
          </a:r>
        </a:p>
      </xdr:txBody>
    </xdr:sp>
    <xdr:clientData/>
  </xdr:twoCellAnchor>
  <xdr:twoCellAnchor>
    <xdr:from>
      <xdr:col>0</xdr:col>
      <xdr:colOff>133349</xdr:colOff>
      <xdr:row>36</xdr:row>
      <xdr:rowOff>63500</xdr:rowOff>
    </xdr:from>
    <xdr:to>
      <xdr:col>27</xdr:col>
      <xdr:colOff>47624</xdr:colOff>
      <xdr:row>66</xdr:row>
      <xdr:rowOff>98425</xdr:rowOff>
    </xdr:to>
    <xdr:graphicFrame macro="">
      <xdr:nvGraphicFramePr>
        <xdr:cNvPr id="10966217" name="Chart 8">
          <a:extLst>
            <a:ext uri="{FF2B5EF4-FFF2-40B4-BE49-F238E27FC236}">
              <a16:creationId xmlns:a16="http://schemas.microsoft.com/office/drawing/2014/main" id="{00000000-0008-0000-2000-0000C95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5</xdr:row>
      <xdr:rowOff>95250</xdr:rowOff>
    </xdr:from>
    <xdr:to>
      <xdr:col>27</xdr:col>
      <xdr:colOff>47625</xdr:colOff>
      <xdr:row>35</xdr:row>
      <xdr:rowOff>79375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22</xdr:row>
      <xdr:rowOff>107156</xdr:rowOff>
    </xdr:from>
    <xdr:to>
      <xdr:col>24</xdr:col>
      <xdr:colOff>345281</xdr:colOff>
      <xdr:row>22</xdr:row>
      <xdr:rowOff>107156</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262063" y="3250406"/>
          <a:ext cx="11941968"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107156</xdr:colOff>
      <xdr:row>55</xdr:row>
      <xdr:rowOff>130969</xdr:rowOff>
    </xdr:from>
    <xdr:to>
      <xdr:col>24</xdr:col>
      <xdr:colOff>226219</xdr:colOff>
      <xdr:row>55</xdr:row>
      <xdr:rowOff>130969</xdr:rowOff>
    </xdr:to>
    <xdr:cxnSp macro="">
      <xdr:nvCxnSpPr>
        <xdr:cNvPr id="28" name="Straight Connector 27">
          <a:extLst>
            <a:ext uri="{FF2B5EF4-FFF2-40B4-BE49-F238E27FC236}">
              <a16:creationId xmlns:a16="http://schemas.microsoft.com/office/drawing/2014/main" id="{00000000-0008-0000-2000-00001C000000}"/>
            </a:ext>
          </a:extLst>
        </xdr:cNvPr>
        <xdr:cNvCxnSpPr/>
      </xdr:nvCxnSpPr>
      <xdr:spPr>
        <a:xfrm>
          <a:off x="1178719" y="7989094"/>
          <a:ext cx="11906250"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50.xml><?xml version="1.0" encoding="utf-8"?>
<c:userShapes xmlns:c="http://schemas.openxmlformats.org/drawingml/2006/chart">
  <cdr:relSizeAnchor xmlns:cdr="http://schemas.openxmlformats.org/drawingml/2006/chartDrawing">
    <cdr:from>
      <cdr:x>0.00275</cdr:x>
      <cdr:y>0.39381</cdr:y>
    </cdr:from>
    <cdr:to>
      <cdr:x>0.02995</cdr:x>
      <cdr:y>0.54271</cdr:y>
    </cdr:to>
    <cdr:sp macro="" textlink="">
      <cdr:nvSpPr>
        <cdr:cNvPr id="2" name="TextBox 1"/>
        <cdr:cNvSpPr txBox="1"/>
      </cdr:nvSpPr>
      <cdr:spPr>
        <a:xfrm xmlns:a="http://schemas.openxmlformats.org/drawingml/2006/main">
          <a:off x="38364" y="1650458"/>
          <a:ext cx="379376" cy="624040"/>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anose="020B0606040202020204" pitchFamily="34" charset="0"/>
            </a:rPr>
            <a:t>PUE</a:t>
          </a:r>
        </a:p>
      </cdr:txBody>
    </cdr:sp>
  </cdr:relSizeAnchor>
  <cdr:relSizeAnchor xmlns:cdr="http://schemas.openxmlformats.org/drawingml/2006/chartDrawing">
    <cdr:from>
      <cdr:x>0.31261</cdr:x>
      <cdr:y>0.03715</cdr:y>
    </cdr:from>
    <cdr:to>
      <cdr:x>0.72594</cdr:x>
      <cdr:y>0.13001</cdr:y>
    </cdr:to>
    <cdr:sp macro="" textlink="">
      <cdr:nvSpPr>
        <cdr:cNvPr id="7" name="TextBox 6"/>
        <cdr:cNvSpPr txBox="1"/>
      </cdr:nvSpPr>
      <cdr:spPr>
        <a:xfrm xmlns:a="http://schemas.openxmlformats.org/drawingml/2006/main">
          <a:off x="4454526" y="158749"/>
          <a:ext cx="5889624"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a:t>
          </a:r>
          <a:r>
            <a:rPr lang="en-GB" sz="2000" baseline="0">
              <a:latin typeface="Vodafone Lt" panose="020B0606040202020204" pitchFamily="34" charset="0"/>
            </a:rPr>
            <a:t> SITES CLOSED TO NEW CORE DEPLOYMENT</a:t>
          </a:r>
          <a:endParaRPr lang="en-GB" sz="2000">
            <a:latin typeface="Vodafone Lt" panose="020B0606040202020204" pitchFamily="34" charset="0"/>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0.00781</cdr:x>
      <cdr:y>0.46667</cdr:y>
    </cdr:from>
    <cdr:to>
      <cdr:x>0.0346</cdr:x>
      <cdr:y>0.60741</cdr:y>
    </cdr:to>
    <cdr:sp macro="" textlink="">
      <cdr:nvSpPr>
        <cdr:cNvPr id="2" name="TextBox 1"/>
        <cdr:cNvSpPr txBox="1"/>
      </cdr:nvSpPr>
      <cdr:spPr>
        <a:xfrm xmlns:a="http://schemas.openxmlformats.org/drawingml/2006/main">
          <a:off x="111126" y="2000250"/>
          <a:ext cx="381000" cy="6032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PUE</a:t>
          </a:r>
        </a:p>
      </cdr:txBody>
    </cdr:sp>
  </cdr:relSizeAnchor>
  <cdr:relSizeAnchor xmlns:cdr="http://schemas.openxmlformats.org/drawingml/2006/chartDrawing">
    <cdr:from>
      <cdr:x>0.34375</cdr:x>
      <cdr:y>0.01481</cdr:y>
    </cdr:from>
    <cdr:to>
      <cdr:x>0.69978</cdr:x>
      <cdr:y>0.12593</cdr:y>
    </cdr:to>
    <cdr:sp macro="" textlink="">
      <cdr:nvSpPr>
        <cdr:cNvPr id="3" name="TextBox 2"/>
        <cdr:cNvSpPr txBox="1"/>
      </cdr:nvSpPr>
      <cdr:spPr>
        <a:xfrm xmlns:a="http://schemas.openxmlformats.org/drawingml/2006/main">
          <a:off x="4889500" y="63500"/>
          <a:ext cx="506412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0.32589</cdr:x>
      <cdr:y>0.01852</cdr:y>
    </cdr:from>
    <cdr:to>
      <cdr:x>0.69754</cdr:x>
      <cdr:y>0.11111</cdr:y>
    </cdr:to>
    <cdr:sp macro="" textlink="">
      <cdr:nvSpPr>
        <cdr:cNvPr id="6" name="TextBox 5"/>
        <cdr:cNvSpPr txBox="1"/>
      </cdr:nvSpPr>
      <cdr:spPr>
        <a:xfrm xmlns:a="http://schemas.openxmlformats.org/drawingml/2006/main">
          <a:off x="4635500" y="79374"/>
          <a:ext cx="5286375"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 SITES FOR NEW CORE DEPLOYMENT</a:t>
          </a: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390525</xdr:colOff>
      <xdr:row>5</xdr:row>
      <xdr:rowOff>95249</xdr:rowOff>
    </xdr:from>
    <xdr:to>
      <xdr:col>24</xdr:col>
      <xdr:colOff>444500</xdr:colOff>
      <xdr:row>30</xdr:row>
      <xdr:rowOff>31749</xdr:rowOff>
    </xdr:to>
    <xdr:graphicFrame macro="">
      <xdr:nvGraphicFramePr>
        <xdr:cNvPr id="10969496" name="Chart 3">
          <a:extLst>
            <a:ext uri="{FF2B5EF4-FFF2-40B4-BE49-F238E27FC236}">
              <a16:creationId xmlns:a16="http://schemas.microsoft.com/office/drawing/2014/main" id="{00000000-0008-0000-2100-000098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334576</xdr:colOff>
      <xdr:row>0</xdr:row>
      <xdr:rowOff>142079</xdr:rowOff>
    </xdr:from>
    <xdr:to>
      <xdr:col>24</xdr:col>
      <xdr:colOff>27214</xdr:colOff>
      <xdr:row>5</xdr:row>
      <xdr:rowOff>27213</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395933" y="142079"/>
          <a:ext cx="11367567" cy="633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3600" b="1">
              <a:latin typeface="Vodafone Lt" pitchFamily="34" charset="0"/>
            </a:rPr>
            <a:t>Network</a:t>
          </a:r>
          <a:r>
            <a:rPr lang="en-GB" sz="3600" b="1" baseline="0">
              <a:latin typeface="Vodafone Lt" pitchFamily="34" charset="0"/>
            </a:rPr>
            <a:t> Aggregation </a:t>
          </a:r>
          <a:r>
            <a:rPr lang="en-GB" sz="3600" b="1">
              <a:latin typeface="Vodafone Lt" pitchFamily="34" charset="0"/>
            </a:rPr>
            <a:t>Sites - Power Breakdown</a:t>
          </a:r>
        </a:p>
        <a:p>
          <a:endParaRPr lang="en-GB" sz="1100"/>
        </a:p>
      </xdr:txBody>
    </xdr:sp>
    <xdr:clientData/>
  </xdr:twoCellAnchor>
  <xdr:twoCellAnchor>
    <xdr:from>
      <xdr:col>6</xdr:col>
      <xdr:colOff>274411</xdr:colOff>
      <xdr:row>36</xdr:row>
      <xdr:rowOff>95250</xdr:rowOff>
    </xdr:from>
    <xdr:to>
      <xdr:col>18</xdr:col>
      <xdr:colOff>66903</xdr:colOff>
      <xdr:row>40</xdr:row>
      <xdr:rowOff>39118</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458482" y="5483679"/>
          <a:ext cx="6160635" cy="542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Canal House Computer Room</a:t>
          </a:r>
        </a:p>
      </xdr:txBody>
    </xdr:sp>
    <xdr:clientData/>
  </xdr:twoCellAnchor>
  <xdr:twoCellAnchor>
    <xdr:from>
      <xdr:col>19</xdr:col>
      <xdr:colOff>350385</xdr:colOff>
      <xdr:row>20</xdr:row>
      <xdr:rowOff>105458</xdr:rowOff>
    </xdr:from>
    <xdr:to>
      <xdr:col>24</xdr:col>
      <xdr:colOff>136071</xdr:colOff>
      <xdr:row>29</xdr:row>
      <xdr:rowOff>81642</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10433278" y="3099029"/>
          <a:ext cx="2439079" cy="1323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600">
            <a:latin typeface="Vodafone Lt" panose="020B0606040202020204" pitchFamily="34" charset="0"/>
          </a:endParaRPr>
        </a:p>
      </xdr:txBody>
    </xdr:sp>
    <xdr:clientData/>
  </xdr:twoCellAnchor>
  <xdr:twoCellAnchor>
    <xdr:from>
      <xdr:col>0</xdr:col>
      <xdr:colOff>209776</xdr:colOff>
      <xdr:row>66</xdr:row>
      <xdr:rowOff>40821</xdr:rowOff>
    </xdr:from>
    <xdr:to>
      <xdr:col>26</xdr:col>
      <xdr:colOff>27214</xdr:colOff>
      <xdr:row>71</xdr:row>
      <xdr:rowOff>108857</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09776" y="9919607"/>
          <a:ext cx="13615081" cy="816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800" b="0" i="0" u="none" strike="noStrike" kern="0" cap="none" spc="0" normalizeH="0" baseline="0" noProof="0">
              <a:ln>
                <a:noFill/>
              </a:ln>
              <a:solidFill>
                <a:prstClr val="black"/>
              </a:solidFill>
              <a:effectLst/>
              <a:uLnTx/>
              <a:uFillTx/>
              <a:latin typeface="Vodafone Lt" panose="020B0606040202020204" pitchFamily="34" charset="0"/>
            </a:rPr>
            <a:t> </a:t>
          </a:r>
          <a:endParaRPr lang="en-GB" sz="1100"/>
        </a:p>
      </xdr:txBody>
    </xdr:sp>
    <xdr:clientData/>
  </xdr:twoCellAnchor>
  <xdr:twoCellAnchor>
    <xdr:from>
      <xdr:col>0</xdr:col>
      <xdr:colOff>474551</xdr:colOff>
      <xdr:row>30</xdr:row>
      <xdr:rowOff>95250</xdr:rowOff>
    </xdr:from>
    <xdr:to>
      <xdr:col>24</xdr:col>
      <xdr:colOff>231321</xdr:colOff>
      <xdr:row>35</xdr:row>
      <xdr:rowOff>68036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474551" y="4585607"/>
          <a:ext cx="12493056" cy="721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Arial" panose="020B0604020202020204" pitchFamily="34" charset="0"/>
            <a:buNone/>
          </a:pPr>
          <a:r>
            <a:rPr lang="en-GB" sz="1800">
              <a:latin typeface="Vodafone Lt" panose="020B0606040202020204" pitchFamily="34" charset="0"/>
            </a:rPr>
            <a:t> </a:t>
          </a:r>
        </a:p>
      </xdr:txBody>
    </xdr:sp>
    <xdr:clientData/>
  </xdr:twoCellAnchor>
  <xdr:twoCellAnchor>
    <xdr:from>
      <xdr:col>12</xdr:col>
      <xdr:colOff>371475</xdr:colOff>
      <xdr:row>41</xdr:row>
      <xdr:rowOff>73479</xdr:rowOff>
    </xdr:from>
    <xdr:to>
      <xdr:col>25</xdr:col>
      <xdr:colOff>6804</xdr:colOff>
      <xdr:row>65</xdr:row>
      <xdr:rowOff>76200</xdr:rowOff>
    </xdr:to>
    <xdr:graphicFrame macro="">
      <xdr:nvGraphicFramePr>
        <xdr:cNvPr id="10969504" name="Chart 12">
          <a:extLst>
            <a:ext uri="{FF2B5EF4-FFF2-40B4-BE49-F238E27FC236}">
              <a16:creationId xmlns:a16="http://schemas.microsoft.com/office/drawing/2014/main" id="{00000000-0008-0000-2100-0000A0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356507</xdr:colOff>
      <xdr:row>41</xdr:row>
      <xdr:rowOff>78922</xdr:rowOff>
    </xdr:from>
    <xdr:to>
      <xdr:col>12</xdr:col>
      <xdr:colOff>261257</xdr:colOff>
      <xdr:row>65</xdr:row>
      <xdr:rowOff>78922</xdr:rowOff>
    </xdr:to>
    <xdr:graphicFrame macro="">
      <xdr:nvGraphicFramePr>
        <xdr:cNvPr id="10969505" name="Chart 11">
          <a:extLst>
            <a:ext uri="{FF2B5EF4-FFF2-40B4-BE49-F238E27FC236}">
              <a16:creationId xmlns:a16="http://schemas.microsoft.com/office/drawing/2014/main" id="{00000000-0008-0000-2100-0000A1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54430</xdr:colOff>
      <xdr:row>42</xdr:row>
      <xdr:rowOff>40822</xdr:rowOff>
    </xdr:from>
    <xdr:to>
      <xdr:col>8</xdr:col>
      <xdr:colOff>217714</xdr:colOff>
      <xdr:row>45</xdr:row>
      <xdr:rowOff>40822</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177144" y="6327322"/>
          <a:ext cx="2285999" cy="449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Vodafone Lt" panose="020B0606040202020204" pitchFamily="34" charset="0"/>
            </a:rPr>
            <a:t>Floor Space Usage</a:t>
          </a: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0.00286</cdr:x>
      <cdr:y>0.24972</cdr:y>
    </cdr:from>
    <cdr:to>
      <cdr:x>0.03436</cdr:x>
      <cdr:y>0.62785</cdr:y>
    </cdr:to>
    <cdr:sp macro="" textlink="">
      <cdr:nvSpPr>
        <cdr:cNvPr id="4" name="TextBox 2"/>
        <cdr:cNvSpPr txBox="1"/>
      </cdr:nvSpPr>
      <cdr:spPr>
        <a:xfrm xmlns:a="http://schemas.openxmlformats.org/drawingml/2006/main">
          <a:off x="36580" y="918586"/>
          <a:ext cx="402931" cy="1390938"/>
        </a:xfrm>
        <a:prstGeom xmlns:a="http://schemas.openxmlformats.org/drawingml/2006/main" prst="rect">
          <a:avLst/>
        </a:prstGeom>
      </cdr:spPr>
      <cdr:txBody>
        <a:bodyPr xmlns:a="http://schemas.openxmlformats.org/drawingml/2006/main" vertOverflow="clip" vert="vert270" wrap="square" rtlCol="0" anchor="b"/>
        <a:lstStyle xmlns:a="http://schemas.openxmlformats.org/drawingml/2006/main"/>
        <a:p xmlns:a="http://schemas.openxmlformats.org/drawingml/2006/main">
          <a:pPr algn="ctr"/>
          <a:r>
            <a:rPr lang="en-GB" sz="2000">
              <a:latin typeface="Vodafone Lt" pitchFamily="34" charset="0"/>
            </a:rPr>
            <a:t>Power (kW)</a:t>
          </a:r>
        </a:p>
      </cdr:txBody>
    </cdr:sp>
  </cdr:relSizeAnchor>
</c:userShapes>
</file>

<file path=xl/drawings/drawing54.xml><?xml version="1.0" encoding="utf-8"?>
<c:userShapes xmlns:c="http://schemas.openxmlformats.org/drawingml/2006/chart">
  <cdr:relSizeAnchor xmlns:cdr="http://schemas.openxmlformats.org/drawingml/2006/chartDrawing">
    <cdr:from>
      <cdr:x>0.72935</cdr:x>
      <cdr:y>0.66441</cdr:y>
    </cdr:from>
    <cdr:to>
      <cdr:x>0.98144</cdr:x>
      <cdr:y>0.90311</cdr:y>
    </cdr:to>
    <cdr:sp macro="" textlink="">
      <cdr:nvSpPr>
        <cdr:cNvPr id="2" name="TextBox 1"/>
        <cdr:cNvSpPr txBox="1"/>
      </cdr:nvSpPr>
      <cdr:spPr>
        <a:xfrm xmlns:a="http://schemas.openxmlformats.org/drawingml/2006/main">
          <a:off x="4813300" y="2404836"/>
          <a:ext cx="1663700" cy="8639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nSpc>
              <a:spcPts val="1300"/>
            </a:lnSpc>
          </a:pPr>
          <a:r>
            <a:rPr lang="en-GB" sz="1400">
              <a:latin typeface="Vodafone Lt" pitchFamily="34" charset="0"/>
            </a:rPr>
            <a:t>Canal House Computer Room is AC powered from the site UPS</a:t>
          </a:r>
        </a:p>
      </cdr:txBody>
    </cdr:sp>
  </cdr:relSizeAnchor>
  <cdr:relSizeAnchor xmlns:cdr="http://schemas.openxmlformats.org/drawingml/2006/chartDrawing">
    <cdr:from>
      <cdr:x>0.21377</cdr:x>
      <cdr:y>0.01678</cdr:y>
    </cdr:from>
    <cdr:to>
      <cdr:x>0.60553</cdr:x>
      <cdr:y>0.1394</cdr:y>
    </cdr:to>
    <cdr:sp macro="" textlink="">
      <cdr:nvSpPr>
        <cdr:cNvPr id="4" name="TextBox 1"/>
        <cdr:cNvSpPr txBox="1"/>
      </cdr:nvSpPr>
      <cdr:spPr>
        <a:xfrm xmlns:a="http://schemas.openxmlformats.org/drawingml/2006/main">
          <a:off x="1395933" y="60437"/>
          <a:ext cx="2558219" cy="44166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itchFamily="34" charset="0"/>
            </a:rPr>
            <a:t>PDU Utilisation</a:t>
          </a:r>
        </a:p>
      </cdr:txBody>
    </cdr:sp>
  </cdr:relSizeAnchor>
  <cdr:relSizeAnchor xmlns:cdr="http://schemas.openxmlformats.org/drawingml/2006/chartDrawing">
    <cdr:from>
      <cdr:x>0.00835</cdr:x>
      <cdr:y>0.34287</cdr:y>
    </cdr:from>
    <cdr:to>
      <cdr:x>0.0501</cdr:x>
      <cdr:y>0.69215</cdr:y>
    </cdr:to>
    <cdr:sp macro="" textlink="">
      <cdr:nvSpPr>
        <cdr:cNvPr id="6" name="TextBox 1"/>
        <cdr:cNvSpPr txBox="1"/>
      </cdr:nvSpPr>
      <cdr:spPr>
        <a:xfrm xmlns:a="http://schemas.openxmlformats.org/drawingml/2006/main">
          <a:off x="54427" y="1251857"/>
          <a:ext cx="272143" cy="1265464"/>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800">
              <a:latin typeface="Vodafone Lt" pitchFamily="34" charset="0"/>
            </a:rPr>
            <a:t>Power (A)</a:t>
          </a:r>
        </a:p>
      </cdr:txBody>
    </cdr:sp>
  </cdr:relSizeAnchor>
</c:userShapes>
</file>

<file path=xl/drawings/drawing55.xml><?xml version="1.0" encoding="utf-8"?>
<c:userShapes xmlns:c="http://schemas.openxmlformats.org/drawingml/2006/chart">
  <cdr:relSizeAnchor xmlns:cdr="http://schemas.openxmlformats.org/drawingml/2006/chartDrawing">
    <cdr:from>
      <cdr:x>0.00824</cdr:x>
      <cdr:y>0.36061</cdr:y>
    </cdr:from>
    <cdr:to>
      <cdr:x>0.05163</cdr:x>
      <cdr:y>0.7053</cdr:y>
    </cdr:to>
    <cdr:sp macro="" textlink="">
      <cdr:nvSpPr>
        <cdr:cNvPr id="2" name="TextBox 1"/>
        <cdr:cNvSpPr txBox="1"/>
      </cdr:nvSpPr>
      <cdr:spPr>
        <a:xfrm xmlns:a="http://schemas.openxmlformats.org/drawingml/2006/main">
          <a:off x="51690" y="1295416"/>
          <a:ext cx="272160" cy="1238225"/>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Space (m</a:t>
          </a:r>
          <a:r>
            <a:rPr lang="en-GB" sz="1800">
              <a:latin typeface="Vodafone Lt" panose="020B0606040202020204" pitchFamily="34" charset="0"/>
              <a:cs typeface="Arial"/>
            </a:rPr>
            <a:t>²)</a:t>
          </a:r>
          <a:endParaRPr lang="en-GB" sz="1800">
            <a:latin typeface="Vodafone Lt" panose="020B060604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266700</xdr:colOff>
      <xdr:row>1</xdr:row>
      <xdr:rowOff>9525</xdr:rowOff>
    </xdr:from>
    <xdr:to>
      <xdr:col>23</xdr:col>
      <xdr:colOff>482600</xdr:colOff>
      <xdr:row>58</xdr:row>
      <xdr:rowOff>12700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66700" y="149225"/>
          <a:ext cx="12484100" cy="7966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r>
            <a:rPr lang="en-GB" sz="2400" b="1">
              <a:solidFill>
                <a:srgbClr val="FF0000"/>
              </a:solidFill>
              <a:effectLst/>
              <a:latin typeface="Vodafone Lt" pitchFamily="34" charset="0"/>
              <a:ea typeface="+mn-ea"/>
              <a:cs typeface="+mn-cs"/>
            </a:rPr>
            <a:t>Assumptions</a:t>
          </a:r>
        </a:p>
        <a:p>
          <a:endParaRPr lang="en-GB" sz="1400" b="1">
            <a:solidFill>
              <a:schemeClr val="dk1"/>
            </a:solidFill>
            <a:effectLst/>
            <a:latin typeface="Vodafone Rg" pitchFamily="34" charset="0"/>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 both the Space and Power data, removals will only be included once the actual equipment removal is complete</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Likewise, increases in Max Technology Load or Deployed AC or DC Capacity will only be included once the power plant is operational</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Forecast figures are</a:t>
          </a:r>
          <a:r>
            <a:rPr lang="en-GB" sz="2000" baseline="0">
              <a:solidFill>
                <a:schemeClr val="dk1"/>
              </a:solidFill>
              <a:effectLst/>
              <a:latin typeface="Vodafone Lt" pitchFamily="34" charset="0"/>
              <a:ea typeface="+mn-ea"/>
              <a:cs typeface="+mn-cs"/>
            </a:rPr>
            <a:t> based on </a:t>
          </a:r>
          <a:r>
            <a:rPr lang="en-GB" sz="2000">
              <a:solidFill>
                <a:schemeClr val="dk1"/>
              </a:solidFill>
              <a:effectLst/>
              <a:latin typeface="Vodafone Lt" pitchFamily="34" charset="0"/>
              <a:ea typeface="+mn-ea"/>
              <a:cs typeface="+mn-cs"/>
            </a:rPr>
            <a:t>pre-allocated resources, following review via the space and power governance process, for installations or expansion where the details of the requirement are clear. Forecasts are usually only valid for a period of up to 3 months from receipt of the request after which the request must be reviewed again.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Reserved figures are based on </a:t>
          </a:r>
          <a:r>
            <a:rPr lang="en-GB" sz="2000" baseline="0">
              <a:solidFill>
                <a:schemeClr val="dk1"/>
              </a:solidFill>
              <a:effectLst/>
              <a:latin typeface="Vodafone Lt" pitchFamily="34" charset="0"/>
              <a:ea typeface="+mn-ea"/>
              <a:cs typeface="+mn-cs"/>
            </a:rPr>
            <a:t>r</a:t>
          </a:r>
          <a:r>
            <a:rPr lang="en-GB" sz="2000">
              <a:solidFill>
                <a:schemeClr val="dk1"/>
              </a:solidFill>
              <a:effectLst/>
              <a:latin typeface="Vodafone Lt" pitchFamily="34" charset="0"/>
              <a:ea typeface="+mn-ea"/>
              <a:cs typeface="+mn-cs"/>
            </a:rPr>
            <a:t>esources earmarked for future expansion of specific services or infrastructure to prevent their use for other, unrelated, purposes.  This typically applies to resources where no other suitable solution is available to satisfy the future requirement.  Reserved resource status should be reviewed on a 6 monthly basis.</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400" b="1">
              <a:solidFill>
                <a:srgbClr val="FF0000"/>
              </a:solidFill>
              <a:effectLst/>
              <a:latin typeface="Vodafone Lt" pitchFamily="34" charset="0"/>
              <a:ea typeface="+mn-ea"/>
              <a:cs typeface="+mn-cs"/>
            </a:rPr>
            <a:t>For Information</a:t>
          </a:r>
          <a:endParaRPr lang="en-GB" sz="2400">
            <a:solidFill>
              <a:srgbClr val="FF0000"/>
            </a:solidFill>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000">
              <a:solidFill>
                <a:schemeClr val="dk1"/>
              </a:solidFill>
              <a:effectLst/>
              <a:latin typeface="Vodafone Lt" pitchFamily="34" charset="0"/>
              <a:ea typeface="+mn-ea"/>
              <a:cs typeface="+mn-cs"/>
            </a:rPr>
            <a:t>Basingstoke and Kings Cross MTX’s are fitted with 1.25MVA generators but the maximum technology load is still capped at 504kW for XBE (the same as</a:t>
          </a:r>
          <a:r>
            <a:rPr lang="en-GB" sz="2000" baseline="0">
              <a:solidFill>
                <a:schemeClr val="dk1"/>
              </a:solidFill>
              <a:effectLst/>
              <a:latin typeface="Vodafone Lt" pitchFamily="34" charset="0"/>
              <a:ea typeface="+mn-ea"/>
              <a:cs typeface="+mn-cs"/>
            </a:rPr>
            <a:t> </a:t>
          </a:r>
          <a:r>
            <a:rPr lang="en-GB" sz="2000">
              <a:solidFill>
                <a:schemeClr val="dk1"/>
              </a:solidFill>
              <a:effectLst/>
              <a:latin typeface="Vodafone Lt" pitchFamily="34" charset="0"/>
              <a:ea typeface="+mn-ea"/>
              <a:cs typeface="+mn-cs"/>
            </a:rPr>
            <a:t>Gravelly Hill which has 1MVA generators installed), and 450kW for XKS,</a:t>
          </a:r>
          <a:r>
            <a:rPr lang="en-GB" sz="2000" baseline="0">
              <a:solidFill>
                <a:schemeClr val="dk1"/>
              </a:solidFill>
              <a:effectLst/>
              <a:latin typeface="Vodafone Lt" pitchFamily="34" charset="0"/>
              <a:ea typeface="+mn-ea"/>
              <a:cs typeface="+mn-cs"/>
            </a:rPr>
            <a:t> t</a:t>
          </a:r>
          <a:r>
            <a:rPr lang="en-GB" sz="2000">
              <a:solidFill>
                <a:schemeClr val="dk1"/>
              </a:solidFill>
              <a:effectLst/>
              <a:latin typeface="Vodafone Lt" pitchFamily="34" charset="0"/>
              <a:ea typeface="+mn-ea"/>
              <a:cs typeface="+mn-cs"/>
            </a:rPr>
            <a:t>his is due to the additional air conditioning at Kings Cross as a result of the multi-floor arrangement.</a:t>
          </a:r>
        </a:p>
        <a:p>
          <a:pPr marL="0" marR="0" indent="0" defTabSz="914400" rtl="0" eaLnBrk="1" fontAlgn="auto" latinLnBrk="0" hangingPunct="1">
            <a:lnSpc>
              <a:spcPct val="100000"/>
            </a:lnSpc>
            <a:spcBef>
              <a:spcPts val="0"/>
            </a:spcBef>
            <a:spcAft>
              <a:spcPts val="0"/>
            </a:spcAft>
            <a:buClrTx/>
            <a:buSzTx/>
            <a:buFontTx/>
            <a:buNone/>
            <a:tabLst/>
            <a:defRPr/>
          </a:pPr>
          <a:endParaRPr lang="en-GB" sz="2000">
            <a:solidFill>
              <a:schemeClr val="dk1"/>
            </a:solidFill>
            <a:effectLst/>
            <a:latin typeface="Vodafone Lt"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DCFCE0B/03%20Mar%2018%20Plant%20power%20loading(Dulu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EAKEL/AppData/Local/Microsoft/Windows/INetCache/Content.Outlook/3BNZ8OS6/Copy%20of%2005%20May%2019%20Plant%20power%20loading%20(Dulu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4%20Apr%2021%20MTX%20Site%20Capacity%20(Dulux).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InfrastructureDelivery462/Shared%20Documents/00%20Project%20Documents/00%20Network/NFV%20FY22_23/Power%20Info/NFV%20ORMT%20Power%20ORMT_SAP_220628_4_1123566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AKEL\AppData\Local\Microsoft\Windows\INetCache\Content.Outlook\NCF9CAE8\2021%2003%20Mar%2021%20MTX%20Site%20Capacity%20(Dulu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8%20Network%20Sites%20Power%20Distribution%20Records/MTX%20Sites/XGL/XGL001%20UPS_PDU_GIS_Migration_Template_V1.xlsx" TargetMode="External"/></Relationships>
</file>

<file path=xl/externalLinks/_rels/externalLink8.xml.rels><?xml version="1.0" encoding="UTF-8" standalone="yes"?>
<Relationships xmlns="http://schemas.openxmlformats.org/package/2006/relationships"><Relationship Id="rId2" Type="http://schemas.microsoft.com/office/2019/04/relationships/externalLinkLongPath" Target="/sites/InfrastructureDelivery462/Shared%20Documents/01%20Site%20Information/08%20Network%20Sites%20Power%20Distribution%20Records/Thames%20Valley/Bracknell%20Sterling/BKLN06/BKLN06%20UPS_PDU_GIS_Migration_Template_V1.xlsx?3C6AFAD0" TargetMode="External"/><Relationship Id="rId1" Type="http://schemas.openxmlformats.org/officeDocument/2006/relationships/externalLinkPath" Target="file:///\\3C6AFAD0\BKLN06%20UPS_PDU_GIS_Migration_Template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ECO Mode"/>
      <sheetName val="Dual Running Anaylsis"/>
      <sheetName val="Building Capability"/>
      <sheetName val="Power figures"/>
      <sheetName val="PUE Values"/>
      <sheetName val="Rolling Figs"/>
      <sheetName val="Cab Floorspace"/>
      <sheetName val="Floorspace Calc"/>
      <sheetName val="Dual Running"/>
      <sheetName val="Copy Battery Log (2)"/>
      <sheetName val="MORAN Analysis 05072013"/>
      <sheetName val="Energy Improvements"/>
      <sheetName val="Rectifier Reduction"/>
      <sheetName val="Plant readings"/>
      <sheetName val="New 12 Monthly"/>
      <sheetName val="New Format Graphs"/>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Building Capability"/>
      <sheetName val="Power figures"/>
      <sheetName val="Cab Floorspace"/>
      <sheetName val="Floorspace Calc"/>
      <sheetName val="Plant readings"/>
      <sheetName val="Graphs"/>
      <sheetName val="12 Monthly Graph"/>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ower figures"/>
      <sheetName val="Cab Floorspace"/>
      <sheetName val="Floorspace Calc"/>
      <sheetName val="Plant readings"/>
      <sheetName val="Graphs"/>
      <sheetName val="12 Monthly Graph"/>
      <sheetName val="Exec Graphs (2)"/>
      <sheetName val="AirCon"/>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4">
          <cell r="W4" t="str">
            <v>Dell S5248F</v>
          </cell>
        </row>
        <row r="5">
          <cell r="W5" t="str">
            <v>Dell S5248F</v>
          </cell>
        </row>
        <row r="6">
          <cell r="W6" t="str">
            <v>Dell S5248F</v>
          </cell>
        </row>
        <row r="7">
          <cell r="W7" t="str">
            <v>Dell S5248F</v>
          </cell>
        </row>
        <row r="8">
          <cell r="W8" t="str">
            <v>Dell S5248F</v>
          </cell>
        </row>
        <row r="9">
          <cell r="W9" t="str">
            <v>Dell S5248F</v>
          </cell>
        </row>
        <row r="10">
          <cell r="W10" t="str">
            <v>Dell S5248F</v>
          </cell>
        </row>
        <row r="11">
          <cell r="W11" t="str">
            <v>Dell S5248F</v>
          </cell>
        </row>
        <row r="15">
          <cell r="W15" t="str">
            <v>Dell S5248F</v>
          </cell>
        </row>
        <row r="16">
          <cell r="W16" t="str">
            <v>Dell S5248F</v>
          </cell>
        </row>
        <row r="17">
          <cell r="W17" t="str">
            <v>Dell S5248F</v>
          </cell>
        </row>
        <row r="18">
          <cell r="W18" t="str">
            <v>Dell S5248F</v>
          </cell>
        </row>
        <row r="19">
          <cell r="W19" t="str">
            <v>Dell S5248F</v>
          </cell>
        </row>
        <row r="20">
          <cell r="W20" t="str">
            <v>Dell S5248F</v>
          </cell>
        </row>
        <row r="21">
          <cell r="W21" t="str">
            <v>Dell S5248F</v>
          </cell>
        </row>
        <row r="22">
          <cell r="W22" t="str">
            <v>Dell S5248F</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lant Loading Property Report"/>
      <sheetName val="Power figures"/>
      <sheetName val="Cab Floorspace"/>
      <sheetName val="Floorspace Calc"/>
      <sheetName val="Plant readings"/>
      <sheetName val="Graphs"/>
      <sheetName val="12 Monthly Graph"/>
      <sheetName val="AirCon"/>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refreshError="1"/>
      <sheetData sheetId="1" refreshError="1"/>
      <sheetData sheetId="2" refreshError="1"/>
      <sheetData sheetId="3" refreshError="1"/>
      <sheetData sheetId="4" refreshError="1"/>
      <sheetData sheetId="5" refreshError="1"/>
      <sheetData sheetId="6">
        <row r="19">
          <cell r="B19" t="str">
            <v>Inverter Usage (kW)</v>
          </cell>
          <cell r="C19" t="str">
            <v>DC Usage (kW)</v>
          </cell>
          <cell r="D19" t="str">
            <v>Reserved (kW)</v>
          </cell>
          <cell r="E19" t="str">
            <v>Forecast (kW)</v>
          </cell>
          <cell r="F19" t="str">
            <v>Power Capability  (kW)</v>
          </cell>
        </row>
        <row r="28">
          <cell r="A28" t="str">
            <v>XCY</v>
          </cell>
          <cell r="B28">
            <v>18.53</v>
          </cell>
          <cell r="C28">
            <v>133.36150000000001</v>
          </cell>
          <cell r="D28">
            <v>0</v>
          </cell>
          <cell r="E28">
            <v>7.7389999999999999</v>
          </cell>
          <cell r="F28">
            <v>155.36950000000002</v>
          </cell>
        </row>
        <row r="29">
          <cell r="A29" t="str">
            <v>XER</v>
          </cell>
          <cell r="B29">
            <v>7.6300000000000008</v>
          </cell>
          <cell r="C29">
            <v>106.384</v>
          </cell>
          <cell r="D29">
            <v>0</v>
          </cell>
          <cell r="E29">
            <v>1.5232000000000001</v>
          </cell>
          <cell r="F29">
            <v>184.46279999999999</v>
          </cell>
        </row>
        <row r="30">
          <cell r="A30" t="str">
            <v>XKS
1st floor</v>
          </cell>
          <cell r="B30">
            <v>0</v>
          </cell>
          <cell r="C30">
            <v>48.668500000000002</v>
          </cell>
          <cell r="D30">
            <v>0</v>
          </cell>
          <cell r="E30">
            <v>0</v>
          </cell>
          <cell r="F30">
            <v>112.33150000000001</v>
          </cell>
        </row>
        <row r="31">
          <cell r="A31" t="str">
            <v>XKS
2nd floor</v>
          </cell>
          <cell r="B31">
            <v>52.320000000000007</v>
          </cell>
          <cell r="C31">
            <v>58.532999999999987</v>
          </cell>
          <cell r="D31">
            <v>0</v>
          </cell>
          <cell r="E31">
            <v>0</v>
          </cell>
          <cell r="F31">
            <v>50.147000000000006</v>
          </cell>
        </row>
        <row r="32">
          <cell r="A32" t="str">
            <v>XKS
3rd floor</v>
          </cell>
          <cell r="B32">
            <v>0</v>
          </cell>
          <cell r="C32">
            <v>25.996500000000001</v>
          </cell>
          <cell r="D32">
            <v>0</v>
          </cell>
          <cell r="E32">
            <v>0</v>
          </cell>
          <cell r="F32">
            <v>135.0035</v>
          </cell>
        </row>
        <row r="33">
          <cell r="A33" t="str">
            <v>XRM</v>
          </cell>
          <cell r="B33">
            <v>8.7200000000000006</v>
          </cell>
          <cell r="C33">
            <v>131.89000000000001</v>
          </cell>
          <cell r="D33">
            <v>0</v>
          </cell>
          <cell r="E33">
            <v>12.262499999999999</v>
          </cell>
          <cell r="F33">
            <v>162.12749999999997</v>
          </cell>
        </row>
        <row r="34">
          <cell r="A34" t="str">
            <v>XSN</v>
          </cell>
          <cell r="B34">
            <v>9.81</v>
          </cell>
          <cell r="C34">
            <v>122.84299999999999</v>
          </cell>
          <cell r="D34">
            <v>0</v>
          </cell>
          <cell r="E34">
            <v>18.966000000000001</v>
          </cell>
          <cell r="F34">
            <v>148.381</v>
          </cell>
        </row>
        <row r="35">
          <cell r="A35" t="str">
            <v>XSY</v>
          </cell>
          <cell r="B35">
            <v>7.6300000000000008</v>
          </cell>
          <cell r="C35">
            <v>136.52250000000001</v>
          </cell>
          <cell r="D35">
            <v>0</v>
          </cell>
          <cell r="E35">
            <v>1.417</v>
          </cell>
          <cell r="F35">
            <v>158.93049999999999</v>
          </cell>
        </row>
      </sheetData>
      <sheetData sheetId="7">
        <row r="21">
          <cell r="J21" t="str">
            <v xml:space="preserve">Used (m²) </v>
          </cell>
          <cell r="K21" t="str">
            <v>Reserved (m²)</v>
          </cell>
          <cell r="L21" t="str">
            <v xml:space="preserve">Forecast (m²) </v>
          </cell>
          <cell r="O21" t="str">
            <v xml:space="preserve">Remaining (m²) </v>
          </cell>
        </row>
      </sheetData>
      <sheetData sheetId="8" refreshError="1"/>
      <sheetData sheetId="9" refreshError="1"/>
      <sheetData sheetId="10" refreshError="1"/>
      <sheetData sheetId="11">
        <row r="1">
          <cell r="C1" t="str">
            <v>Load (kW)</v>
          </cell>
          <cell r="D1" t="str">
            <v>Power Capability (kW)</v>
          </cell>
        </row>
        <row r="2">
          <cell r="A2" t="str">
            <v>XBE</v>
          </cell>
          <cell r="B2">
            <v>43862</v>
          </cell>
          <cell r="C2">
            <v>368.31099999999998</v>
          </cell>
          <cell r="D2">
            <v>135.68900000000002</v>
          </cell>
        </row>
        <row r="3">
          <cell r="B3">
            <v>43891</v>
          </cell>
          <cell r="C3">
            <v>369</v>
          </cell>
          <cell r="D3">
            <v>135</v>
          </cell>
        </row>
        <row r="4">
          <cell r="B4">
            <v>43922</v>
          </cell>
          <cell r="C4">
            <v>368.96499999999997</v>
          </cell>
          <cell r="D4">
            <v>135.03500000000003</v>
          </cell>
        </row>
        <row r="5">
          <cell r="B5">
            <v>43952</v>
          </cell>
          <cell r="C5">
            <v>375.0145</v>
          </cell>
          <cell r="D5">
            <v>128.9855</v>
          </cell>
        </row>
        <row r="6">
          <cell r="B6">
            <v>43983</v>
          </cell>
          <cell r="C6">
            <v>375.77749999999997</v>
          </cell>
          <cell r="D6">
            <v>128.22250000000003</v>
          </cell>
        </row>
        <row r="7">
          <cell r="B7">
            <v>44013</v>
          </cell>
          <cell r="C7">
            <v>379.75599999999997</v>
          </cell>
          <cell r="D7">
            <v>124.24400000000003</v>
          </cell>
        </row>
        <row r="8">
          <cell r="B8">
            <v>44044</v>
          </cell>
          <cell r="C8">
            <v>381.28199999999998</v>
          </cell>
          <cell r="D8">
            <v>122.71800000000002</v>
          </cell>
        </row>
        <row r="9">
          <cell r="B9">
            <v>44075</v>
          </cell>
          <cell r="C9">
            <v>419.26850000000002</v>
          </cell>
          <cell r="D9">
            <v>84.731499999999983</v>
          </cell>
        </row>
        <row r="10">
          <cell r="B10">
            <v>44105</v>
          </cell>
          <cell r="C10">
            <v>411.4205</v>
          </cell>
          <cell r="D10">
            <v>92.579499999999996</v>
          </cell>
        </row>
        <row r="11">
          <cell r="B11">
            <v>44136</v>
          </cell>
          <cell r="C11">
            <v>411.911</v>
          </cell>
          <cell r="D11">
            <v>92.088999999999999</v>
          </cell>
        </row>
        <row r="12">
          <cell r="B12">
            <v>44166</v>
          </cell>
          <cell r="C12">
            <v>409.45850000000002</v>
          </cell>
          <cell r="D12">
            <v>94.541499999999985</v>
          </cell>
        </row>
        <row r="13">
          <cell r="B13">
            <v>44197</v>
          </cell>
          <cell r="C13">
            <v>412.02</v>
          </cell>
          <cell r="D13">
            <v>91.980000000000018</v>
          </cell>
        </row>
        <row r="14">
          <cell r="B14">
            <v>44228</v>
          </cell>
          <cell r="C14">
            <v>402.21</v>
          </cell>
          <cell r="D14">
            <v>101.79000000000002</v>
          </cell>
        </row>
        <row r="15">
          <cell r="A15" t="str">
            <v>XMS</v>
          </cell>
          <cell r="C15" t="str">
            <v>Load (kW)</v>
          </cell>
          <cell r="D15" t="str">
            <v>Power Capability (kW)</v>
          </cell>
        </row>
        <row r="16">
          <cell r="B16">
            <v>43862</v>
          </cell>
          <cell r="C16">
            <v>344.87599999999998</v>
          </cell>
          <cell r="D16">
            <v>62.124000000000024</v>
          </cell>
        </row>
        <row r="17">
          <cell r="B17">
            <v>43891</v>
          </cell>
          <cell r="C17">
            <v>346</v>
          </cell>
          <cell r="D17">
            <v>61</v>
          </cell>
        </row>
        <row r="18">
          <cell r="B18">
            <v>43922</v>
          </cell>
          <cell r="C18">
            <v>344.65800000000002</v>
          </cell>
          <cell r="D18">
            <v>62.341999999999985</v>
          </cell>
        </row>
        <row r="19">
          <cell r="B19">
            <v>43952</v>
          </cell>
          <cell r="C19">
            <v>346.02050000000003</v>
          </cell>
          <cell r="D19">
            <v>60.979499999999973</v>
          </cell>
        </row>
        <row r="20">
          <cell r="B20">
            <v>43983</v>
          </cell>
          <cell r="C20">
            <v>347.16500000000002</v>
          </cell>
          <cell r="D20">
            <v>59.83499999999998</v>
          </cell>
        </row>
        <row r="21">
          <cell r="B21">
            <v>44013</v>
          </cell>
          <cell r="C21">
            <v>351.19799999999998</v>
          </cell>
          <cell r="D21">
            <v>55.802000000000021</v>
          </cell>
        </row>
        <row r="22">
          <cell r="B22">
            <v>44044</v>
          </cell>
          <cell r="C22">
            <v>352.56049999999999</v>
          </cell>
          <cell r="D22">
            <v>54.43950000000001</v>
          </cell>
        </row>
        <row r="23">
          <cell r="B23">
            <v>44075</v>
          </cell>
          <cell r="C23">
            <v>377.19450000000001</v>
          </cell>
          <cell r="D23">
            <v>29.805499999999995</v>
          </cell>
        </row>
        <row r="24">
          <cell r="B24">
            <v>44105</v>
          </cell>
          <cell r="C24">
            <v>380.13749999999999</v>
          </cell>
          <cell r="D24">
            <v>26.862500000000011</v>
          </cell>
        </row>
        <row r="25">
          <cell r="B25">
            <v>44136</v>
          </cell>
          <cell r="C25">
            <v>383.40750000000003</v>
          </cell>
          <cell r="D25">
            <v>23.592499999999973</v>
          </cell>
        </row>
        <row r="26">
          <cell r="B26">
            <v>44166</v>
          </cell>
          <cell r="C26">
            <v>379.15649999999999</v>
          </cell>
          <cell r="D26">
            <v>27.843500000000006</v>
          </cell>
        </row>
        <row r="27">
          <cell r="B27">
            <v>44197</v>
          </cell>
          <cell r="C27">
            <v>377.46699999999998</v>
          </cell>
          <cell r="D27">
            <v>29.533000000000015</v>
          </cell>
        </row>
        <row r="28">
          <cell r="B28">
            <v>44228</v>
          </cell>
          <cell r="C28">
            <v>380.51900000000001</v>
          </cell>
          <cell r="D28">
            <v>26.480999999999995</v>
          </cell>
        </row>
        <row r="29">
          <cell r="A29" t="str">
            <v>XLD</v>
          </cell>
          <cell r="C29" t="str">
            <v>Load (kW)</v>
          </cell>
          <cell r="D29" t="str">
            <v>Power Capability (kW)</v>
          </cell>
        </row>
        <row r="30">
          <cell r="B30">
            <v>43862</v>
          </cell>
          <cell r="C30">
            <v>309.81799999999998</v>
          </cell>
          <cell r="D30">
            <v>97.182000000000016</v>
          </cell>
        </row>
        <row r="31">
          <cell r="B31">
            <v>43891</v>
          </cell>
          <cell r="C31">
            <v>310</v>
          </cell>
          <cell r="D31">
            <v>97</v>
          </cell>
        </row>
        <row r="32">
          <cell r="B32">
            <v>43922</v>
          </cell>
          <cell r="C32">
            <v>318.15649999999999</v>
          </cell>
          <cell r="D32">
            <v>88.843500000000006</v>
          </cell>
        </row>
        <row r="33">
          <cell r="B33">
            <v>43952</v>
          </cell>
          <cell r="C33">
            <v>317.012</v>
          </cell>
          <cell r="D33">
            <v>89.988</v>
          </cell>
        </row>
        <row r="34">
          <cell r="B34">
            <v>43983</v>
          </cell>
          <cell r="C34">
            <v>322.73450000000003</v>
          </cell>
          <cell r="D34">
            <v>84.265499999999975</v>
          </cell>
        </row>
        <row r="35">
          <cell r="B35">
            <v>44013</v>
          </cell>
          <cell r="C35">
            <v>321.20850000000002</v>
          </cell>
          <cell r="D35">
            <v>85.791499999999985</v>
          </cell>
        </row>
        <row r="36">
          <cell r="B36">
            <v>44044</v>
          </cell>
          <cell r="C36">
            <v>324.642</v>
          </cell>
          <cell r="D36">
            <v>82.358000000000004</v>
          </cell>
        </row>
        <row r="37">
          <cell r="B37">
            <v>44075</v>
          </cell>
          <cell r="C37">
            <v>324.69650000000001</v>
          </cell>
          <cell r="D37">
            <v>82.303499999999985</v>
          </cell>
        </row>
        <row r="38">
          <cell r="B38">
            <v>44105</v>
          </cell>
          <cell r="C38">
            <v>328.40249999999997</v>
          </cell>
          <cell r="D38">
            <v>78.597500000000025</v>
          </cell>
        </row>
        <row r="39">
          <cell r="B39">
            <v>44136</v>
          </cell>
          <cell r="C39">
            <v>376.79849999999999</v>
          </cell>
          <cell r="D39">
            <v>30.20150000000001</v>
          </cell>
        </row>
        <row r="40">
          <cell r="B40">
            <v>44166</v>
          </cell>
          <cell r="C40">
            <v>374.23700000000002</v>
          </cell>
          <cell r="D40">
            <v>32.762999999999977</v>
          </cell>
        </row>
        <row r="41">
          <cell r="B41">
            <v>44197</v>
          </cell>
          <cell r="C41">
            <v>367.37</v>
          </cell>
          <cell r="D41">
            <v>39.629999999999995</v>
          </cell>
        </row>
        <row r="42">
          <cell r="B42">
            <v>44228</v>
          </cell>
          <cell r="C42">
            <v>370.47649999999999</v>
          </cell>
          <cell r="D42">
            <v>36.523500000000013</v>
          </cell>
        </row>
        <row r="43">
          <cell r="A43" t="str">
            <v>XEH</v>
          </cell>
          <cell r="C43" t="str">
            <v>Load (kW)</v>
          </cell>
          <cell r="D43" t="str">
            <v>Power Capability (kW)</v>
          </cell>
        </row>
        <row r="44">
          <cell r="B44">
            <v>43862</v>
          </cell>
          <cell r="C44">
            <v>211.24199999999999</v>
          </cell>
          <cell r="D44">
            <v>50.75800000000001</v>
          </cell>
        </row>
        <row r="45">
          <cell r="B45">
            <v>43891</v>
          </cell>
          <cell r="C45">
            <v>207</v>
          </cell>
          <cell r="D45">
            <v>55</v>
          </cell>
        </row>
        <row r="46">
          <cell r="B46">
            <v>43922</v>
          </cell>
          <cell r="C46">
            <v>208.3535</v>
          </cell>
          <cell r="D46">
            <v>53.646500000000003</v>
          </cell>
        </row>
        <row r="47">
          <cell r="B47">
            <v>43952</v>
          </cell>
          <cell r="C47">
            <v>210.04300000000001</v>
          </cell>
          <cell r="D47">
            <v>51.956999999999994</v>
          </cell>
        </row>
        <row r="48">
          <cell r="B48">
            <v>43983</v>
          </cell>
          <cell r="C48">
            <v>239.364</v>
          </cell>
          <cell r="D48">
            <v>22.635999999999996</v>
          </cell>
        </row>
        <row r="49">
          <cell r="B49">
            <v>44013</v>
          </cell>
          <cell r="C49">
            <v>240</v>
          </cell>
          <cell r="D49">
            <v>22</v>
          </cell>
        </row>
        <row r="50">
          <cell r="B50">
            <v>44044</v>
          </cell>
          <cell r="C50">
            <v>247.04849999999999</v>
          </cell>
          <cell r="D50">
            <v>14.95150000000001</v>
          </cell>
        </row>
        <row r="51">
          <cell r="B51">
            <v>44075</v>
          </cell>
          <cell r="C51">
            <v>246.1765</v>
          </cell>
          <cell r="D51">
            <v>15.823499999999996</v>
          </cell>
        </row>
        <row r="52">
          <cell r="B52">
            <v>44105</v>
          </cell>
          <cell r="C52">
            <v>248.35650000000001</v>
          </cell>
          <cell r="D52">
            <v>13.643499999999989</v>
          </cell>
        </row>
        <row r="53">
          <cell r="B53">
            <v>44136</v>
          </cell>
          <cell r="C53">
            <v>251.46299999999999</v>
          </cell>
          <cell r="D53">
            <v>10.537000000000006</v>
          </cell>
        </row>
        <row r="54">
          <cell r="B54">
            <v>44166</v>
          </cell>
          <cell r="C54">
            <v>249.44649999999999</v>
          </cell>
          <cell r="D54">
            <v>12.553500000000014</v>
          </cell>
        </row>
        <row r="55">
          <cell r="B55">
            <v>44197</v>
          </cell>
          <cell r="C55">
            <v>245.7405</v>
          </cell>
          <cell r="D55">
            <v>132.2595</v>
          </cell>
        </row>
        <row r="56">
          <cell r="B56">
            <v>44228</v>
          </cell>
          <cell r="C56">
            <v>286.452</v>
          </cell>
          <cell r="D56">
            <v>91.548000000000002</v>
          </cell>
        </row>
        <row r="57">
          <cell r="A57" t="str">
            <v>XGL</v>
          </cell>
          <cell r="C57" t="str">
            <v>Load (kW)</v>
          </cell>
          <cell r="D57" t="str">
            <v>Power Capability (kW)</v>
          </cell>
        </row>
        <row r="58">
          <cell r="B58">
            <v>43862</v>
          </cell>
          <cell r="C58">
            <v>267.94550000000004</v>
          </cell>
          <cell r="D58">
            <v>182.05449999999996</v>
          </cell>
        </row>
        <row r="59">
          <cell r="B59">
            <v>43891</v>
          </cell>
          <cell r="C59">
            <v>268</v>
          </cell>
          <cell r="D59">
            <v>182</v>
          </cell>
        </row>
        <row r="60">
          <cell r="B60">
            <v>43922</v>
          </cell>
          <cell r="C60">
            <v>266.85550000000001</v>
          </cell>
          <cell r="D60">
            <v>183.14449999999999</v>
          </cell>
        </row>
        <row r="61">
          <cell r="B61">
            <v>43952</v>
          </cell>
          <cell r="C61">
            <v>265.43849999999998</v>
          </cell>
          <cell r="D61">
            <v>184.56150000000002</v>
          </cell>
        </row>
        <row r="62">
          <cell r="B62">
            <v>43983</v>
          </cell>
          <cell r="C62">
            <v>264.512</v>
          </cell>
          <cell r="D62">
            <v>185.488</v>
          </cell>
        </row>
        <row r="63">
          <cell r="B63">
            <v>44013</v>
          </cell>
          <cell r="C63">
            <v>265.11149999999998</v>
          </cell>
          <cell r="D63">
            <v>184.88850000000002</v>
          </cell>
        </row>
        <row r="64">
          <cell r="B64">
            <v>44044</v>
          </cell>
          <cell r="C64">
            <v>266.52850000000001</v>
          </cell>
          <cell r="D64">
            <v>183.47149999999999</v>
          </cell>
        </row>
        <row r="65">
          <cell r="B65">
            <v>44075</v>
          </cell>
          <cell r="C65">
            <v>267.23699999999997</v>
          </cell>
          <cell r="D65">
            <v>182.76300000000003</v>
          </cell>
        </row>
        <row r="66">
          <cell r="B66">
            <v>44105</v>
          </cell>
          <cell r="C66">
            <v>266.58299999999997</v>
          </cell>
          <cell r="D66">
            <v>183.41700000000003</v>
          </cell>
        </row>
        <row r="67">
          <cell r="B67">
            <v>44136</v>
          </cell>
          <cell r="C67">
            <v>280.75299999999999</v>
          </cell>
          <cell r="D67">
            <v>169.24700000000001</v>
          </cell>
        </row>
        <row r="68">
          <cell r="B68">
            <v>44166</v>
          </cell>
          <cell r="C68">
            <v>289.69100000000003</v>
          </cell>
          <cell r="D68">
            <v>160.30899999999997</v>
          </cell>
        </row>
        <row r="69">
          <cell r="B69">
            <v>44197</v>
          </cell>
          <cell r="C69">
            <v>289.03700000000003</v>
          </cell>
          <cell r="D69">
            <v>160.96299999999997</v>
          </cell>
        </row>
        <row r="70">
          <cell r="B70">
            <v>44228</v>
          </cell>
          <cell r="C70">
            <v>299.82799999999997</v>
          </cell>
          <cell r="D70">
            <v>150.17200000000003</v>
          </cell>
        </row>
        <row r="71">
          <cell r="A71" t="str">
            <v>XGR</v>
          </cell>
          <cell r="C71" t="str">
            <v>Load (kW)</v>
          </cell>
          <cell r="D71" t="str">
            <v>Power Capability (kW)</v>
          </cell>
        </row>
        <row r="72">
          <cell r="B72">
            <v>43862</v>
          </cell>
          <cell r="C72">
            <v>146</v>
          </cell>
          <cell r="D72">
            <v>154</v>
          </cell>
        </row>
        <row r="73">
          <cell r="B73">
            <v>43891</v>
          </cell>
          <cell r="C73">
            <v>147</v>
          </cell>
          <cell r="D73">
            <v>153</v>
          </cell>
        </row>
        <row r="74">
          <cell r="B74">
            <v>43922</v>
          </cell>
          <cell r="C74">
            <v>147</v>
          </cell>
          <cell r="D74">
            <v>153</v>
          </cell>
        </row>
        <row r="75">
          <cell r="B75">
            <v>43952</v>
          </cell>
          <cell r="C75">
            <v>147</v>
          </cell>
          <cell r="D75">
            <v>153</v>
          </cell>
        </row>
        <row r="76">
          <cell r="B76">
            <v>43983</v>
          </cell>
          <cell r="C76">
            <v>145</v>
          </cell>
          <cell r="D76">
            <v>155</v>
          </cell>
        </row>
        <row r="77">
          <cell r="B77">
            <v>44013</v>
          </cell>
          <cell r="C77">
            <v>145</v>
          </cell>
          <cell r="D77">
            <v>155</v>
          </cell>
        </row>
        <row r="78">
          <cell r="B78">
            <v>44044</v>
          </cell>
          <cell r="C78">
            <v>146</v>
          </cell>
          <cell r="D78">
            <v>154</v>
          </cell>
        </row>
        <row r="79">
          <cell r="B79">
            <v>44075</v>
          </cell>
          <cell r="C79">
            <v>147</v>
          </cell>
          <cell r="D79">
            <v>153</v>
          </cell>
        </row>
        <row r="80">
          <cell r="B80">
            <v>44105</v>
          </cell>
          <cell r="C80">
            <v>147</v>
          </cell>
          <cell r="D80">
            <v>153</v>
          </cell>
        </row>
        <row r="81">
          <cell r="B81">
            <v>44136</v>
          </cell>
          <cell r="C81">
            <v>146</v>
          </cell>
          <cell r="D81">
            <v>154</v>
          </cell>
        </row>
        <row r="82">
          <cell r="B82">
            <v>44166</v>
          </cell>
          <cell r="C82">
            <v>146</v>
          </cell>
          <cell r="D82">
            <v>154</v>
          </cell>
        </row>
        <row r="83">
          <cell r="B83">
            <v>44197</v>
          </cell>
          <cell r="C83">
            <v>156</v>
          </cell>
          <cell r="D83">
            <v>144</v>
          </cell>
        </row>
        <row r="84">
          <cell r="B84">
            <v>44228</v>
          </cell>
          <cell r="C84">
            <v>158.70400000000001</v>
          </cell>
          <cell r="D84">
            <v>141.29599999999999</v>
          </cell>
        </row>
        <row r="85">
          <cell r="A85" t="str">
            <v>XOM</v>
          </cell>
          <cell r="C85" t="str">
            <v>Load (kW)</v>
          </cell>
          <cell r="D85" t="str">
            <v>Power Capability (kW)</v>
          </cell>
        </row>
        <row r="86">
          <cell r="B86">
            <v>43862</v>
          </cell>
          <cell r="C86">
            <v>204</v>
          </cell>
          <cell r="D86">
            <v>246</v>
          </cell>
        </row>
        <row r="87">
          <cell r="B87">
            <v>43891</v>
          </cell>
          <cell r="C87">
            <v>205</v>
          </cell>
          <cell r="D87">
            <v>245</v>
          </cell>
        </row>
        <row r="88">
          <cell r="B88">
            <v>43922</v>
          </cell>
          <cell r="C88">
            <v>208</v>
          </cell>
          <cell r="D88">
            <v>242</v>
          </cell>
        </row>
        <row r="89">
          <cell r="B89">
            <v>43952</v>
          </cell>
          <cell r="C89">
            <v>208</v>
          </cell>
          <cell r="D89">
            <v>242</v>
          </cell>
        </row>
        <row r="90">
          <cell r="B90">
            <v>43983</v>
          </cell>
          <cell r="C90">
            <v>204</v>
          </cell>
          <cell r="D90">
            <v>246</v>
          </cell>
        </row>
        <row r="91">
          <cell r="B91">
            <v>44013</v>
          </cell>
          <cell r="C91">
            <v>204</v>
          </cell>
          <cell r="D91">
            <v>246</v>
          </cell>
        </row>
        <row r="92">
          <cell r="B92">
            <v>44044</v>
          </cell>
          <cell r="C92">
            <v>203</v>
          </cell>
          <cell r="D92">
            <v>247</v>
          </cell>
        </row>
        <row r="93">
          <cell r="B93">
            <v>44075</v>
          </cell>
          <cell r="C93">
            <v>203</v>
          </cell>
          <cell r="D93">
            <v>247</v>
          </cell>
        </row>
        <row r="94">
          <cell r="B94">
            <v>44105</v>
          </cell>
          <cell r="C94">
            <v>205</v>
          </cell>
          <cell r="D94">
            <v>245</v>
          </cell>
        </row>
        <row r="95">
          <cell r="B95">
            <v>44136</v>
          </cell>
          <cell r="C95">
            <v>197</v>
          </cell>
          <cell r="D95">
            <v>253</v>
          </cell>
        </row>
        <row r="96">
          <cell r="B96">
            <v>44166</v>
          </cell>
          <cell r="C96">
            <v>209</v>
          </cell>
          <cell r="D96">
            <v>241</v>
          </cell>
        </row>
        <row r="97">
          <cell r="B97">
            <v>44197</v>
          </cell>
          <cell r="C97">
            <v>208</v>
          </cell>
          <cell r="D97">
            <v>242</v>
          </cell>
        </row>
        <row r="98">
          <cell r="B98">
            <v>44228</v>
          </cell>
          <cell r="C98">
            <v>207.42699999999999</v>
          </cell>
          <cell r="D98">
            <v>242.57300000000001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figures"/>
      <sheetName val="Cab Floorspace"/>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1C"/>
      <sheetName val="PDU 1D"/>
      <sheetName val="PDU 2C "/>
      <sheetName val="PDU 2D"/>
      <sheetName val="PDU 3C"/>
      <sheetName val="PDU 3D"/>
      <sheetName val="PDU 4C"/>
      <sheetName val="PDU 4D"/>
      <sheetName val="PDU 6C"/>
      <sheetName val="PDU 6D"/>
      <sheetName val="PDU 8C"/>
      <sheetName val="PDU 8D"/>
      <sheetName val="How To"/>
      <sheetName val="Data"/>
      <sheetName val="Equip list"/>
      <sheetName val="Equip data"/>
      <sheetName val="Sheet1"/>
    </sheetNames>
    <sheetDataSet>
      <sheetData sheetId="0">
        <row r="5">
          <cell r="J5">
            <v>98.38</v>
          </cell>
          <cell r="K5">
            <v>15.3</v>
          </cell>
        </row>
        <row r="6">
          <cell r="J6">
            <v>78.2</v>
          </cell>
          <cell r="K6">
            <v>8</v>
          </cell>
        </row>
        <row r="7">
          <cell r="J7">
            <v>78.339999999999989</v>
          </cell>
          <cell r="K7">
            <v>16</v>
          </cell>
        </row>
        <row r="8">
          <cell r="J8">
            <v>254.91999999999996</v>
          </cell>
          <cell r="K8">
            <v>39.299999999999997</v>
          </cell>
        </row>
      </sheetData>
      <sheetData sheetId="1">
        <row r="5">
          <cell r="J5">
            <v>98.38</v>
          </cell>
          <cell r="K5">
            <v>13.700000000000001</v>
          </cell>
        </row>
        <row r="6">
          <cell r="J6">
            <v>78.2</v>
          </cell>
          <cell r="K6">
            <v>7</v>
          </cell>
        </row>
        <row r="7">
          <cell r="J7">
            <v>78.339999999999989</v>
          </cell>
          <cell r="K7">
            <v>14.600000000000001</v>
          </cell>
        </row>
        <row r="8">
          <cell r="J8">
            <v>254.91999999999996</v>
          </cell>
          <cell r="K8">
            <v>35.300000000000004</v>
          </cell>
        </row>
      </sheetData>
      <sheetData sheetId="2">
        <row r="5">
          <cell r="J5">
            <v>92.9</v>
          </cell>
          <cell r="K5">
            <v>21.7</v>
          </cell>
        </row>
        <row r="6">
          <cell r="J6">
            <v>109.74</v>
          </cell>
          <cell r="K6">
            <v>28.499999999999996</v>
          </cell>
        </row>
        <row r="7">
          <cell r="J7">
            <v>105.88</v>
          </cell>
          <cell r="K7">
            <v>32</v>
          </cell>
        </row>
        <row r="8">
          <cell r="J8">
            <v>308.52</v>
          </cell>
          <cell r="K8">
            <v>82.199999999999989</v>
          </cell>
        </row>
      </sheetData>
      <sheetData sheetId="3">
        <row r="5">
          <cell r="J5">
            <v>92.9</v>
          </cell>
          <cell r="K5">
            <v>19.799999999999997</v>
          </cell>
        </row>
        <row r="6">
          <cell r="J6">
            <v>109.74</v>
          </cell>
          <cell r="K6">
            <v>25.4</v>
          </cell>
        </row>
        <row r="7">
          <cell r="J7">
            <v>105.88</v>
          </cell>
          <cell r="K7">
            <v>30</v>
          </cell>
        </row>
        <row r="8">
          <cell r="J8">
            <v>308.52</v>
          </cell>
          <cell r="K8">
            <v>75.199999999999989</v>
          </cell>
        </row>
      </sheetData>
      <sheetData sheetId="4">
        <row r="5">
          <cell r="J5">
            <v>0</v>
          </cell>
          <cell r="K5">
            <v>0</v>
          </cell>
        </row>
        <row r="6">
          <cell r="J6">
            <v>0</v>
          </cell>
          <cell r="K6">
            <v>0</v>
          </cell>
        </row>
        <row r="7">
          <cell r="J7">
            <v>0</v>
          </cell>
          <cell r="K7">
            <v>0</v>
          </cell>
        </row>
        <row r="8">
          <cell r="J8">
            <v>0</v>
          </cell>
          <cell r="K8">
            <v>0</v>
          </cell>
        </row>
      </sheetData>
      <sheetData sheetId="5">
        <row r="5">
          <cell r="J5">
            <v>0</v>
          </cell>
          <cell r="K5">
            <v>0</v>
          </cell>
        </row>
        <row r="6">
          <cell r="J6">
            <v>0</v>
          </cell>
          <cell r="K6">
            <v>0</v>
          </cell>
        </row>
        <row r="7">
          <cell r="J7">
            <v>0</v>
          </cell>
          <cell r="K7">
            <v>0</v>
          </cell>
        </row>
        <row r="8">
          <cell r="J8">
            <v>0</v>
          </cell>
          <cell r="K8">
            <v>0</v>
          </cell>
        </row>
      </sheetData>
      <sheetData sheetId="6">
        <row r="5">
          <cell r="J5">
            <v>0</v>
          </cell>
          <cell r="K5">
            <v>0</v>
          </cell>
        </row>
        <row r="6">
          <cell r="J6">
            <v>0</v>
          </cell>
          <cell r="K6">
            <v>0</v>
          </cell>
        </row>
        <row r="7">
          <cell r="J7">
            <v>0</v>
          </cell>
          <cell r="K7">
            <v>0</v>
          </cell>
        </row>
        <row r="8">
          <cell r="J8">
            <v>0</v>
          </cell>
          <cell r="K8">
            <v>0</v>
          </cell>
        </row>
      </sheetData>
      <sheetData sheetId="7">
        <row r="5">
          <cell r="J5">
            <v>0</v>
          </cell>
          <cell r="K5">
            <v>0</v>
          </cell>
        </row>
        <row r="6">
          <cell r="J6">
            <v>0</v>
          </cell>
          <cell r="K6">
            <v>0</v>
          </cell>
        </row>
        <row r="7">
          <cell r="J7">
            <v>0</v>
          </cell>
          <cell r="K7">
            <v>0</v>
          </cell>
        </row>
        <row r="8">
          <cell r="J8">
            <v>0</v>
          </cell>
          <cell r="K8">
            <v>0</v>
          </cell>
        </row>
      </sheetData>
      <sheetData sheetId="8">
        <row r="5">
          <cell r="J5">
            <v>0</v>
          </cell>
          <cell r="K5">
            <v>0</v>
          </cell>
        </row>
        <row r="6">
          <cell r="J6">
            <v>0</v>
          </cell>
          <cell r="K6">
            <v>0</v>
          </cell>
        </row>
        <row r="7">
          <cell r="J7">
            <v>0</v>
          </cell>
          <cell r="K7">
            <v>0</v>
          </cell>
        </row>
        <row r="8">
          <cell r="J8">
            <v>0</v>
          </cell>
          <cell r="K8">
            <v>0</v>
          </cell>
        </row>
      </sheetData>
      <sheetData sheetId="9">
        <row r="5">
          <cell r="J5">
            <v>0</v>
          </cell>
          <cell r="K5">
            <v>0</v>
          </cell>
        </row>
        <row r="6">
          <cell r="J6">
            <v>0</v>
          </cell>
          <cell r="K6">
            <v>0</v>
          </cell>
        </row>
        <row r="7">
          <cell r="J7">
            <v>0</v>
          </cell>
          <cell r="K7">
            <v>0</v>
          </cell>
        </row>
        <row r="8">
          <cell r="J8">
            <v>0</v>
          </cell>
          <cell r="K8">
            <v>0</v>
          </cell>
        </row>
      </sheetData>
      <sheetData sheetId="10">
        <row r="5">
          <cell r="J5">
            <v>0</v>
          </cell>
          <cell r="K5">
            <v>0</v>
          </cell>
        </row>
        <row r="6">
          <cell r="J6">
            <v>0</v>
          </cell>
          <cell r="K6">
            <v>0</v>
          </cell>
        </row>
        <row r="7">
          <cell r="J7">
            <v>0</v>
          </cell>
          <cell r="K7">
            <v>0</v>
          </cell>
        </row>
        <row r="8">
          <cell r="J8">
            <v>0</v>
          </cell>
          <cell r="K8">
            <v>0</v>
          </cell>
        </row>
      </sheetData>
      <sheetData sheetId="11">
        <row r="5">
          <cell r="J5">
            <v>0</v>
          </cell>
          <cell r="K5">
            <v>0</v>
          </cell>
        </row>
        <row r="6">
          <cell r="J6">
            <v>0</v>
          </cell>
          <cell r="K6">
            <v>0</v>
          </cell>
        </row>
        <row r="7">
          <cell r="J7">
            <v>0</v>
          </cell>
          <cell r="K7">
            <v>0</v>
          </cell>
        </row>
        <row r="8">
          <cell r="J8">
            <v>0</v>
          </cell>
          <cell r="K8">
            <v>0</v>
          </cell>
        </row>
      </sheetData>
      <sheetData sheetId="12"/>
      <sheetData sheetId="13"/>
      <sheetData sheetId="14"/>
      <sheetData sheetId="15"/>
      <sheetData sheetId="1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U 6C"/>
      <sheetName val="PDU 6D"/>
      <sheetName val="PDU 7C "/>
      <sheetName val="PDU 7D"/>
      <sheetName val="How To"/>
      <sheetName val="Data"/>
      <sheetName val="Equip list"/>
      <sheetName val="Equip data"/>
      <sheetName val="Sheet1"/>
    </sheetNames>
    <sheetDataSet>
      <sheetData sheetId="0">
        <row r="5">
          <cell r="J5">
            <v>41.2</v>
          </cell>
          <cell r="K5">
            <v>11.200000000000001</v>
          </cell>
        </row>
        <row r="6">
          <cell r="J6">
            <v>32</v>
          </cell>
          <cell r="K6">
            <v>9.4</v>
          </cell>
        </row>
        <row r="7">
          <cell r="J7">
            <v>19.600000000000001</v>
          </cell>
          <cell r="K7">
            <v>3.5999999999999996</v>
          </cell>
        </row>
        <row r="8">
          <cell r="J8">
            <v>92.800000000000011</v>
          </cell>
          <cell r="K8">
            <v>24.200000000000003</v>
          </cell>
        </row>
      </sheetData>
      <sheetData sheetId="1">
        <row r="5">
          <cell r="J5">
            <v>41.2</v>
          </cell>
          <cell r="K5">
            <v>6.6</v>
          </cell>
        </row>
        <row r="6">
          <cell r="J6">
            <v>32</v>
          </cell>
          <cell r="K6">
            <v>7</v>
          </cell>
        </row>
        <row r="7">
          <cell r="J7">
            <v>19.600000000000001</v>
          </cell>
          <cell r="K7">
            <v>3.8</v>
          </cell>
        </row>
        <row r="8">
          <cell r="J8">
            <v>92.800000000000011</v>
          </cell>
          <cell r="K8">
            <v>17.399999999999999</v>
          </cell>
        </row>
      </sheetData>
      <sheetData sheetId="2">
        <row r="5">
          <cell r="J5">
            <v>84.399999999999991</v>
          </cell>
          <cell r="K5">
            <v>33</v>
          </cell>
        </row>
        <row r="6">
          <cell r="J6">
            <v>97.8</v>
          </cell>
          <cell r="K6">
            <v>26</v>
          </cell>
        </row>
        <row r="7">
          <cell r="J7">
            <v>92.8</v>
          </cell>
          <cell r="K7">
            <v>41</v>
          </cell>
        </row>
        <row r="8">
          <cell r="J8">
            <v>275</v>
          </cell>
          <cell r="K8">
            <v>100</v>
          </cell>
        </row>
      </sheetData>
      <sheetData sheetId="3">
        <row r="5">
          <cell r="J5">
            <v>84.399999999999991</v>
          </cell>
          <cell r="K5">
            <v>27</v>
          </cell>
        </row>
        <row r="6">
          <cell r="J6">
            <v>97.8</v>
          </cell>
          <cell r="K6">
            <v>25</v>
          </cell>
        </row>
        <row r="7">
          <cell r="J7">
            <v>92.8</v>
          </cell>
          <cell r="K7">
            <v>33</v>
          </cell>
        </row>
        <row r="8">
          <cell r="J8">
            <v>275</v>
          </cell>
          <cell r="K8">
            <v>85</v>
          </cell>
        </row>
      </sheetData>
      <sheetData sheetId="4"/>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frostd" id="{46EF934A-B4F4-4BB9-BE36-4116C5B4C6E8}" userId="frostd" providerId="None"/>
  <person displayName="peakel" id="{C3EB0A9F-9AC6-4131-BBDE-C1A5F9F8DF16}" userId="peakel" providerId="None"/>
  <person displayName="MCDONALD" id="{EE0487DD-FD54-476B-8422-30719B6E3BCC}" userId="MCDONALD" providerId="None"/>
  <person displayName="Andy McDonald" id="{DE6A4407-C4E0-4AB4-9306-E2D1C4D83F6A}" userId="Andy McDonald" providerId="None"/>
  <person displayName="Peake, Leigh, VF UK" id="{B3AF713A-095D-4A1C-B7C3-9F06F23D5A44}" userId="Peake, Leigh, VF UK" providerId="None"/>
  <person displayName="Peake, Leigh, Vodafone" id="{548BD758-4F90-4C5F-9BB2-0139B35241B2}" userId="Peake, Leigh, Vodafone" providerId="None"/>
  <person displayName="McDonald, Andrew, VF UK" id="{32CADD77-8658-482A-9219-5397F5907CD4}" userId="McDonald, Andrew, VF UK" providerId="None"/>
  <person displayName="Peake, Leigh, Vodafone UK" id="{85E1FF79-A144-42AE-9357-8A09D5B2EAF1}" userId="Peake, Leigh, Vodafone UK" providerId="None"/>
  <person displayName="Frost, Daniel, Vodafone UK" id="{A17EBE9E-335E-4B86-B866-B87ABC062DA9}" userId="Frost, Daniel, Vodafone UK" providerId="None"/>
  <person displayName="McDonald, Andrew, Vodafone UK" id="{C15A817A-3BAF-4F38-8FD1-0DCC1FF5E570}" userId="McDonald, Andrew, Vodafone UK" providerId="None"/>
  <person displayName="Leigh Peake, Vodafone" id="{B34D45DE-CC68-4155-AFB0-9BCA0A5FF4F3}" userId="S::leigh.peake@vodafone.com::301b262d-dd7f-4aff-93e3-7be5cb1c6e6e" providerId="AD"/>
  <person displayName="Daniel Frost, Vodafone" id="{72BC5A41-D274-4BC0-BFAF-6529742AB77C}" userId="S::Daniel.Frost@vodafone.com::796497ce-fff1-42a4-99c5-b06649f175b6" providerId="AD"/>
  <person displayName="Frost, Daniel, Vodafone" id="{4C454DCE-6724-46D9-911F-C22E05996F3E}" userId="S::daniel.frost@vodafone.com::796497ce-fff1-42a4-99c5-b06649f175b6" providerId="AD"/>
  <person displayName="Andy McDonald, Vodafone" id="{782E12E2-67C1-4DB3-98D5-09F590D7262E}" userId="S::Andrew.McDonald@vodafone.com::96e203a8-4d44-4b18-977e-10dce1658111" providerId="AD"/>
  <person displayName="McDonald, Andrew, Vodafone" id="{9BE93E36-AB66-D74D-B47E-4F96BAE9C5B8}" userId="S::andrew.mcdonald@vodafone.com::96e203a8-4d44-4b18-977e-10dce1658111" providerId="AD"/>
  <person displayName="Pollock, Allaister, Vodafone" id="{1699DB14-EF90-4D8C-8D94-96EF4A9CE1C6}" userId="S::Allaister.Pollock@vodafone.com::cd0ecf44-fcfa-4532-b7b4-839afb5a341e" providerId="AD"/>
  <person displayName="Pollock, Allaister, Vodafone" id="{EE0D0C17-83F4-475C-A64B-0D4EA7664C36}" userId="S::allaister.pollock@vodafone.com::cd0ecf44-fcfa-4532-b7b4-839afb5a341e"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3%20Mar%2022%20MTX%20Site%20Capacity%20(Dulux).xlsx#BgEIDA4ADAMGBAcBBAQECw=10.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McDonald" refreshedDate="44225.663221527779" createdVersion="6" refreshedVersion="6" minRefreshableVersion="3" recordCount="110" xr:uid="{00000000-000A-0000-FFFF-FFFF00000000}">
  <cacheSource type="worksheet">
    <worksheetSource ref="A2:Z116" sheet="Plant loading" r:id="rId2"/>
  </cacheSource>
  <cacheFields count="25">
    <cacheField name="MTX" numFmtId="0">
      <sharedItems containsBlank="1" count="27">
        <m/>
        <s v="Acton"/>
        <s v="Basingstoke"/>
        <s v="Crawley"/>
        <s v="Edinburgh"/>
        <s v="Esher"/>
        <s v="Gloucester"/>
        <s v="Gravelly Hill"/>
        <s v="Kings Cross"/>
        <s v="Leyland"/>
        <s v="Milton Keynes"/>
        <s v="Oldham"/>
        <s v="Rotherham"/>
        <s v="Southampton"/>
        <s v="Swanley"/>
        <s v="Bristol"/>
        <s v="Cardiff"/>
        <s v="Carlisle"/>
        <s v="Croydon"/>
        <s v="Glasgow TXO"/>
        <s v="Leeds TXO"/>
        <s v="Leicester"/>
        <s v="Newbury"/>
        <s v="Newcastle"/>
        <s v="Oxford"/>
        <s v="Stafford"/>
        <s v="Warrington TXO"/>
      </sharedItems>
    </cacheField>
    <cacheField name="Power Element Name" numFmtId="0">
      <sharedItems containsBlank="1" count="110">
        <m/>
        <s v="PEAAN"/>
        <s v="PEBAN"/>
        <s v="PECAN"/>
        <s v="PEFAN"/>
        <s v="PEGAN"/>
        <s v="PEABE"/>
        <s v="PEBBE"/>
        <s v="PECBE"/>
        <s v="PEEBE"/>
        <s v="PEFBE"/>
        <s v="PEGBE"/>
        <s v="PEHBE"/>
        <s v="PEIBE"/>
        <s v="PEACY"/>
        <s v="PEBCY"/>
        <s v="PECCY"/>
        <s v="PEDCY"/>
        <s v="PEECY"/>
        <s v="PECEH"/>
        <s v="PEDEH"/>
        <s v="PEEEH"/>
        <s v="PEFEH"/>
        <s v="PEGEH"/>
        <s v="PEHEH"/>
        <s v="PEDER"/>
        <s v="PEEER"/>
        <s v="PEFER"/>
        <s v="PEGER"/>
        <s v="PEAGR"/>
        <s v="PEBGR"/>
        <s v="PECGR"/>
        <s v="PEDGR"/>
        <s v="PEEGR"/>
        <s v="PEAGL"/>
        <s v="PEBGL"/>
        <s v="PECGL"/>
        <s v="PEDGL"/>
        <s v="PEEGL"/>
        <s v="PEFGL"/>
        <s v="PEAKS"/>
        <s v="PEBKS"/>
        <s v="PEEKS"/>
        <s v="PEIKS"/>
        <s v="PEJKS"/>
        <s v="PEKKS"/>
        <s v="PELKS"/>
        <s v="PEMKS"/>
        <s v="PENKS"/>
        <s v="PEALD"/>
        <s v="PEBLD"/>
        <s v="PECLD"/>
        <s v="PEDLD"/>
        <s v="PEELD"/>
        <s v="PEFLD"/>
        <s v="PEAMS"/>
        <s v="PEBMS"/>
        <s v="PECMS"/>
        <s v="PEDMS"/>
        <s v="PEEMS"/>
        <s v="PEFMS"/>
        <s v="PEAOM"/>
        <s v="PEBOM"/>
        <s v="PECOM"/>
        <s v="PEFOM"/>
        <s v="PEGOM"/>
        <s v="PEHOM"/>
        <s v="PEARM"/>
        <s v="PEBRM"/>
        <s v="PECRM"/>
        <s v="PEDRM"/>
        <s v="PEERM"/>
        <s v="PEASN"/>
        <s v="PEBSN"/>
        <s v="PECSN"/>
        <s v="PEESN"/>
        <s v="PEASY"/>
        <s v="PEBSY"/>
        <s v="PECSY"/>
        <s v="PEDSY"/>
        <s v="PEESY"/>
        <s v="PEFBL"/>
        <s v="PEHBL"/>
        <s v="PECCF"/>
        <s v="PEDCF"/>
        <s v="PEECF"/>
        <s v="PEACE"/>
        <s v="PEBCE"/>
        <s v="PEFCN"/>
        <s v="PEGCN"/>
        <s v="PEJGW"/>
        <s v="PEKGW"/>
        <s v="PEJLS"/>
        <s v="PEKLS"/>
        <s v="PEFLR"/>
        <s v="PEGLR"/>
        <s v="PEGNY"/>
        <s v="PEHNY"/>
        <s v="PEINY"/>
        <s v="PEJNY"/>
        <s v="PEENE"/>
        <s v="PEFNE"/>
        <s v="PEGNE"/>
        <s v="PECOD"/>
        <s v="PEFOD"/>
        <s v="PEESD"/>
        <s v="PEGSD"/>
        <s v="PELWN"/>
        <s v="PEMWN"/>
        <s v="PENWN"/>
      </sharedItems>
    </cacheField>
    <cacheField name="Power Element Type" numFmtId="0">
      <sharedItems containsBlank="1"/>
    </cacheField>
    <cacheField name="Element Load (A) Dec 20" numFmtId="0">
      <sharedItems containsString="0" containsBlank="1" containsNumber="1" containsInteger="1" minValue="32" maxValue="1270"/>
    </cacheField>
    <cacheField name="Element Load (A) Jan 21" numFmtId="0">
      <sharedItems containsString="0" containsBlank="1" containsNumber="1" containsInteger="1" minValue="32" maxValue="1282" count="103">
        <m/>
        <n v="760"/>
        <n v="741"/>
        <n v="653"/>
        <n v="753"/>
        <n v="735"/>
        <n v="881"/>
        <n v="871"/>
        <n v="870"/>
        <n v="992"/>
        <n v="1028"/>
        <n v="925"/>
        <n v="905"/>
        <n v="972"/>
        <n v="445"/>
        <n v="639"/>
        <n v="608"/>
        <n v="504"/>
        <n v="551"/>
        <n v="716"/>
        <n v="819"/>
        <n v="762"/>
        <n v="770"/>
        <n v="792"/>
        <n v="646"/>
        <n v="528"/>
        <n v="598"/>
        <n v="532"/>
        <n v="435"/>
        <n v="671"/>
        <n v="730"/>
        <n v="677"/>
        <n v="394"/>
        <n v="400"/>
        <n v="814"/>
        <n v="709"/>
        <n v="693"/>
        <n v="733"/>
        <n v="673"/>
        <n v="323"/>
        <n v="450"/>
        <n v="129"/>
        <n v="737"/>
        <n v="561"/>
        <n v="690"/>
        <n v="186"/>
        <n v="179"/>
        <n v="102"/>
        <n v="969"/>
        <n v="1075"/>
        <n v="1096"/>
        <n v="922"/>
        <n v="945"/>
        <n v="1009"/>
        <n v="1164"/>
        <n v="1151"/>
        <n v="1100"/>
        <n v="1058"/>
        <n v="1282"/>
        <n v="1224"/>
        <n v="731"/>
        <n v="712"/>
        <n v="776"/>
        <n v="433"/>
        <n v="612"/>
        <n v="556"/>
        <n v="622"/>
        <n v="600"/>
        <n v="591"/>
        <n v="314"/>
        <n v="503"/>
        <n v="542"/>
        <n v="738"/>
        <n v="426"/>
        <n v="618"/>
        <n v="687"/>
        <n v="526"/>
        <n v="466"/>
        <n v="358"/>
        <n v="510"/>
        <n v="390"/>
        <n v="222"/>
        <n v="350"/>
        <n v="373"/>
        <n v="405"/>
        <n v="411"/>
        <n v="93"/>
        <n v="96"/>
        <n v="32"/>
        <n v="53"/>
        <n v="662"/>
        <n v="514"/>
        <n v="530"/>
        <n v="404"/>
        <n v="70"/>
        <n v="380"/>
        <n v="168"/>
        <n v="408"/>
        <n v="287"/>
        <n v="444"/>
        <n v="238"/>
        <n v="227"/>
        <n v="282"/>
      </sharedItems>
    </cacheField>
    <cacheField name="Running % load" numFmtId="0">
      <sharedItems containsString="0" containsBlank="1" containsNumber="1" minValue="9.1954022988505746E-2" maxValue="0.95743091859596718"/>
    </cacheField>
    <cacheField name="Total Running Site Load (kW)/(%)" numFmtId="0">
      <sharedItems containsString="0" containsBlank="1" containsNumber="1" minValue="0.37879192546583851" maxValue="405.69799999999998"/>
    </cacheField>
    <cacheField name="Number of Modules" numFmtId="0">
      <sharedItems containsString="0" containsBlank="1" containsNumber="1" containsInteger="1" minValue="9" maxValue="42"/>
    </cacheField>
    <cacheField name="Module Capacity (kW)" numFmtId="0">
      <sharedItems containsString="0" containsBlank="1" containsNumber="1" minValue="3.2" maxValue="3.5"/>
    </cacheField>
    <cacheField name="Power Element Capability (kW)" numFmtId="0">
      <sharedItems containsString="0" containsBlank="1" containsNumber="1" containsInteger="1" minValue="28" maxValue="147"/>
    </cacheField>
    <cacheField name="Number of Redundant Modules" numFmtId="0">
      <sharedItems containsString="0" containsBlank="1" containsNumber="1" containsInteger="1" minValue="3" maxValue="21"/>
    </cacheField>
    <cacheField name="Available Capability (kW)" numFmtId="0">
      <sharedItems containsString="0" containsBlank="1" containsNumber="1" containsInteger="1" minValue="19" maxValue="73"/>
    </cacheField>
    <cacheField name="Available Capability (A)" numFmtId="0">
      <sharedItems containsString="0" containsBlank="1" containsNumber="1" containsInteger="1" minValue="348" maxValue="1339"/>
    </cacheField>
    <cacheField name="Reserved (A)" numFmtId="0">
      <sharedItems containsString="0" containsBlank="1" containsNumber="1" containsInteger="1" minValue="0" maxValue="228"/>
    </cacheField>
    <cacheField name="Running Load + Reserved (%)" numFmtId="0">
      <sharedItems containsString="0" containsBlank="1" containsNumber="1" minValue="0.23246753246753246" maxValue="1.0455563853622105"/>
    </cacheField>
    <cacheField name="Total Reserved  (kW)/(%)" numFmtId="0">
      <sharedItems containsString="0" containsBlank="1" containsNumber="1" minValue="0" maxValue="65.345500000000001"/>
    </cacheField>
    <cacheField name="Forcast (A)" numFmtId="0">
      <sharedItems containsString="0" containsBlank="1" containsNumber="1" containsInteger="1" minValue="0" maxValue="368"/>
    </cacheField>
    <cacheField name="Total Forecast  (kW)" numFmtId="0">
      <sharedItems containsString="0" containsBlank="1" containsNumber="1" minValue="0" maxValue="85.0745"/>
    </cacheField>
    <cacheField name="Running Load + Reserved+  Forecast (A)" numFmtId="0">
      <sharedItems containsString="0" containsBlank="1" containsNumber="1" containsInteger="1" minValue="32" maxValue="1400"/>
    </cacheField>
    <cacheField name="Remaining Element Capability (A)" numFmtId="0">
      <sharedItems containsString="0" containsBlank="1" containsNumber="1" containsInteger="1" minValue="-115" maxValue="764"/>
    </cacheField>
    <cacheField name="Total Power Element_x000a_  RAG (% used)" numFmtId="0">
      <sharedItems containsString="0" containsBlank="1" containsNumber="1" minValue="9.1954022988505746E-2" maxValue="1.0995670995670996"/>
    </cacheField>
    <cacheField name="RAG value (for graphing)" numFmtId="0">
      <sharedItems containsString="0" containsBlank="1" containsNumber="1" minValue="0.23246753246753246" maxValue="1.0995670995670996"/>
    </cacheField>
    <cacheField name="Max Technology Load RAG (% used)" numFmtId="0">
      <sharedItems containsString="0" containsBlank="1" containsNumber="1" minValue="0.38911366666666664" maxValue="1.0474669312169311"/>
    </cacheField>
    <cacheField name="Field1" numFmtId="0" formula="'Max Technology Load RAG (% used)'" databaseField="0"/>
    <cacheField name="Model Total Load (A)" numFmtId="0" formula="'Running Load + Reserved+  Forecast (A)'+Field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m/>
    <m/>
    <x v="0"/>
    <m/>
    <m/>
    <m/>
    <m/>
    <m/>
    <m/>
    <m/>
    <m/>
    <m/>
    <m/>
    <m/>
    <m/>
    <m/>
    <m/>
    <m/>
    <m/>
    <m/>
    <m/>
  </r>
  <r>
    <x v="1"/>
    <x v="1"/>
    <s v="eSure"/>
    <n v="764"/>
    <x v="1"/>
    <n v="0.65800865800865804"/>
    <n v="198.489"/>
    <n v="36"/>
    <n v="3.5"/>
    <n v="126"/>
    <n v="18"/>
    <n v="63"/>
    <n v="1155"/>
    <n v="61"/>
    <n v="0.7108225108225108"/>
    <n v="16.840499999999999"/>
    <n v="0"/>
    <n v="0"/>
    <n v="821"/>
    <n v="334"/>
    <n v="0.7108225108225108"/>
    <n v="0.7108225108225108"/>
    <n v="0.68358571428571424"/>
  </r>
  <r>
    <x v="1"/>
    <x v="2"/>
    <s v="eSure"/>
    <n v="733"/>
    <x v="2"/>
    <n v="0.64155844155844155"/>
    <m/>
    <n v="36"/>
    <n v="3.5"/>
    <n v="126"/>
    <n v="18"/>
    <n v="63"/>
    <n v="1155"/>
    <n v="61"/>
    <n v="0.69437229437229442"/>
    <m/>
    <n v="0"/>
    <m/>
    <n v="802"/>
    <n v="353"/>
    <n v="0.69437229437229442"/>
    <n v="0.69437229437229442"/>
    <m/>
  </r>
  <r>
    <x v="1"/>
    <x v="3"/>
    <s v="eSure"/>
    <n v="655"/>
    <x v="3"/>
    <n v="0.56536796536796541"/>
    <m/>
    <n v="36"/>
    <n v="3.5"/>
    <n v="126"/>
    <n v="18"/>
    <n v="63"/>
    <n v="1155"/>
    <n v="61"/>
    <n v="0.61818181818181817"/>
    <m/>
    <n v="0"/>
    <m/>
    <n v="714"/>
    <n v="441"/>
    <n v="0.61818181818181817"/>
    <n v="0.61818181818181817"/>
    <m/>
  </r>
  <r>
    <x v="1"/>
    <x v="4"/>
    <s v="eSure"/>
    <n v="752"/>
    <x v="4"/>
    <n v="0.65194805194805194"/>
    <n v="0.63012380952380953"/>
    <n v="36"/>
    <n v="3.5"/>
    <n v="126"/>
    <n v="18"/>
    <n v="63"/>
    <n v="1155"/>
    <n v="63"/>
    <n v="0.70649350649350651"/>
    <n v="5.3461904761904759E-2"/>
    <n v="0"/>
    <n v="0"/>
    <n v="816"/>
    <n v="339"/>
    <n v="0.70649350649350651"/>
    <n v="0.70649350649350651"/>
    <m/>
  </r>
  <r>
    <x v="1"/>
    <x v="5"/>
    <s v="eSure"/>
    <n v="736"/>
    <x v="5"/>
    <n v="0.63636363636363635"/>
    <m/>
    <n v="36"/>
    <n v="3.5"/>
    <n v="126"/>
    <n v="18"/>
    <n v="63"/>
    <n v="1155"/>
    <n v="63"/>
    <n v="0.69090909090909092"/>
    <m/>
    <n v="0"/>
    <m/>
    <n v="798"/>
    <n v="357"/>
    <n v="0.69090909090909092"/>
    <n v="0.69090909090909092"/>
    <m/>
  </r>
  <r>
    <x v="2"/>
    <x v="6"/>
    <s v="eSure"/>
    <n v="910"/>
    <x v="6"/>
    <n v="0.76277056277056277"/>
    <n v="405.69799999999998"/>
    <n v="36"/>
    <n v="3.5"/>
    <n v="126"/>
    <n v="18"/>
    <n v="63"/>
    <n v="1155"/>
    <n v="34"/>
    <n v="0.79220779220779225"/>
    <n v="61.3125"/>
    <n v="76"/>
    <n v="41.529000000000003"/>
    <n v="991"/>
    <n v="164"/>
    <n v="0.858008658008658"/>
    <n v="0.858008658008658"/>
    <n v="1.0090069444444445"/>
  </r>
  <r>
    <x v="2"/>
    <x v="7"/>
    <s v="eSure"/>
    <n v="874"/>
    <x v="7"/>
    <n v="0.75411255411255407"/>
    <m/>
    <n v="36"/>
    <n v="3.5"/>
    <n v="126"/>
    <n v="18"/>
    <n v="63"/>
    <n v="1155"/>
    <n v="156"/>
    <n v="0.88917748917748918"/>
    <m/>
    <n v="119"/>
    <m/>
    <n v="1146"/>
    <n v="9"/>
    <n v="0.99220779220779221"/>
    <n v="0.99220779220779221"/>
    <m/>
  </r>
  <r>
    <x v="2"/>
    <x v="8"/>
    <s v="eSure"/>
    <n v="875"/>
    <x v="8"/>
    <n v="0.75324675324675328"/>
    <m/>
    <n v="36"/>
    <n v="3.5"/>
    <n v="126"/>
    <n v="18"/>
    <n v="63"/>
    <n v="1155"/>
    <n v="178"/>
    <n v="0.90735930735930737"/>
    <m/>
    <n v="42"/>
    <m/>
    <n v="1090"/>
    <n v="65"/>
    <n v="0.94372294372294374"/>
    <n v="0.94372294372294374"/>
    <m/>
  </r>
  <r>
    <x v="2"/>
    <x v="9"/>
    <s v="eSure"/>
    <n v="985"/>
    <x v="9"/>
    <n v="0.8588744588744589"/>
    <m/>
    <n v="36"/>
    <n v="3.5"/>
    <n v="126"/>
    <n v="18"/>
    <n v="63"/>
    <n v="1155"/>
    <n v="149"/>
    <n v="0.98787878787878791"/>
    <m/>
    <n v="90"/>
    <m/>
    <n v="1231"/>
    <n v="-76"/>
    <n v="1.0658008658008657"/>
    <n v="1.0658008658008657"/>
    <m/>
  </r>
  <r>
    <x v="2"/>
    <x v="10"/>
    <s v="eSure"/>
    <n v="1023"/>
    <x v="10"/>
    <n v="0.89004329004329008"/>
    <n v="0.80495634920634918"/>
    <n v="36"/>
    <n v="3.5"/>
    <n v="126"/>
    <n v="18"/>
    <n v="63"/>
    <n v="1155"/>
    <n v="100"/>
    <n v="0.97662337662337662"/>
    <n v="0.12165178571428571"/>
    <n v="94"/>
    <n v="8.2398809523809527E-2"/>
    <n v="1222"/>
    <n v="-67"/>
    <n v="1.0580086580086581"/>
    <n v="1.0580086580086581"/>
    <m/>
  </r>
  <r>
    <x v="2"/>
    <x v="11"/>
    <s v="eSure"/>
    <n v="948"/>
    <x v="11"/>
    <n v="0.80086580086580084"/>
    <m/>
    <n v="36"/>
    <n v="3.5"/>
    <n v="126"/>
    <n v="18"/>
    <n v="63"/>
    <n v="1155"/>
    <n v="133"/>
    <n v="0.91601731601731606"/>
    <m/>
    <n v="141"/>
    <m/>
    <n v="1199"/>
    <n v="-44"/>
    <n v="1.0380952380952382"/>
    <m/>
    <m/>
  </r>
  <r>
    <x v="2"/>
    <x v="12"/>
    <s v="eSure"/>
    <n v="907"/>
    <x v="12"/>
    <n v="0.78354978354978355"/>
    <m/>
    <n v="36"/>
    <n v="3.5"/>
    <n v="126"/>
    <n v="18"/>
    <n v="63"/>
    <n v="1155"/>
    <n v="163"/>
    <n v="0.92467532467532465"/>
    <m/>
    <n v="114"/>
    <m/>
    <n v="1182"/>
    <n v="-27"/>
    <n v="1.0233766233766233"/>
    <n v="1.0233766233766233"/>
    <m/>
  </r>
  <r>
    <x v="2"/>
    <x v="13"/>
    <s v="eSure"/>
    <n v="1001"/>
    <x v="13"/>
    <n v="0.84155844155844151"/>
    <m/>
    <n v="36"/>
    <n v="3.5"/>
    <n v="126"/>
    <n v="18"/>
    <n v="63"/>
    <n v="1155"/>
    <n v="212"/>
    <n v="1.0251082251082251"/>
    <m/>
    <n v="86"/>
    <m/>
    <n v="1270"/>
    <n v="-115"/>
    <n v="1.0995670995670996"/>
    <n v="1.0995670995670996"/>
    <m/>
  </r>
  <r>
    <x v="3"/>
    <x v="14"/>
    <s v="eSure"/>
    <n v="448"/>
    <x v="14"/>
    <n v="0.38528138528138528"/>
    <n v="149.7115"/>
    <n v="36"/>
    <n v="3.5"/>
    <n v="126"/>
    <n v="18"/>
    <n v="63"/>
    <n v="1155"/>
    <n v="0"/>
    <n v="0.38528138528138528"/>
    <n v="0"/>
    <n v="27"/>
    <n v="10.028"/>
    <n v="472"/>
    <n v="683"/>
    <n v="0.40865800865800866"/>
    <n v="0.40865800865800866"/>
    <n v="0.50710952380952379"/>
  </r>
  <r>
    <x v="3"/>
    <x v="15"/>
    <s v="eSure"/>
    <n v="641"/>
    <x v="15"/>
    <n v="0.55324675324675321"/>
    <m/>
    <n v="36"/>
    <n v="3.5"/>
    <n v="126"/>
    <n v="18"/>
    <n v="63"/>
    <n v="1155"/>
    <n v="0"/>
    <n v="0.55324675324675321"/>
    <m/>
    <n v="14"/>
    <m/>
    <n v="653"/>
    <n v="502"/>
    <n v="0.56536796536796541"/>
    <n v="0.56536796536796541"/>
    <m/>
  </r>
  <r>
    <x v="3"/>
    <x v="16"/>
    <s v="eSure"/>
    <n v="613"/>
    <x v="16"/>
    <n v="0.52640692640692643"/>
    <m/>
    <n v="36"/>
    <n v="3.5"/>
    <n v="126"/>
    <n v="18"/>
    <n v="63"/>
    <n v="1155"/>
    <n v="0"/>
    <n v="0.52640692640692643"/>
    <m/>
    <n v="27"/>
    <m/>
    <n v="635"/>
    <n v="520"/>
    <n v="0.54978354978354982"/>
    <n v="0.54978354978354982"/>
    <m/>
  </r>
  <r>
    <x v="3"/>
    <x v="17"/>
    <s v="eSure"/>
    <n v="498"/>
    <x v="17"/>
    <n v="0.43636363636363634"/>
    <n v="0.47527460317460318"/>
    <n v="36"/>
    <n v="3.5"/>
    <n v="126"/>
    <n v="18"/>
    <n v="63"/>
    <n v="1155"/>
    <n v="0"/>
    <n v="0.43636363636363634"/>
    <n v="0"/>
    <n v="58"/>
    <n v="3.183492063492064E-2"/>
    <n v="562"/>
    <n v="593"/>
    <n v="0.48658008658008656"/>
    <n v="0.48658008658008656"/>
    <m/>
  </r>
  <r>
    <x v="3"/>
    <x v="18"/>
    <s v="eSure"/>
    <n v="557"/>
    <x v="18"/>
    <n v="0.47705627705627707"/>
    <m/>
    <n v="36"/>
    <n v="3.5"/>
    <n v="126"/>
    <n v="18"/>
    <n v="63"/>
    <n v="1155"/>
    <n v="0"/>
    <n v="0.47705627705627707"/>
    <m/>
    <n v="58"/>
    <m/>
    <n v="609"/>
    <n v="546"/>
    <n v="0.52727272727272723"/>
    <n v="0.52727272727272723"/>
    <m/>
  </r>
  <r>
    <x v="4"/>
    <x v="19"/>
    <s v="eSure"/>
    <n v="979"/>
    <x v="19"/>
    <n v="0.61991341991341986"/>
    <n v="245.52250000000001"/>
    <n v="36"/>
    <n v="3.5"/>
    <n v="126"/>
    <n v="18"/>
    <n v="63"/>
    <n v="1155"/>
    <n v="195"/>
    <n v="0.78874458874458875"/>
    <n v="65.345500000000001"/>
    <n v="283"/>
    <n v="85.0745"/>
    <n v="1194"/>
    <n v="-39"/>
    <n v="1.0337662337662337"/>
    <n v="1.0337662337662337"/>
    <n v="1.0474669312169311"/>
  </r>
  <r>
    <x v="4"/>
    <x v="20"/>
    <s v="eSure"/>
    <n v="777"/>
    <x v="20"/>
    <n v="0.70909090909090911"/>
    <m/>
    <n v="36"/>
    <n v="3.5"/>
    <n v="126"/>
    <n v="18"/>
    <n v="63"/>
    <n v="1155"/>
    <n v="183"/>
    <n v="0.86753246753246749"/>
    <m/>
    <n v="211"/>
    <m/>
    <n v="1213"/>
    <n v="-58"/>
    <n v="1.0502164502164502"/>
    <n v="1.0502164502164502"/>
    <m/>
  </r>
  <r>
    <x v="4"/>
    <x v="21"/>
    <s v="eSure"/>
    <n v="738"/>
    <x v="21"/>
    <n v="0.65974025974025974"/>
    <m/>
    <n v="36"/>
    <n v="3.5"/>
    <n v="126"/>
    <n v="18"/>
    <n v="63"/>
    <n v="1155"/>
    <n v="202"/>
    <n v="0.83463203463203461"/>
    <m/>
    <n v="250"/>
    <m/>
    <n v="1214"/>
    <n v="-59"/>
    <n v="1.0510822510822511"/>
    <n v="1.0510822510822511"/>
    <m/>
  </r>
  <r>
    <x v="4"/>
    <x v="22"/>
    <s v="eSure"/>
    <n v="939"/>
    <x v="22"/>
    <n v="0.66666666666666663"/>
    <n v="0.64953042328042332"/>
    <n v="36"/>
    <n v="3.5"/>
    <n v="126"/>
    <n v="18"/>
    <n v="63"/>
    <n v="1155"/>
    <n v="205"/>
    <n v="0.8441558441558441"/>
    <n v="0.17287169312169312"/>
    <n v="235"/>
    <n v="0.22506481481481483"/>
    <n v="1210"/>
    <n v="-55"/>
    <n v="1.0476190476190477"/>
    <n v="1.0476190476190477"/>
    <m/>
  </r>
  <r>
    <x v="4"/>
    <x v="23"/>
    <s v="eSure"/>
    <n v="731"/>
    <x v="23"/>
    <n v="0.68571428571428572"/>
    <m/>
    <n v="36"/>
    <n v="3.5"/>
    <n v="126"/>
    <n v="18"/>
    <n v="63"/>
    <n v="1155"/>
    <n v="207"/>
    <n v="0.86493506493506489"/>
    <m/>
    <n v="217"/>
    <m/>
    <n v="1216"/>
    <n v="-61"/>
    <n v="1.0528138528138529"/>
    <m/>
    <m/>
  </r>
  <r>
    <x v="4"/>
    <x v="24"/>
    <s v="eSure"/>
    <n v="480"/>
    <x v="24"/>
    <n v="0.55930735930735931"/>
    <m/>
    <n v="36"/>
    <n v="3.5"/>
    <n v="126"/>
    <n v="18"/>
    <n v="63"/>
    <n v="1155"/>
    <n v="207"/>
    <n v="0.73852813852813848"/>
    <m/>
    <n v="365"/>
    <m/>
    <n v="1218"/>
    <n v="-63"/>
    <n v="1.0545454545454545"/>
    <m/>
    <m/>
  </r>
  <r>
    <x v="5"/>
    <x v="25"/>
    <s v="eSure"/>
    <n v="526"/>
    <x v="25"/>
    <n v="0.45714285714285713"/>
    <n v="114.0685"/>
    <n v="36"/>
    <n v="3.5"/>
    <n v="126"/>
    <n v="18"/>
    <n v="63"/>
    <n v="1155"/>
    <n v="0"/>
    <n v="0.45714285714285713"/>
    <n v="0"/>
    <n v="7"/>
    <n v="2.6656"/>
    <n v="535"/>
    <n v="620"/>
    <n v="0.46320346320346323"/>
    <n v="0.46320346320346323"/>
    <n v="0.38911366666666664"/>
  </r>
  <r>
    <x v="5"/>
    <x v="26"/>
    <s v="eSure"/>
    <n v="601"/>
    <x v="26"/>
    <n v="0.51774891774891774"/>
    <m/>
    <n v="36"/>
    <n v="3.5"/>
    <n v="126"/>
    <n v="18"/>
    <n v="63"/>
    <n v="1155"/>
    <n v="0"/>
    <n v="0.51774891774891774"/>
    <m/>
    <n v="21"/>
    <m/>
    <n v="619"/>
    <n v="536"/>
    <n v="0.53593073593073592"/>
    <n v="0.53593073593073592"/>
    <m/>
  </r>
  <r>
    <x v="5"/>
    <x v="27"/>
    <s v="eSure"/>
    <n v="535"/>
    <x v="27"/>
    <n v="0.46060606060606063"/>
    <n v="0.38022833333333333"/>
    <n v="36"/>
    <n v="3.5"/>
    <n v="126"/>
    <n v="18"/>
    <n v="63"/>
    <n v="1155"/>
    <n v="0"/>
    <n v="0.46060606060606063"/>
    <n v="0"/>
    <n v="7"/>
    <n v="0"/>
    <n v="539"/>
    <n v="616"/>
    <n v="0.46666666666666667"/>
    <n v="0.46666666666666667"/>
    <m/>
  </r>
  <r>
    <x v="5"/>
    <x v="28"/>
    <s v="eSure"/>
    <n v="410"/>
    <x v="28"/>
    <n v="0.37662337662337664"/>
    <m/>
    <n v="36"/>
    <n v="3.5"/>
    <n v="126"/>
    <n v="18"/>
    <n v="63"/>
    <n v="1155"/>
    <n v="0"/>
    <n v="0.37662337662337664"/>
    <m/>
    <n v="14"/>
    <m/>
    <n v="449"/>
    <n v="706"/>
    <n v="0.38874458874458873"/>
    <n v="0.38874458874458873"/>
    <m/>
  </r>
  <r>
    <x v="6"/>
    <x v="29"/>
    <s v="eSure"/>
    <n v="617"/>
    <x v="29"/>
    <n v="0.580952380952381"/>
    <n v="156.524"/>
    <n v="36"/>
    <n v="3.5"/>
    <n v="126"/>
    <n v="18"/>
    <n v="63"/>
    <n v="1155"/>
    <n v="33"/>
    <n v="0.60952380952380958"/>
    <n v="6.7035"/>
    <n v="86"/>
    <n v="25.451499999999999"/>
    <n v="790"/>
    <n v="365"/>
    <n v="0.68398268398268403"/>
    <n v="0.68398268398268403"/>
    <n v="0.62892999999999999"/>
  </r>
  <r>
    <x v="6"/>
    <x v="30"/>
    <s v="eSure"/>
    <n v="694"/>
    <x v="30"/>
    <n v="0.63203463203463206"/>
    <m/>
    <n v="36"/>
    <n v="3.5"/>
    <n v="126"/>
    <n v="18"/>
    <n v="63"/>
    <n v="1155"/>
    <n v="0"/>
    <n v="0.63203463203463206"/>
    <m/>
    <n v="72"/>
    <m/>
    <n v="802"/>
    <n v="353"/>
    <n v="0.69437229437229442"/>
    <n v="0.69437229437229442"/>
    <m/>
  </r>
  <r>
    <x v="6"/>
    <x v="31"/>
    <s v="eSure"/>
    <n v="661"/>
    <x v="31"/>
    <n v="0.58614718614718619"/>
    <m/>
    <n v="36"/>
    <n v="3.5"/>
    <n v="126"/>
    <n v="18"/>
    <n v="63"/>
    <n v="1155"/>
    <n v="0"/>
    <n v="0.58614718614718619"/>
    <m/>
    <n v="146"/>
    <m/>
    <n v="823"/>
    <n v="332"/>
    <n v="0.71255411255411261"/>
    <n v="0.71255411255411261"/>
    <m/>
  </r>
  <r>
    <x v="6"/>
    <x v="32"/>
    <s v="eSure"/>
    <n v="347"/>
    <x v="32"/>
    <n v="0.34112554112554111"/>
    <n v="0.52174666666666669"/>
    <n v="36"/>
    <n v="3.5"/>
    <n v="126"/>
    <n v="18"/>
    <n v="63"/>
    <n v="1155"/>
    <n v="45"/>
    <n v="0.38008658008658008"/>
    <n v="2.2345E-2"/>
    <n v="140"/>
    <n v="8.4838333333333335E-2"/>
    <n v="579"/>
    <n v="576"/>
    <n v="0.50129870129870124"/>
    <m/>
    <m/>
  </r>
  <r>
    <x v="6"/>
    <x v="33"/>
    <s v="eSure"/>
    <n v="357"/>
    <x v="33"/>
    <n v="0.34632034632034631"/>
    <m/>
    <n v="36"/>
    <n v="3.5"/>
    <n v="126"/>
    <n v="18"/>
    <n v="63"/>
    <n v="1155"/>
    <n v="45"/>
    <n v="0.38528138528138528"/>
    <m/>
    <n v="23"/>
    <m/>
    <n v="468"/>
    <n v="687"/>
    <n v="0.40519480519480522"/>
    <n v="0.40519480519480522"/>
    <m/>
  </r>
  <r>
    <x v="7"/>
    <x v="34"/>
    <s v="eSure"/>
    <n v="697"/>
    <x v="22"/>
    <n v="0.66666666666666663"/>
    <n v="239.364"/>
    <n v="36"/>
    <n v="3.5"/>
    <n v="126"/>
    <n v="18"/>
    <n v="63"/>
    <n v="1155"/>
    <n v="45"/>
    <n v="0.7056277056277056"/>
    <n v="6.7035"/>
    <n v="145"/>
    <n v="43.491"/>
    <n v="960"/>
    <n v="195"/>
    <n v="0.83116883116883122"/>
    <n v="0.83116883116883122"/>
    <n v="0.77012999999999998"/>
  </r>
  <r>
    <x v="7"/>
    <x v="35"/>
    <s v="eSure"/>
    <n v="728"/>
    <x v="34"/>
    <n v="0.70476190476190481"/>
    <m/>
    <n v="36"/>
    <n v="3.5"/>
    <n v="126"/>
    <n v="18"/>
    <n v="63"/>
    <n v="1155"/>
    <n v="0"/>
    <n v="0.70476190476190481"/>
    <m/>
    <n v="189"/>
    <m/>
    <n v="1003"/>
    <n v="152"/>
    <n v="0.86839826839826839"/>
    <n v="0.86839826839826839"/>
    <m/>
  </r>
  <r>
    <x v="7"/>
    <x v="36"/>
    <s v="eSure"/>
    <n v="702"/>
    <x v="35"/>
    <n v="0.61385281385281387"/>
    <m/>
    <n v="36"/>
    <n v="3.5"/>
    <n v="126"/>
    <n v="18"/>
    <n v="63"/>
    <n v="1155"/>
    <n v="0"/>
    <n v="0.61385281385281387"/>
    <m/>
    <n v="175"/>
    <m/>
    <n v="884"/>
    <n v="271"/>
    <n v="0.76536796536796536"/>
    <n v="0.76536796536796536"/>
    <m/>
  </r>
  <r>
    <x v="7"/>
    <x v="37"/>
    <s v="eSure"/>
    <n v="694"/>
    <x v="36"/>
    <n v="0.6"/>
    <n v="0.53192000000000006"/>
    <n v="36"/>
    <n v="3.5"/>
    <n v="126"/>
    <n v="18"/>
    <n v="63"/>
    <n v="1155"/>
    <n v="0"/>
    <n v="0.6"/>
    <n v="1.4896666666666667E-2"/>
    <n v="175"/>
    <n v="9.6646666666666672E-2"/>
    <n v="868"/>
    <n v="287"/>
    <n v="0.75151515151515147"/>
    <n v="0.75151515151515147"/>
    <m/>
  </r>
  <r>
    <x v="7"/>
    <x v="38"/>
    <s v="eSure"/>
    <n v="754"/>
    <x v="37"/>
    <n v="0.63463203463203466"/>
    <m/>
    <n v="36"/>
    <n v="3.5"/>
    <n v="126"/>
    <n v="18"/>
    <n v="63"/>
    <n v="1155"/>
    <n v="45"/>
    <n v="0.67359307359307363"/>
    <m/>
    <n v="6"/>
    <m/>
    <n v="784"/>
    <n v="371"/>
    <n v="0.67878787878787883"/>
    <n v="0.67878787878787883"/>
    <m/>
  </r>
  <r>
    <x v="7"/>
    <x v="39"/>
    <s v="eSure"/>
    <n v="659"/>
    <x v="38"/>
    <n v="0.58268398268398269"/>
    <m/>
    <n v="36"/>
    <n v="3.5"/>
    <n v="126"/>
    <n v="18"/>
    <n v="63"/>
    <n v="1155"/>
    <n v="33"/>
    <n v="0.61125541125541127"/>
    <m/>
    <n v="108"/>
    <m/>
    <n v="814"/>
    <n v="341"/>
    <n v="0.70476190476190481"/>
    <n v="0.70476190476190481"/>
    <m/>
  </r>
  <r>
    <x v="8"/>
    <x v="40"/>
    <s v="eSure"/>
    <n v="319"/>
    <x v="39"/>
    <n v="0.41948051948051945"/>
    <n v="182.95650000000001"/>
    <n v="24"/>
    <n v="3.5"/>
    <n v="84"/>
    <n v="12"/>
    <n v="42"/>
    <n v="770"/>
    <n v="0"/>
    <n v="0.41948051948051945"/>
    <n v="0"/>
    <n v="0"/>
    <n v="9.9190000000000005"/>
    <n v="323"/>
    <n v="447"/>
    <n v="0.41948051948051945"/>
    <n v="0.41948051948051945"/>
    <n v="0.39932815734989652"/>
  </r>
  <r>
    <x v="8"/>
    <x v="41"/>
    <s v="eSure"/>
    <n v="452"/>
    <x v="40"/>
    <n v="0.47169811320754718"/>
    <m/>
    <n v="30"/>
    <n v="3.5"/>
    <n v="105"/>
    <n v="15"/>
    <n v="52"/>
    <n v="954"/>
    <n v="0"/>
    <n v="0.47169811320754718"/>
    <m/>
    <n v="40"/>
    <m/>
    <n v="490"/>
    <n v="464"/>
    <n v="0.51362683438155132"/>
    <n v="0.51362683438155132"/>
    <m/>
  </r>
  <r>
    <x v="8"/>
    <x v="42"/>
    <s v="eSure"/>
    <n v="129"/>
    <x v="41"/>
    <n v="0.33506493506493507"/>
    <m/>
    <n v="12"/>
    <n v="3.5"/>
    <n v="42"/>
    <n v="6"/>
    <n v="21"/>
    <n v="385"/>
    <n v="0"/>
    <n v="0.33506493506493507"/>
    <m/>
    <n v="40"/>
    <m/>
    <n v="169"/>
    <n v="216"/>
    <n v="0.43896103896103894"/>
    <n v="0.43896103896103894"/>
    <m/>
  </r>
  <r>
    <x v="8"/>
    <x v="43"/>
    <s v="eSure"/>
    <n v="731"/>
    <x v="42"/>
    <n v="0.63809523809523805"/>
    <m/>
    <n v="36"/>
    <n v="3.5"/>
    <n v="126"/>
    <n v="18"/>
    <n v="63"/>
    <n v="1155"/>
    <n v="0"/>
    <n v="0.63809523809523805"/>
    <m/>
    <n v="51"/>
    <m/>
    <n v="788"/>
    <n v="367"/>
    <n v="0.68225108225108222"/>
    <n v="0.68225108225108222"/>
    <m/>
  </r>
  <r>
    <x v="8"/>
    <x v="44"/>
    <s v="eSure"/>
    <n v="561"/>
    <x v="43"/>
    <n v="0.48571428571428571"/>
    <m/>
    <n v="36"/>
    <n v="3.5"/>
    <n v="126"/>
    <n v="18"/>
    <n v="63"/>
    <n v="1155"/>
    <n v="0"/>
    <n v="0.48571428571428571"/>
    <m/>
    <n v="0"/>
    <m/>
    <n v="561"/>
    <n v="594"/>
    <n v="0.48571428571428571"/>
    <n v="0.48571428571428571"/>
    <m/>
  </r>
  <r>
    <x v="8"/>
    <x v="45"/>
    <s v="eSure"/>
    <n v="688"/>
    <x v="44"/>
    <n v="0.72327044025157228"/>
    <n v="0.37879192546583851"/>
    <n v="30"/>
    <n v="3.5"/>
    <n v="105"/>
    <n v="15"/>
    <n v="52"/>
    <n v="954"/>
    <n v="0"/>
    <n v="0.72327044025157228"/>
    <n v="0"/>
    <n v="51"/>
    <n v="2.0536231884057971E-2"/>
    <n v="741"/>
    <n v="213"/>
    <n v="0.77672955974842772"/>
    <n v="0.77672955974842772"/>
    <m/>
  </r>
  <r>
    <x v="8"/>
    <x v="46"/>
    <s v="eSure"/>
    <n v="186"/>
    <x v="45"/>
    <n v="0.24155844155844156"/>
    <m/>
    <n v="24"/>
    <n v="3.5"/>
    <n v="84"/>
    <n v="12"/>
    <n v="42"/>
    <n v="770"/>
    <n v="0"/>
    <n v="0.24155844155844156"/>
    <m/>
    <n v="0"/>
    <m/>
    <n v="186"/>
    <n v="584"/>
    <n v="0.24155844155844156"/>
    <n v="0.24155844155844156"/>
    <m/>
  </r>
  <r>
    <x v="8"/>
    <x v="47"/>
    <s v="eSure"/>
    <n v="178"/>
    <x v="46"/>
    <n v="0.23246753246753246"/>
    <m/>
    <n v="24"/>
    <n v="3.5"/>
    <n v="84"/>
    <n v="12"/>
    <n v="42"/>
    <n v="770"/>
    <n v="0"/>
    <n v="0.23246753246753246"/>
    <m/>
    <n v="0"/>
    <m/>
    <n v="179"/>
    <n v="591"/>
    <n v="0.23246753246753246"/>
    <n v="0.23246753246753246"/>
    <m/>
  </r>
  <r>
    <x v="8"/>
    <x v="48"/>
    <s v="eSure"/>
    <n v="98"/>
    <x v="47"/>
    <n v="0.26493506493506491"/>
    <m/>
    <n v="12"/>
    <n v="3.5"/>
    <n v="42"/>
    <n v="6"/>
    <n v="21"/>
    <n v="385"/>
    <n v="0"/>
    <n v="0.26493506493506491"/>
    <m/>
    <n v="0"/>
    <m/>
    <n v="102"/>
    <n v="283"/>
    <n v="0.26493506493506491"/>
    <m/>
    <m/>
  </r>
  <r>
    <x v="9"/>
    <x v="49"/>
    <s v="eSure"/>
    <n v="961"/>
    <x v="48"/>
    <n v="0.83896103896103891"/>
    <n v="327.87200000000001"/>
    <n v="36"/>
    <n v="3.5"/>
    <n v="126"/>
    <n v="18"/>
    <n v="63"/>
    <n v="1155"/>
    <n v="147"/>
    <n v="0.96623376623376622"/>
    <n v="22.562999999999999"/>
    <n v="0"/>
    <n v="0"/>
    <n v="1116"/>
    <n v="39"/>
    <n v="0.96623376623376622"/>
    <n v="0.96623376623376622"/>
    <n v="0.99369778869778869"/>
  </r>
  <r>
    <x v="9"/>
    <x v="50"/>
    <s v="eSure"/>
    <n v="1077"/>
    <x v="49"/>
    <n v="0.93073593073593075"/>
    <m/>
    <n v="36"/>
    <n v="3.5"/>
    <n v="126"/>
    <n v="18"/>
    <n v="63"/>
    <n v="1155"/>
    <n v="0"/>
    <n v="0.93073593073593075"/>
    <m/>
    <n v="0"/>
    <m/>
    <n v="1075"/>
    <n v="80"/>
    <n v="0.93073593073593075"/>
    <n v="0.93073593073593075"/>
    <m/>
  </r>
  <r>
    <x v="9"/>
    <x v="51"/>
    <s v="eSure"/>
    <n v="1097"/>
    <x v="50"/>
    <n v="0.94891774891774894"/>
    <m/>
    <n v="36"/>
    <n v="3.5"/>
    <n v="126"/>
    <n v="18"/>
    <n v="63"/>
    <n v="1155"/>
    <n v="0"/>
    <n v="0.94891774891774894"/>
    <m/>
    <n v="0"/>
    <m/>
    <n v="1096"/>
    <n v="59"/>
    <n v="0.94891774891774894"/>
    <n v="0.94891774891774894"/>
    <m/>
  </r>
  <r>
    <x v="9"/>
    <x v="52"/>
    <s v="eSure"/>
    <n v="940"/>
    <x v="51"/>
    <n v="0.79826839826839824"/>
    <n v="0.80558230958230959"/>
    <n v="36"/>
    <n v="3.5"/>
    <n v="126"/>
    <n v="18"/>
    <n v="63"/>
    <n v="1155"/>
    <n v="109"/>
    <n v="0.89264069264069268"/>
    <n v="5.5437346437346435E-2"/>
    <n v="0"/>
    <n v="0"/>
    <n v="1031"/>
    <n v="124"/>
    <n v="0.89264069264069268"/>
    <n v="0.89264069264069268"/>
    <m/>
  </r>
  <r>
    <x v="9"/>
    <x v="53"/>
    <s v="eSure"/>
    <n v="978"/>
    <x v="52"/>
    <n v="0.81818181818181823"/>
    <m/>
    <n v="36"/>
    <n v="3.5"/>
    <n v="126"/>
    <n v="18"/>
    <n v="63"/>
    <n v="1155"/>
    <n v="158"/>
    <n v="0.95497835497835493"/>
    <m/>
    <n v="0"/>
    <m/>
    <n v="1103"/>
    <n v="52"/>
    <n v="0.95497835497835493"/>
    <n v="0.95497835497835493"/>
    <m/>
  </r>
  <r>
    <x v="9"/>
    <x v="54"/>
    <s v="eSure"/>
    <n v="1100"/>
    <x v="53"/>
    <n v="0.87359307359307359"/>
    <m/>
    <n v="36"/>
    <n v="3.5"/>
    <n v="126"/>
    <n v="18"/>
    <n v="63"/>
    <n v="1155"/>
    <n v="0"/>
    <n v="0.87359307359307359"/>
    <m/>
    <n v="0"/>
    <m/>
    <n v="1009"/>
    <n v="146"/>
    <n v="0.87359307359307359"/>
    <n v="0.87359307359307359"/>
    <m/>
  </r>
  <r>
    <x v="10"/>
    <x v="55"/>
    <s v="eSure"/>
    <n v="1159"/>
    <x v="54"/>
    <n v="0.86930545182972363"/>
    <n v="380.35550000000001"/>
    <n v="42"/>
    <n v="3.5"/>
    <n v="147"/>
    <n v="21"/>
    <n v="73"/>
    <n v="1339"/>
    <n v="84"/>
    <n v="0.93203883495145634"/>
    <n v="44.090499999999999"/>
    <n v="0"/>
    <n v="0"/>
    <n v="1248"/>
    <n v="91"/>
    <n v="0.93203883495145634"/>
    <n v="0.93203883495145634"/>
    <n v="1.0428648648648648"/>
  </r>
  <r>
    <x v="10"/>
    <x v="56"/>
    <s v="eSure"/>
    <n v="1134"/>
    <x v="55"/>
    <n v="0.85959671396564596"/>
    <m/>
    <n v="42"/>
    <n v="3.5"/>
    <n v="147"/>
    <n v="21"/>
    <n v="73"/>
    <n v="1339"/>
    <n v="175"/>
    <n v="0.99029126213592233"/>
    <m/>
    <n v="0"/>
    <m/>
    <n v="1326"/>
    <n v="13"/>
    <n v="0.99029126213592233"/>
    <n v="0.99029126213592233"/>
    <m/>
  </r>
  <r>
    <x v="10"/>
    <x v="57"/>
    <s v="eSure"/>
    <n v="1083"/>
    <x v="56"/>
    <n v="0.82150858849887975"/>
    <m/>
    <n v="42"/>
    <n v="3.5"/>
    <n v="147"/>
    <n v="21"/>
    <n v="73"/>
    <n v="1339"/>
    <n v="228"/>
    <n v="0.99178491411501124"/>
    <m/>
    <n v="0"/>
    <m/>
    <n v="1328"/>
    <n v="11"/>
    <n v="0.99178491411501124"/>
    <n v="0.99178491411501124"/>
    <m/>
  </r>
  <r>
    <x v="10"/>
    <x v="58"/>
    <s v="eSure"/>
    <n v="1069"/>
    <x v="57"/>
    <n v="0.7901418969380134"/>
    <n v="0.93453439803439808"/>
    <n v="42"/>
    <n v="3.5"/>
    <n v="147"/>
    <n v="21"/>
    <n v="73"/>
    <n v="1339"/>
    <n v="204"/>
    <n v="0.94249439880507846"/>
    <n v="0.10833046683046682"/>
    <n v="0"/>
    <n v="0"/>
    <n v="1262"/>
    <n v="77"/>
    <n v="0.94249439880507846"/>
    <n v="0.94249439880507846"/>
    <m/>
  </r>
  <r>
    <x v="10"/>
    <x v="59"/>
    <s v="eSure"/>
    <n v="1270"/>
    <x v="58"/>
    <n v="0.95743091859596718"/>
    <m/>
    <n v="42"/>
    <n v="3.5"/>
    <n v="147"/>
    <n v="21"/>
    <n v="73"/>
    <n v="1339"/>
    <n v="118"/>
    <n v="1.0455563853622105"/>
    <m/>
    <n v="0"/>
    <m/>
    <n v="1400"/>
    <n v="-61"/>
    <n v="1.0455563853622105"/>
    <n v="1.0455563853622105"/>
    <m/>
  </r>
  <r>
    <x v="10"/>
    <x v="60"/>
    <s v="eSure"/>
    <n v="1252"/>
    <x v="59"/>
    <n v="0.9141150112023898"/>
    <m/>
    <n v="42"/>
    <n v="3.5"/>
    <n v="147"/>
    <n v="21"/>
    <n v="73"/>
    <n v="1339"/>
    <n v="0"/>
    <n v="0.9141150112023898"/>
    <m/>
    <n v="0"/>
    <m/>
    <n v="1224"/>
    <n v="115"/>
    <n v="0.9141150112023898"/>
    <n v="0.9141150112023898"/>
    <m/>
  </r>
  <r>
    <x v="11"/>
    <x v="61"/>
    <s v="eSure"/>
    <n v="730"/>
    <x v="60"/>
    <n v="0.63290043290043285"/>
    <n v="208.19"/>
    <n v="36"/>
    <n v="3.5"/>
    <n v="126"/>
    <n v="18"/>
    <n v="63"/>
    <n v="1155"/>
    <n v="33"/>
    <n v="0.66147186147186143"/>
    <n v="6.7035"/>
    <n v="65"/>
    <n v="57.006999999999998"/>
    <n v="829"/>
    <n v="326"/>
    <n v="0.7177489177489178"/>
    <n v="0.7177489177489178"/>
    <n v="0.60422333333333322"/>
  </r>
  <r>
    <x v="11"/>
    <x v="62"/>
    <s v="eSure"/>
    <n v="722"/>
    <x v="61"/>
    <n v="0.61645021645021647"/>
    <m/>
    <n v="36"/>
    <n v="3.5"/>
    <n v="126"/>
    <n v="18"/>
    <n v="63"/>
    <n v="1155"/>
    <n v="0"/>
    <n v="0.61645021645021647"/>
    <m/>
    <n v="198"/>
    <m/>
    <n v="910"/>
    <n v="245"/>
    <n v="0.78787878787878785"/>
    <n v="0.78787878787878785"/>
    <m/>
  </r>
  <r>
    <x v="11"/>
    <x v="63"/>
    <s v="eSure"/>
    <n v="778"/>
    <x v="62"/>
    <n v="0.67186147186147183"/>
    <m/>
    <n v="36"/>
    <n v="3.5"/>
    <n v="126"/>
    <n v="18"/>
    <n v="63"/>
    <n v="1155"/>
    <n v="0"/>
    <n v="0.67186147186147183"/>
    <m/>
    <n v="111"/>
    <m/>
    <n v="887"/>
    <n v="268"/>
    <n v="0.76796536796536796"/>
    <n v="0.76796536796536796"/>
    <m/>
  </r>
  <r>
    <x v="11"/>
    <x v="64"/>
    <s v="eSure"/>
    <n v="434"/>
    <x v="63"/>
    <n v="0.37489177489177489"/>
    <n v="0.46264444444444441"/>
    <n v="36"/>
    <n v="3.5"/>
    <n v="126"/>
    <n v="18"/>
    <n v="63"/>
    <n v="1155"/>
    <n v="45"/>
    <n v="0.41385281385281386"/>
    <n v="1.4896666666666667E-2"/>
    <n v="38"/>
    <n v="0.14006633906633906"/>
    <n v="516"/>
    <n v="639"/>
    <n v="0.44675324675324674"/>
    <n v="0.44675324675324674"/>
    <m/>
  </r>
  <r>
    <x v="11"/>
    <x v="65"/>
    <s v="eSure"/>
    <n v="614"/>
    <x v="64"/>
    <n v="0.52987012987012982"/>
    <m/>
    <n v="36"/>
    <n v="3.5"/>
    <n v="126"/>
    <n v="18"/>
    <n v="63"/>
    <n v="1155"/>
    <n v="0"/>
    <n v="0.52987012987012982"/>
    <m/>
    <n v="368"/>
    <m/>
    <n v="980"/>
    <n v="175"/>
    <n v="0.84848484848484851"/>
    <n v="0.84848484848484851"/>
    <m/>
  </r>
  <r>
    <x v="11"/>
    <x v="66"/>
    <s v="eSure"/>
    <n v="552"/>
    <x v="65"/>
    <n v="0.48138528138528136"/>
    <m/>
    <n v="36"/>
    <n v="3.5"/>
    <n v="126"/>
    <n v="18"/>
    <n v="63"/>
    <n v="1155"/>
    <n v="45"/>
    <n v="0.52034632034632033"/>
    <m/>
    <n v="266"/>
    <m/>
    <n v="867"/>
    <n v="288"/>
    <n v="0.75064935064935068"/>
    <n v="0.75064935064935068"/>
    <m/>
  </r>
  <r>
    <x v="12"/>
    <x v="67"/>
    <s v="eSure"/>
    <n v="619"/>
    <x v="66"/>
    <n v="0.53852813852813852"/>
    <n v="143.33500000000001"/>
    <n v="36"/>
    <n v="3.5"/>
    <n v="126"/>
    <n v="18"/>
    <n v="63"/>
    <n v="1155"/>
    <n v="0"/>
    <n v="0.53852813852813852"/>
    <n v="0"/>
    <n v="29"/>
    <n v="12.262499999999999"/>
    <n v="651"/>
    <n v="504"/>
    <n v="0.5636363636363636"/>
    <n v="0.5636363636363636"/>
    <n v="0.49396031746031743"/>
  </r>
  <r>
    <x v="12"/>
    <x v="68"/>
    <s v="eSure"/>
    <n v="603"/>
    <x v="67"/>
    <n v="0.51948051948051943"/>
    <m/>
    <n v="36"/>
    <n v="3.5"/>
    <n v="126"/>
    <n v="18"/>
    <n v="63"/>
    <n v="1155"/>
    <n v="0"/>
    <n v="0.51948051948051943"/>
    <m/>
    <n v="7"/>
    <m/>
    <n v="607"/>
    <n v="548"/>
    <n v="0.52554112554112553"/>
    <n v="0.52554112554112553"/>
    <m/>
  </r>
  <r>
    <x v="12"/>
    <x v="69"/>
    <s v="eSure"/>
    <n v="596"/>
    <x v="68"/>
    <n v="0.51168831168831164"/>
    <m/>
    <n v="36"/>
    <n v="3.5"/>
    <n v="126"/>
    <n v="18"/>
    <n v="63"/>
    <n v="1155"/>
    <n v="0"/>
    <n v="0.51168831168831164"/>
    <m/>
    <n v="13"/>
    <m/>
    <n v="604"/>
    <n v="551"/>
    <n v="0.52294372294372293"/>
    <n v="0.52294372294372293"/>
    <m/>
  </r>
  <r>
    <x v="12"/>
    <x v="70"/>
    <s v="eSure"/>
    <n v="314"/>
    <x v="69"/>
    <n v="0.27186147186147186"/>
    <n v="0.45503174603174606"/>
    <n v="36"/>
    <n v="3.5"/>
    <n v="126"/>
    <n v="18"/>
    <n v="63"/>
    <n v="1155"/>
    <n v="0"/>
    <n v="0.27186147186147186"/>
    <m/>
    <n v="77"/>
    <n v="3.8928571428571423E-2"/>
    <n v="391"/>
    <n v="764"/>
    <n v="0.33852813852813851"/>
    <n v="0.33852813852813851"/>
    <m/>
  </r>
  <r>
    <x v="12"/>
    <x v="71"/>
    <s v="eSure"/>
    <n v="505"/>
    <x v="70"/>
    <n v="0.43549783549783549"/>
    <m/>
    <n v="36"/>
    <n v="3.5"/>
    <n v="126"/>
    <n v="18"/>
    <n v="63"/>
    <n v="1155"/>
    <n v="0"/>
    <n v="0.43549783549783549"/>
    <m/>
    <n v="99"/>
    <m/>
    <n v="602"/>
    <n v="553"/>
    <n v="0.52121212121212124"/>
    <n v="0.52121212121212124"/>
    <m/>
  </r>
  <r>
    <x v="13"/>
    <x v="72"/>
    <s v="eSure"/>
    <n v="542"/>
    <x v="71"/>
    <n v="0.46926406926406927"/>
    <n v="133.14349999999999"/>
    <n v="36"/>
    <n v="3.5"/>
    <n v="126"/>
    <n v="18"/>
    <n v="63"/>
    <n v="1155"/>
    <n v="0"/>
    <n v="0.46926406926406927"/>
    <n v="0"/>
    <n v="40"/>
    <n v="18.966000000000001"/>
    <n v="582"/>
    <n v="573"/>
    <n v="0.50389610389610384"/>
    <n v="0.50389610389610384"/>
    <n v="0.50703166666666666"/>
  </r>
  <r>
    <x v="13"/>
    <x v="73"/>
    <s v="eSure"/>
    <n v="736"/>
    <x v="42"/>
    <n v="0.63809523809523805"/>
    <m/>
    <n v="36"/>
    <n v="3.5"/>
    <n v="126"/>
    <n v="18"/>
    <n v="63"/>
    <n v="1155"/>
    <n v="0"/>
    <n v="0.63809523809523805"/>
    <m/>
    <n v="160"/>
    <m/>
    <n v="897"/>
    <n v="258"/>
    <n v="0.77662337662337666"/>
    <n v="0.77662337662337666"/>
    <m/>
  </r>
  <r>
    <x v="13"/>
    <x v="74"/>
    <s v="eSure"/>
    <n v="742"/>
    <x v="72"/>
    <n v="0.63896103896103895"/>
    <n v="0.4438116666666666"/>
    <n v="36"/>
    <n v="3.5"/>
    <n v="126"/>
    <n v="18"/>
    <n v="63"/>
    <n v="1155"/>
    <n v="0"/>
    <n v="0.63896103896103895"/>
    <n v="0"/>
    <n v="135"/>
    <n v="6.3219999999999998E-2"/>
    <n v="873"/>
    <n v="282"/>
    <n v="0.75584415584415587"/>
    <n v="0.75584415584415587"/>
    <m/>
  </r>
  <r>
    <x v="13"/>
    <x v="75"/>
    <s v="eSure"/>
    <n v="425"/>
    <x v="73"/>
    <n v="0.36883116883116884"/>
    <m/>
    <n v="36"/>
    <n v="3.5"/>
    <n v="126"/>
    <n v="18"/>
    <n v="63"/>
    <n v="1155"/>
    <n v="0"/>
    <n v="0.36883116883116884"/>
    <m/>
    <n v="13"/>
    <m/>
    <n v="439"/>
    <n v="716"/>
    <n v="0.38008658008658008"/>
    <n v="0.38008658008658008"/>
    <m/>
  </r>
  <r>
    <x v="14"/>
    <x v="76"/>
    <s v="eSure"/>
    <n v="618"/>
    <x v="74"/>
    <n v="0.53506493506493502"/>
    <n v="144.69749999999999"/>
    <n v="36"/>
    <n v="3.5"/>
    <n v="126"/>
    <n v="18"/>
    <n v="63"/>
    <n v="1155"/>
    <n v="0"/>
    <n v="0.53506493506493502"/>
    <n v="0"/>
    <n v="20"/>
    <n v="2.5615000000000001"/>
    <n v="638"/>
    <n v="517"/>
    <n v="0.55238095238095242"/>
    <n v="0.55238095238095242"/>
    <n v="0.4836091954022988"/>
  </r>
  <r>
    <x v="14"/>
    <x v="77"/>
    <s v="eSure"/>
    <n v="685"/>
    <x v="75"/>
    <n v="0.59480519480519478"/>
    <m/>
    <n v="36"/>
    <n v="3.5"/>
    <n v="126"/>
    <n v="18"/>
    <n v="63"/>
    <n v="1155"/>
    <n v="0"/>
    <n v="0.59480519480519478"/>
    <m/>
    <n v="13"/>
    <m/>
    <n v="700"/>
    <n v="455"/>
    <n v="0.60606060606060608"/>
    <n v="0.60606060606060608"/>
    <m/>
  </r>
  <r>
    <x v="14"/>
    <x v="78"/>
    <s v="eSure"/>
    <n v="526"/>
    <x v="76"/>
    <n v="0.45541125541125543"/>
    <m/>
    <n v="36"/>
    <n v="3.5"/>
    <n v="126"/>
    <n v="18"/>
    <n v="63"/>
    <n v="1155"/>
    <n v="0"/>
    <n v="0.45541125541125543"/>
    <m/>
    <n v="7"/>
    <m/>
    <n v="533"/>
    <n v="622"/>
    <n v="0.46147186147186148"/>
    <n v="0.46147186147186148"/>
    <m/>
  </r>
  <r>
    <x v="14"/>
    <x v="79"/>
    <s v="eSure"/>
    <n v="466"/>
    <x v="77"/>
    <n v="0.40346320346320347"/>
    <n v="0.47519704433497534"/>
    <n v="36"/>
    <n v="3.5"/>
    <n v="126"/>
    <n v="18"/>
    <n v="63"/>
    <n v="1155"/>
    <n v="0"/>
    <n v="0.40346320346320347"/>
    <n v="0"/>
    <n v="0"/>
    <n v="8.4121510673234815E-3"/>
    <n v="466"/>
    <n v="689"/>
    <n v="0.40346320346320347"/>
    <n v="0.40346320346320347"/>
    <m/>
  </r>
  <r>
    <x v="14"/>
    <x v="80"/>
    <s v="eSure"/>
    <n v="357"/>
    <x v="78"/>
    <n v="0.37526205450733752"/>
    <m/>
    <n v="30"/>
    <n v="3.5"/>
    <n v="105"/>
    <n v="15"/>
    <n v="52"/>
    <n v="954"/>
    <n v="0"/>
    <n v="0.37526205450733752"/>
    <m/>
    <n v="7"/>
    <m/>
    <n v="365"/>
    <n v="589"/>
    <n v="0.38259958071278827"/>
    <n v="0.38259958071278827"/>
    <m/>
  </r>
  <r>
    <x v="15"/>
    <x v="81"/>
    <s v="NetSure"/>
    <n v="513"/>
    <x v="79"/>
    <n v="0.48803827751196172"/>
    <n v="49.05"/>
    <n v="36"/>
    <n v="3.2"/>
    <n v="115"/>
    <n v="18"/>
    <n v="57"/>
    <n v="1045"/>
    <n v="68"/>
    <m/>
    <n v="7.4119999999999999"/>
    <m/>
    <m/>
    <n v="578"/>
    <n v="467"/>
    <n v="0.55311004784689"/>
    <m/>
    <m/>
  </r>
  <r>
    <x v="15"/>
    <x v="82"/>
    <s v="NetSure"/>
    <n v="396"/>
    <x v="80"/>
    <n v="0.37320574162679426"/>
    <m/>
    <n v="36"/>
    <n v="3.2"/>
    <n v="115"/>
    <n v="18"/>
    <n v="57"/>
    <n v="1045"/>
    <n v="68"/>
    <m/>
    <m/>
    <m/>
    <m/>
    <n v="458"/>
    <n v="587"/>
    <n v="0.43827751196172249"/>
    <m/>
    <m/>
  </r>
  <r>
    <x v="16"/>
    <x v="83"/>
    <s v="NetSure"/>
    <n v="403"/>
    <x v="33"/>
    <n v="0.38277511961722488"/>
    <n v="52.973999999999997"/>
    <n v="36"/>
    <n v="3.2"/>
    <n v="115"/>
    <n v="18"/>
    <n v="57"/>
    <n v="1045"/>
    <n v="76"/>
    <m/>
    <n v="8.5020000000000007"/>
    <m/>
    <m/>
    <n v="476"/>
    <n v="569"/>
    <n v="0.45550239234449763"/>
    <m/>
    <m/>
  </r>
  <r>
    <x v="16"/>
    <x v="84"/>
    <s v="NetSure"/>
    <n v="222"/>
    <x v="81"/>
    <n v="0.43274853801169588"/>
    <m/>
    <n v="18"/>
    <n v="3.2"/>
    <n v="57"/>
    <n v="9"/>
    <n v="28"/>
    <n v="513"/>
    <n v="80"/>
    <m/>
    <m/>
    <m/>
    <m/>
    <n v="302"/>
    <n v="211"/>
    <n v="0.58869395711500971"/>
    <m/>
    <m/>
  </r>
  <r>
    <x v="16"/>
    <x v="85"/>
    <s v="NetSure"/>
    <n v="350"/>
    <x v="82"/>
    <n v="0.68226120857699801"/>
    <m/>
    <n v="18"/>
    <n v="3.2"/>
    <n v="57"/>
    <n v="9"/>
    <n v="28"/>
    <n v="513"/>
    <n v="0"/>
    <m/>
    <m/>
    <m/>
    <m/>
    <n v="350"/>
    <n v="163"/>
    <n v="0.68226120857699801"/>
    <m/>
    <m/>
  </r>
  <r>
    <x v="17"/>
    <x v="86"/>
    <s v="NetSure"/>
    <n v="345"/>
    <x v="83"/>
    <n v="0.35693779904306222"/>
    <n v="42.401000000000003"/>
    <n v="36"/>
    <n v="3.2"/>
    <n v="115"/>
    <n v="18"/>
    <n v="57"/>
    <n v="1045"/>
    <n v="198"/>
    <m/>
    <n v="21.582000000000001"/>
    <m/>
    <m/>
    <n v="571"/>
    <n v="474"/>
    <n v="0.54641148325358857"/>
    <m/>
    <m/>
  </r>
  <r>
    <x v="17"/>
    <x v="87"/>
    <s v="NetSure"/>
    <n v="387"/>
    <x v="84"/>
    <n v="0.38755980861244022"/>
    <m/>
    <n v="36"/>
    <n v="3.2"/>
    <n v="115"/>
    <n v="18"/>
    <n v="57"/>
    <n v="1045"/>
    <n v="198"/>
    <m/>
    <m/>
    <m/>
    <m/>
    <n v="603"/>
    <n v="442"/>
    <n v="0.57703349282296645"/>
    <m/>
    <m/>
  </r>
  <r>
    <x v="18"/>
    <x v="88"/>
    <s v="NetSure"/>
    <n v="408"/>
    <x v="85"/>
    <n v="0.39330143540669854"/>
    <n v="51.1755"/>
    <n v="36"/>
    <n v="3.2"/>
    <n v="115"/>
    <n v="18"/>
    <n v="57"/>
    <n v="1045"/>
    <n v="180"/>
    <m/>
    <n v="19.62"/>
    <m/>
    <m/>
    <n v="591"/>
    <n v="454"/>
    <n v="0.5655502392344498"/>
    <m/>
    <m/>
  </r>
  <r>
    <x v="18"/>
    <x v="89"/>
    <s v="NetSure"/>
    <n v="532"/>
    <x v="25"/>
    <n v="0.50526315789473686"/>
    <m/>
    <n v="36"/>
    <n v="3.2"/>
    <n v="115"/>
    <n v="18"/>
    <n v="57"/>
    <n v="1045"/>
    <n v="180"/>
    <m/>
    <m/>
    <m/>
    <m/>
    <n v="708"/>
    <n v="337"/>
    <n v="0.67751196172248807"/>
    <m/>
    <m/>
  </r>
  <r>
    <x v="19"/>
    <x v="90"/>
    <s v="eSure"/>
    <n v="96"/>
    <x v="86"/>
    <n v="0.24155844155844156"/>
    <n v="10.3005"/>
    <n v="9"/>
    <n v="3.5"/>
    <n v="31"/>
    <n v="3"/>
    <n v="21"/>
    <n v="385"/>
    <n v="0"/>
    <m/>
    <n v="0"/>
    <m/>
    <m/>
    <n v="93"/>
    <n v="292"/>
    <n v="0.24155844155844156"/>
    <m/>
    <m/>
  </r>
  <r>
    <x v="19"/>
    <x v="91"/>
    <s v="eSure"/>
    <n v="105"/>
    <x v="87"/>
    <n v="0.24935064935064935"/>
    <m/>
    <n v="9"/>
    <n v="3.5"/>
    <n v="31"/>
    <n v="3"/>
    <n v="21"/>
    <n v="385"/>
    <n v="0"/>
    <m/>
    <m/>
    <m/>
    <m/>
    <n v="96"/>
    <n v="289"/>
    <n v="0.24935064935064935"/>
    <m/>
    <m/>
  </r>
  <r>
    <x v="20"/>
    <x v="92"/>
    <s v="eSure"/>
    <n v="32"/>
    <x v="88"/>
    <n v="9.1954022988505746E-2"/>
    <n v="4.6325000000000003"/>
    <n v="9"/>
    <n v="3.2"/>
    <n v="28"/>
    <n v="3"/>
    <n v="19"/>
    <n v="348"/>
    <n v="0"/>
    <m/>
    <n v="0"/>
    <m/>
    <m/>
    <n v="32"/>
    <n v="316"/>
    <n v="9.1954022988505746E-2"/>
    <m/>
    <m/>
  </r>
  <r>
    <x v="20"/>
    <x v="93"/>
    <s v="eSure"/>
    <n v="53"/>
    <x v="89"/>
    <n v="0.15229885057471265"/>
    <m/>
    <n v="9"/>
    <n v="3.2"/>
    <n v="28"/>
    <n v="3"/>
    <n v="19"/>
    <n v="348"/>
    <n v="0"/>
    <m/>
    <m/>
    <m/>
    <m/>
    <n v="53"/>
    <n v="295"/>
    <n v="0.15229885057471265"/>
    <m/>
    <m/>
  </r>
  <r>
    <x v="21"/>
    <x v="94"/>
    <s v="NetSure"/>
    <n v="671"/>
    <x v="90"/>
    <n v="0.63349282296650722"/>
    <n v="64.091999999999999"/>
    <n v="36"/>
    <n v="3.2"/>
    <n v="115"/>
    <n v="18"/>
    <n v="57"/>
    <n v="1045"/>
    <n v="52"/>
    <m/>
    <n v="5.6680000000000001"/>
    <m/>
    <m/>
    <n v="714"/>
    <n v="331"/>
    <n v="0.68325358851674645"/>
    <m/>
    <m/>
  </r>
  <r>
    <x v="21"/>
    <x v="95"/>
    <s v="NetSure"/>
    <n v="514"/>
    <x v="91"/>
    <n v="0.49186602870813395"/>
    <m/>
    <n v="36"/>
    <n v="3.2"/>
    <n v="115"/>
    <n v="18"/>
    <n v="57"/>
    <n v="1045"/>
    <n v="52"/>
    <m/>
    <m/>
    <m/>
    <m/>
    <n v="566"/>
    <n v="479"/>
    <n v="0.54162679425837323"/>
    <m/>
    <m/>
  </r>
  <r>
    <x v="22"/>
    <x v="96"/>
    <s v="NetSure"/>
    <n v="527"/>
    <x v="92"/>
    <n v="0.50717703349282295"/>
    <n v="60.277000000000001"/>
    <n v="36"/>
    <n v="3.2"/>
    <n v="115"/>
    <n v="18"/>
    <n v="57"/>
    <n v="1045"/>
    <n v="0"/>
    <m/>
    <n v="0.54500000000000004"/>
    <m/>
    <m/>
    <n v="530"/>
    <n v="515"/>
    <n v="0.50717703349282295"/>
    <m/>
    <m/>
  </r>
  <r>
    <x v="22"/>
    <x v="97"/>
    <s v="NetSure"/>
    <n v="404"/>
    <x v="93"/>
    <n v="0.38660287081339711"/>
    <m/>
    <n v="36"/>
    <n v="3.2"/>
    <n v="115"/>
    <n v="18"/>
    <n v="57"/>
    <n v="1045"/>
    <n v="0"/>
    <m/>
    <m/>
    <m/>
    <m/>
    <n v="404"/>
    <n v="641"/>
    <n v="0.38660287081339711"/>
    <m/>
    <m/>
  </r>
  <r>
    <x v="22"/>
    <x v="98"/>
    <s v="NetSure"/>
    <n v="103"/>
    <x v="47"/>
    <n v="0.19883040935672514"/>
    <m/>
    <n v="18"/>
    <n v="3.2"/>
    <n v="57"/>
    <n v="9"/>
    <n v="28"/>
    <n v="513"/>
    <n v="5"/>
    <m/>
    <n v="0.54500000000000004"/>
    <m/>
    <m/>
    <n v="107"/>
    <n v="406"/>
    <n v="0.20857699805068225"/>
    <m/>
    <m/>
  </r>
  <r>
    <x v="22"/>
    <x v="99"/>
    <s v="NetSure"/>
    <n v="71"/>
    <x v="94"/>
    <n v="0.1364522417153996"/>
    <m/>
    <n v="18"/>
    <n v="3.2"/>
    <n v="57"/>
    <n v="9"/>
    <n v="28"/>
    <n v="513"/>
    <n v="5"/>
    <m/>
    <m/>
    <m/>
    <m/>
    <n v="75"/>
    <n v="438"/>
    <n v="0.14619883040935672"/>
    <m/>
    <m/>
  </r>
  <r>
    <x v="23"/>
    <x v="100"/>
    <s v="NetSure"/>
    <n v="314"/>
    <x v="69"/>
    <n v="0.30047846889952151"/>
    <n v="46.978999999999999"/>
    <n v="36"/>
    <n v="3.2"/>
    <n v="115"/>
    <n v="18"/>
    <n v="57"/>
    <n v="1045"/>
    <n v="10"/>
    <m/>
    <n v="1.0900000000000001"/>
    <m/>
    <m/>
    <n v="324"/>
    <n v="721"/>
    <n v="0.31004784688995213"/>
    <m/>
    <m/>
  </r>
  <r>
    <x v="23"/>
    <x v="101"/>
    <s v="NetSure"/>
    <n v="380"/>
    <x v="95"/>
    <n v="0.36363636363636365"/>
    <m/>
    <n v="36"/>
    <n v="3.2"/>
    <n v="115"/>
    <n v="18"/>
    <n v="57"/>
    <n v="1045"/>
    <n v="10"/>
    <m/>
    <m/>
    <m/>
    <m/>
    <n v="390"/>
    <n v="655"/>
    <n v="0.37320574162679426"/>
    <m/>
    <m/>
  </r>
  <r>
    <x v="23"/>
    <x v="102"/>
    <s v="NetSure"/>
    <n v="168"/>
    <x v="96"/>
    <n v="0.32748538011695905"/>
    <m/>
    <n v="18"/>
    <n v="3.2"/>
    <n v="57"/>
    <n v="9"/>
    <n v="28"/>
    <n v="513"/>
    <n v="0"/>
    <m/>
    <m/>
    <m/>
    <m/>
    <n v="168"/>
    <n v="345"/>
    <n v="0.32748538011695905"/>
    <m/>
    <m/>
  </r>
  <r>
    <x v="24"/>
    <x v="103"/>
    <s v="NetSure"/>
    <n v="408"/>
    <x v="97"/>
    <n v="0.39043062200956935"/>
    <n v="37.877499999999998"/>
    <n v="36"/>
    <n v="3.2"/>
    <n v="115"/>
    <n v="18"/>
    <n v="57"/>
    <n v="1045"/>
    <n v="149"/>
    <m/>
    <n v="16.241"/>
    <m/>
    <m/>
    <n v="557"/>
    <n v="488"/>
    <n v="0.53301435406698561"/>
    <m/>
    <m/>
  </r>
  <r>
    <x v="24"/>
    <x v="104"/>
    <s v="NetSure"/>
    <n v="279"/>
    <x v="98"/>
    <n v="0.32613636363636361"/>
    <m/>
    <n v="30"/>
    <n v="3.2"/>
    <n v="96"/>
    <n v="15"/>
    <n v="48"/>
    <n v="880"/>
    <n v="149"/>
    <m/>
    <m/>
    <m/>
    <m/>
    <n v="436"/>
    <n v="444"/>
    <n v="0.49545454545454548"/>
    <m/>
    <m/>
  </r>
  <r>
    <x v="25"/>
    <x v="105"/>
    <s v="NetSure"/>
    <n v="420"/>
    <x v="85"/>
    <n v="0.39330143540669854"/>
    <n v="46.597499999999997"/>
    <n v="36"/>
    <n v="3.2"/>
    <n v="115"/>
    <n v="18"/>
    <n v="57"/>
    <n v="1045"/>
    <n v="15"/>
    <m/>
    <n v="1.635"/>
    <m/>
    <m/>
    <n v="426"/>
    <n v="619"/>
    <n v="0.40765550239234449"/>
    <m/>
    <m/>
  </r>
  <r>
    <x v="25"/>
    <x v="106"/>
    <s v="NetSure"/>
    <n v="444"/>
    <x v="99"/>
    <n v="0.42488038277511964"/>
    <m/>
    <n v="36"/>
    <n v="3.2"/>
    <n v="115"/>
    <n v="18"/>
    <n v="57"/>
    <n v="1045"/>
    <n v="15"/>
    <m/>
    <m/>
    <m/>
    <m/>
    <n v="459"/>
    <n v="586"/>
    <n v="0.43923444976076553"/>
    <m/>
    <m/>
  </r>
  <r>
    <x v="26"/>
    <x v="107"/>
    <s v="NetSure"/>
    <n v="238"/>
    <x v="100"/>
    <n v="0.46393762183235865"/>
    <n v="40.711500000000001"/>
    <n v="18"/>
    <n v="3.2"/>
    <n v="57"/>
    <n v="9"/>
    <n v="28"/>
    <n v="513"/>
    <n v="0"/>
    <m/>
    <n v="4.5780000000000003"/>
    <m/>
    <m/>
    <n v="238"/>
    <n v="275"/>
    <n v="0.46393762183235865"/>
    <m/>
    <m/>
  </r>
  <r>
    <x v="26"/>
    <x v="108"/>
    <s v="NetSure"/>
    <n v="226"/>
    <x v="101"/>
    <n v="0.442495126705653"/>
    <m/>
    <n v="18"/>
    <n v="3.2"/>
    <n v="57"/>
    <n v="9"/>
    <n v="28"/>
    <n v="513"/>
    <n v="42"/>
    <m/>
    <m/>
    <m/>
    <m/>
    <n v="269"/>
    <n v="244"/>
    <n v="0.52436647173489281"/>
    <m/>
    <m/>
  </r>
  <r>
    <x v="26"/>
    <x v="109"/>
    <s v="NetSure"/>
    <n v="285"/>
    <x v="102"/>
    <n v="0.54970760233918126"/>
    <m/>
    <n v="18"/>
    <n v="3.2"/>
    <n v="57"/>
    <n v="9"/>
    <n v="28"/>
    <n v="513"/>
    <n v="42"/>
    <m/>
    <m/>
    <m/>
    <m/>
    <n v="324"/>
    <n v="189"/>
    <n v="0.6315789473684210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I9" firstHeaderRow="0" firstDataRow="1" firstDataCol="1" rowPageCount="1" colPageCount="1"/>
  <pivotFields count="25">
    <pivotField axis="axisPage" multipleItemSelectionAllowed="1" showAll="0">
      <items count="28">
        <item h="1" x="1"/>
        <item h="1" x="2"/>
        <item x="15"/>
        <item x="16"/>
        <item h="1" x="17"/>
        <item h="1" x="3"/>
        <item h="1" x="18"/>
        <item h="1" x="4"/>
        <item h="1" x="5"/>
        <item h="1" x="19"/>
        <item h="1" x="6"/>
        <item h="1" x="7"/>
        <item h="1" x="8"/>
        <item h="1" x="20"/>
        <item h="1" x="21"/>
        <item h="1" x="9"/>
        <item h="1" x="10"/>
        <item h="1" x="22"/>
        <item h="1" x="23"/>
        <item h="1" x="11"/>
        <item h="1" x="24"/>
        <item h="1" x="12"/>
        <item h="1" x="13"/>
        <item h="1" x="25"/>
        <item h="1" x="14"/>
        <item h="1" x="26"/>
        <item h="1" x="0"/>
        <item t="default"/>
      </items>
    </pivotField>
    <pivotField axis="axisRow" showAll="0">
      <items count="111">
        <item x="1"/>
        <item x="6"/>
        <item x="86"/>
        <item x="14"/>
        <item x="34"/>
        <item x="29"/>
        <item x="40"/>
        <item x="49"/>
        <item x="55"/>
        <item x="61"/>
        <item x="67"/>
        <item x="72"/>
        <item x="76"/>
        <item x="2"/>
        <item x="7"/>
        <item x="87"/>
        <item x="15"/>
        <item x="35"/>
        <item x="30"/>
        <item x="41"/>
        <item x="50"/>
        <item x="56"/>
        <item x="62"/>
        <item x="68"/>
        <item x="73"/>
        <item x="77"/>
        <item x="3"/>
        <item x="8"/>
        <item x="83"/>
        <item x="16"/>
        <item x="19"/>
        <item x="36"/>
        <item x="31"/>
        <item x="51"/>
        <item x="57"/>
        <item x="103"/>
        <item x="63"/>
        <item x="69"/>
        <item x="74"/>
        <item x="78"/>
        <item x="84"/>
        <item x="17"/>
        <item x="20"/>
        <item x="25"/>
        <item x="37"/>
        <item x="32"/>
        <item x="52"/>
        <item x="58"/>
        <item x="70"/>
        <item x="79"/>
        <item x="9"/>
        <item x="85"/>
        <item x="18"/>
        <item x="21"/>
        <item x="26"/>
        <item x="38"/>
        <item x="33"/>
        <item x="42"/>
        <item x="53"/>
        <item x="59"/>
        <item x="100"/>
        <item x="71"/>
        <item x="105"/>
        <item x="75"/>
        <item x="80"/>
        <item x="4"/>
        <item x="10"/>
        <item x="81"/>
        <item x="88"/>
        <item x="22"/>
        <item x="27"/>
        <item x="39"/>
        <item x="54"/>
        <item x="94"/>
        <item x="60"/>
        <item x="101"/>
        <item x="104"/>
        <item x="64"/>
        <item x="5"/>
        <item x="11"/>
        <item x="89"/>
        <item x="23"/>
        <item x="28"/>
        <item x="95"/>
        <item x="102"/>
        <item x="96"/>
        <item x="65"/>
        <item x="106"/>
        <item x="12"/>
        <item x="82"/>
        <item x="24"/>
        <item x="97"/>
        <item x="66"/>
        <item x="13"/>
        <item x="43"/>
        <item x="98"/>
        <item x="90"/>
        <item x="44"/>
        <item x="92"/>
        <item x="99"/>
        <item x="91"/>
        <item x="45"/>
        <item x="93"/>
        <item x="46"/>
        <item x="107"/>
        <item x="47"/>
        <item x="108"/>
        <item x="48"/>
        <item x="109"/>
        <item x="0"/>
        <item t="default"/>
      </items>
    </pivotField>
    <pivotField showAll="0"/>
    <pivotField showAll="0"/>
    <pivotField dataField="1" showAll="0">
      <items count="104">
        <item x="88"/>
        <item x="89"/>
        <item x="94"/>
        <item x="86"/>
        <item x="87"/>
        <item x="47"/>
        <item x="41"/>
        <item x="96"/>
        <item x="46"/>
        <item x="45"/>
        <item x="81"/>
        <item x="101"/>
        <item x="100"/>
        <item x="102"/>
        <item x="98"/>
        <item x="69"/>
        <item x="39"/>
        <item x="82"/>
        <item x="78"/>
        <item x="83"/>
        <item x="95"/>
        <item x="80"/>
        <item x="32"/>
        <item x="33"/>
        <item x="93"/>
        <item x="84"/>
        <item x="97"/>
        <item x="85"/>
        <item x="73"/>
        <item x="63"/>
        <item x="28"/>
        <item x="99"/>
        <item x="14"/>
        <item x="40"/>
        <item x="77"/>
        <item x="70"/>
        <item x="17"/>
        <item x="79"/>
        <item x="91"/>
        <item x="76"/>
        <item x="25"/>
        <item x="92"/>
        <item x="27"/>
        <item x="71"/>
        <item x="18"/>
        <item x="65"/>
        <item x="43"/>
        <item x="68"/>
        <item x="26"/>
        <item x="67"/>
        <item x="16"/>
        <item x="64"/>
        <item x="74"/>
        <item x="66"/>
        <item x="15"/>
        <item x="24"/>
        <item x="3"/>
        <item x="90"/>
        <item x="29"/>
        <item x="38"/>
        <item x="31"/>
        <item x="75"/>
        <item x="44"/>
        <item x="36"/>
        <item x="35"/>
        <item x="61"/>
        <item x="19"/>
        <item x="30"/>
        <item x="60"/>
        <item x="37"/>
        <item x="5"/>
        <item x="42"/>
        <item x="72"/>
        <item x="2"/>
        <item x="4"/>
        <item x="1"/>
        <item x="21"/>
        <item x="22"/>
        <item x="62"/>
        <item x="23"/>
        <item x="34"/>
        <item x="20"/>
        <item x="8"/>
        <item x="7"/>
        <item x="6"/>
        <item x="12"/>
        <item x="51"/>
        <item x="11"/>
        <item x="52"/>
        <item x="48"/>
        <item x="13"/>
        <item x="9"/>
        <item x="53"/>
        <item x="10"/>
        <item x="57"/>
        <item x="49"/>
        <item x="50"/>
        <item x="56"/>
        <item x="55"/>
        <item x="54"/>
        <item x="59"/>
        <item x="58"/>
        <item x="0"/>
        <item t="default"/>
      </items>
    </pivotField>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5">
    <i>
      <x v="28"/>
    </i>
    <i>
      <x v="40"/>
    </i>
    <i>
      <x v="51"/>
    </i>
    <i>
      <x v="67"/>
    </i>
    <i>
      <x v="89"/>
    </i>
  </rowItems>
  <colFields count="1">
    <field x="-2"/>
  </colFields>
  <colItems count="8">
    <i>
      <x/>
    </i>
    <i i="1">
      <x v="1"/>
    </i>
    <i i="2">
      <x v="2"/>
    </i>
    <i i="3">
      <x v="3"/>
    </i>
    <i i="4">
      <x v="4"/>
    </i>
    <i i="5">
      <x v="5"/>
    </i>
    <i i="6">
      <x v="6"/>
    </i>
    <i i="7">
      <x v="7"/>
    </i>
  </colItems>
  <pageFields count="1">
    <pageField fld="0" hier="-1"/>
  </pageFields>
  <dataFields count="8">
    <dataField name="Sum of Element Load (A) Jan 21" fld="4" baseField="0" baseItem="0"/>
    <dataField name="Sum of Running % load" fld="5" baseField="0" baseItem="0" numFmtId="9"/>
    <dataField name="Sum of Reserved (A)" fld="13" baseField="0" baseItem="0"/>
    <dataField name="Sum of Running Load + Reserved (%)" fld="14" baseField="0" baseItem="0" numFmtId="9"/>
    <dataField name="Sum of Forcast (A)" fld="16" baseField="0" baseItem="0"/>
    <dataField name="Sum of Total Forecast  (kW)" fld="17" baseField="0" baseItem="0"/>
    <dataField name="Sum of Running Load + Reserved+  Forecast (A)" fld="18" baseField="0" baseItem="0"/>
    <dataField name="Sum of Total Power Element_x000a_  RAG (% used)" fld="20" baseField="0" baseItem="0" numFmtId="9"/>
  </dataFields>
  <formats count="18">
    <format dxfId="148">
      <pivotArea type="all" dataOnly="0" outline="0" fieldPosition="0"/>
    </format>
    <format dxfId="149">
      <pivotArea outline="0" collapsedLevelsAreSubtotals="1" fieldPosition="0"/>
    </format>
    <format dxfId="150">
      <pivotArea field="1" type="button" dataOnly="0" labelOnly="1" outline="0" axis="axisRow" fieldPosition="0"/>
    </format>
    <format dxfId="151">
      <pivotArea dataOnly="0" labelOnly="1" fieldPosition="0">
        <references count="1">
          <reference field="1" count="5">
            <x v="0"/>
            <x v="13"/>
            <x v="26"/>
            <x v="65"/>
            <x v="78"/>
          </reference>
        </references>
      </pivotArea>
    </format>
    <format dxfId="152">
      <pivotArea dataOnly="0" labelOnly="1" grandRow="1" outline="0" fieldPosition="0"/>
    </format>
    <format dxfId="153">
      <pivotArea dataOnly="0" labelOnly="1" outline="0" axis="axisValues" fieldPosition="0"/>
    </format>
    <format dxfId="154">
      <pivotArea type="all" dataOnly="0" outline="0" fieldPosition="0"/>
    </format>
    <format dxfId="155">
      <pivotArea outline="0" collapsedLevelsAreSubtotals="1" fieldPosition="0"/>
    </format>
    <format dxfId="156">
      <pivotArea field="1" type="button" dataOnly="0" labelOnly="1" outline="0" axis="axisRow" fieldPosition="0"/>
    </format>
    <format dxfId="157">
      <pivotArea dataOnly="0" labelOnly="1" fieldPosition="0">
        <references count="1">
          <reference field="1" count="5">
            <x v="0"/>
            <x v="13"/>
            <x v="26"/>
            <x v="65"/>
            <x v="78"/>
          </reference>
        </references>
      </pivotArea>
    </format>
    <format dxfId="158">
      <pivotArea dataOnly="0" labelOnly="1" grandRow="1" outline="0" fieldPosition="0"/>
    </format>
    <format dxfId="159">
      <pivotArea dataOnly="0" labelOnly="1" outline="0" axis="axisValues" fieldPosition="0"/>
    </format>
    <format dxfId="160">
      <pivotArea outline="0" collapsedLevelsAreSubtotals="1" fieldPosition="0"/>
    </format>
    <format dxfId="161">
      <pivotArea dataOnly="0" labelOnly="1" outline="0" fieldPosition="0">
        <references count="1">
          <reference field="0" count="0"/>
        </references>
      </pivotArea>
    </format>
    <format dxfId="162">
      <pivotArea dataOnly="0" labelOnly="1" outline="0" axis="axisValues" fieldPosition="0"/>
    </format>
    <format dxfId="163">
      <pivotArea outline="0" fieldPosition="0">
        <references count="1">
          <reference field="4294967294" count="1">
            <x v="1"/>
          </reference>
        </references>
      </pivotArea>
    </format>
    <format dxfId="164">
      <pivotArea outline="0" fieldPosition="0">
        <references count="1">
          <reference field="4294967294" count="1">
            <x v="3"/>
          </reference>
        </references>
      </pivotArea>
    </format>
    <format dxfId="165">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bodyPr/>
      <a:lstStyle/>
      <a:style>
        <a:lnRef idx="2">
          <a:schemeClr val="accent2"/>
        </a:lnRef>
        <a:fillRef idx="0">
          <a:schemeClr val="accent2"/>
        </a:fillRef>
        <a:effectRef idx="1">
          <a:schemeClr val="accent2"/>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V2" dT="2022-03-03T08:08:29.50" personId="{B34D45DE-CC68-4155-AFB0-9BCA0A5FF4F3}" id="{74397534-4861-4CC2-914B-A05E5DB955C4}">
    <text>Red text =&lt;20%</text>
  </threadedComment>
  <threadedComment ref="AB9" dT="2021-09-23T12:37:57.80" personId="{72BC5A41-D274-4BC0-BFAF-6529742AB77C}" id="{4044C344-4F47-4CE5-9B65-F03BD31E4523}">
    <text>Note to comment
Based on recorded readings as per forecasting spreadsheet</text>
  </threadedComment>
  <threadedComment ref="AB9" dT="2022-04-21T10:36:18.39" personId="{EE0D0C17-83F4-475C-A64B-0D4EA7664C36}" id="{E142FBC3-5258-4533-A11C-36BC95A2D6F7}" parentId="{4044C344-4F47-4CE5-9B65-F03BD31E4523}">
    <text>NFV Loads reviewed 20/04/2022</text>
  </threadedComment>
  <threadedComment ref="AB9" dT="2022-08-31T06:53:51.58" personId="{EE0D0C17-83F4-475C-A64B-0D4EA7664C36}" id="{6F6042F3-5A14-4A2B-8DEB-8337A44AA45B}" parentId="{4044C344-4F47-4CE5-9B65-F03BD31E4523}">
    <text>NFV reserved loads updated on 26/07/2022</text>
  </threadedComment>
  <threadedComment ref="AB9" dT="2022-12-23T11:16:35.55" personId="{EE0D0C17-83F4-475C-A64B-0D4EA7664C36}" id="{3E2A3A0C-6F26-4163-8E96-4A90C3E5628C}" parentId="{4044C344-4F47-4CE5-9B65-F03BD31E4523}">
    <text>NFV reserved loads updated on 23/12/2022</text>
  </threadedComment>
  <threadedComment ref="AB9" dT="2023-02-27T09:52:09.99" personId="{EE0D0C17-83F4-475C-A64B-0D4EA7664C36}" id="{1B8A99F8-AE4F-42AB-92D0-030DF0369A4E}" parentId="{4044C344-4F47-4CE5-9B65-F03BD31E4523}">
    <text>NFV reserved loads updated on 27/02/2023</text>
  </threadedComment>
  <threadedComment ref="AB9" dT="2023-07-25T08:40:03.89" personId="{EE0D0C17-83F4-475C-A64B-0D4EA7664C36}" id="{0D96A872-330D-4771-BC4E-AA125AC22114}" parentId="{4044C344-4F47-4CE5-9B65-F03BD31E4523}">
    <text>NFV reserved loads updated on 25/07/2023</text>
  </threadedComment>
  <threadedComment ref="AB9" dT="2023-12-12T08:13:28.16" personId="{EE0D0C17-83F4-475C-A64B-0D4EA7664C36}" id="{735BAC0F-7B33-4CC2-9F20-26F769B2560C}" parentId="{4044C344-4F47-4CE5-9B65-F03BD31E4523}">
    <text>NFV reserved loads updated on 12/12/23</text>
  </threadedComment>
  <threadedComment ref="AB22" personId="{85E1FF79-A144-42AE-9357-8A09D5B2EAF1}" id="{3F999200-A93C-44D6-8A16-A20CFA32F5FF}">
    <text xml:space="preserve">Based on recorded readings as per forecasting spreadsheet 
</text>
  </threadedComment>
  <threadedComment ref="AB22" dT="2022-04-21T10:36:49.26" personId="{EE0D0C17-83F4-475C-A64B-0D4EA7664C36}" id="{F455BEA5-43C2-401D-B72C-A46A6EF582DF}" parentId="{3F999200-A93C-44D6-8A16-A20CFA32F5FF}">
    <text>NFV loads reviewed 20/04/2022</text>
  </threadedComment>
  <threadedComment ref="AB22" dT="2022-08-31T06:54:23.49" personId="{EE0D0C17-83F4-475C-A64B-0D4EA7664C36}" id="{097685EF-1D08-44C9-98CB-77CC6B5484D0}" parentId="{3F999200-A93C-44D6-8A16-A20CFA32F5FF}">
    <text>NFV reserved loads updated on 26/07/2022</text>
  </threadedComment>
  <threadedComment ref="AB22" dT="2022-10-03T14:50:23.24" personId="{EE0D0C17-83F4-475C-A64B-0D4EA7664C36}" id="{5B507DDE-1B88-489E-BA53-DB4629A9F507}" parentId="{3F999200-A93C-44D6-8A16-A20CFA32F5FF}">
    <text>NFV reserved loads updated on 3/10/2022</text>
  </threadedComment>
  <threadedComment ref="AB22" dT="2022-12-23T11:22:56.82" personId="{EE0D0C17-83F4-475C-A64B-0D4EA7664C36}" id="{45239FA4-0D53-4089-9322-1DBE3E0BE23A}" parentId="{3F999200-A93C-44D6-8A16-A20CFA32F5FF}">
    <text>NFV reserved loads updated on 23/12/2022</text>
  </threadedComment>
  <threadedComment ref="AB22" dT="2023-07-25T09:05:30.50" personId="{EE0D0C17-83F4-475C-A64B-0D4EA7664C36}" id="{F8ACF098-C95E-49FE-A094-2450C401E5EB}" parentId="{3F999200-A93C-44D6-8A16-A20CFA32F5FF}">
    <text>NFV reserved loads updated on 25/07/23</text>
  </threadedComment>
  <threadedComment ref="AB22" dT="2023-08-25T11:50:26.84" personId="{EE0D0C17-83F4-475C-A64B-0D4EA7664C36}" id="{F556FFD2-7933-4FA4-9103-2D00A496651B}" parentId="{3F999200-A93C-44D6-8A16-A20CFA32F5FF}">
    <text xml:space="preserve">NFV reserved loads updated on 25/08/2023 </text>
  </threadedComment>
  <threadedComment ref="AB22" dT="2023-10-11T08:35:03.85" personId="{EE0D0C17-83F4-475C-A64B-0D4EA7664C36}" id="{CC17DB99-6B32-4891-9B40-DAEBEFC8074B}" parentId="{3F999200-A93C-44D6-8A16-A20CFA32F5FF}">
    <text>NFV reserved loads updated on 11/10/2023</text>
  </threadedComment>
  <threadedComment ref="AC22" dT="2023-10-12T09:14:32.61" personId="{B34D45DE-CC68-4155-AFB0-9BCA0A5FF4F3}" id="{75C931A9-1D9D-46F0-9651-50125810CA27}">
    <text>20A removed from PECEH reserved load for ISNG probes (23027) as for NFV probing</text>
  </threadedComment>
  <threadedComment ref="E23" dT="2024-04-29T08:23:58.17" personId="{B34D45DE-CC68-4155-AFB0-9BCA0A5FF4F3}" id="{1962CD15-856F-468B-9514-CC425605A5ED}">
    <text>Last update 21/04/24. Possible loss of controller may have contributed to increase in loads on other plants</text>
  </threadedComment>
  <threadedComment ref="AC24" dT="2023-10-12T09:14:41.11" personId="{B34D45DE-CC68-4155-AFB0-9BCA0A5FF4F3}" id="{CEB2F462-1057-4534-8E9A-5BD12D6BD84A}">
    <text>20A removed from PEEEH reserved load for ISNG probes (23027) as for NFV probing</text>
  </threadedComment>
  <threadedComment ref="AC25" dT="2023-10-12T09:14:48.65" personId="{B34D45DE-CC68-4155-AFB0-9BCA0A5FF4F3}" id="{222E58C0-A49C-4DAD-9D69-CEC78F45710E}">
    <text>20A removed from PEFEH reserved load for ISNG probes (23027) as for NFV probing</text>
  </threadedComment>
  <threadedComment ref="AC27" dT="2023-08-25T11:01:16.39" personId="{EE0D0C17-83F4-475C-A64B-0D4EA7664C36}" id="{0C8C6709-4530-4EAF-901F-7A331F5C4D7F}">
    <text>HGW Due to move onto NFV will reduce the load by 5kW</text>
  </threadedComment>
  <threadedComment ref="D29" dT="2024-03-18T08:58:14.80" personId="{B34D45DE-CC68-4155-AFB0-9BCA0A5FF4F3}" id="{12E15364-CB3F-471B-B140-AF07392646B0}">
    <text>Last update 10/03/24</text>
  </threadedComment>
  <threadedComment ref="X32" dT="2022-11-17T11:34:59.45" personId="{EE0D0C17-83F4-475C-A64B-0D4EA7664C36}" id="{162C1E80-59E5-42F1-8855-D7F9A9AEEAAE}">
    <text>DCSYS06a &amp; b 28.8kW of the 75kW capacity is reserved for the AC system</text>
  </threadedComment>
  <threadedComment ref="Z32" dT="2022-11-17T11:35:18.55" personId="{EE0D0C17-83F4-475C-A64B-0D4EA7664C36}" id="{8A6F364F-A6C2-4259-B20E-F2C9A826D957}">
    <text>DCSYS06a &amp; b 28.8kW of the 75kW capacity is reserved for the AC system</text>
  </threadedComment>
  <threadedComment ref="AB32" dT="2022-06-14T13:56:15.60" personId="{EE0D0C17-83F4-475C-A64B-0D4EA7664C36}" id="{04592958-0DEA-43AB-BD2D-AAB67143C667}">
    <text>New NFV Live and reserved loads added 14/06/2022</text>
  </threadedComment>
  <threadedComment ref="AB32" dT="2022-08-31T06:55:49.95" personId="{EE0D0C17-83F4-475C-A64B-0D4EA7664C36}" id="{09F23BE1-8ED3-4C94-A915-7275FE560AEC}" parentId="{04592958-0DEA-43AB-BD2D-AAB67143C667}">
    <text xml:space="preserve">NFV reserved loads updated on 26/08/2022 Synergy Frames capacity reduced from 7.5kW to 6kW </text>
  </threadedComment>
  <threadedComment ref="AB32" dT="2022-10-10T14:25:18.87" personId="{EE0D0C17-83F4-475C-A64B-0D4EA7664C36}" id="{9901C00D-E50D-4C9A-8F5E-841A823F2346}" parentId="{04592958-0DEA-43AB-BD2D-AAB67143C667}">
    <text xml:space="preserve">NFV Live load readings taken 10/10/2022 reserved updated </text>
  </threadedComment>
  <threadedComment ref="AB32" dT="2022-12-29T11:20:33.12" personId="{EE0D0C17-83F4-475C-A64B-0D4EA7664C36}" id="{D8CAB46D-A02B-4566-846F-603B47C257AF}" parentId="{04592958-0DEA-43AB-BD2D-AAB67143C667}">
    <text xml:space="preserve">NFV reserved loads updated on 29/12/2022 </text>
  </threadedComment>
  <threadedComment ref="AB32" dT="2023-04-03T15:12:42.19" personId="{EE0D0C17-83F4-475C-A64B-0D4EA7664C36}" id="{89011A17-586F-42B2-A5F7-46BB1CE3A9F3}" parentId="{04592958-0DEA-43AB-BD2D-AAB67143C667}">
    <text xml:space="preserve">NFV reserved loads reviewed </text>
  </threadedComment>
  <threadedComment ref="AB32" dT="2023-09-26T10:56:19.30" personId="{EE0D0C17-83F4-475C-A64B-0D4EA7664C36}" id="{CF5E270A-E065-4251-A73D-CE06A63DDE6F}" parentId="{04592958-0DEA-43AB-BD2D-AAB67143C667}">
    <text>NFV reserved loads updated 26/09/2023</text>
  </threadedComment>
  <threadedComment ref="AB32" dT="2023-11-02T11:15:30.45" personId="{EE0D0C17-83F4-475C-A64B-0D4EA7664C36}" id="{63EE1866-7721-4ED7-A611-C8882C9D6E4C}" parentId="{04592958-0DEA-43AB-BD2D-AAB67143C667}">
    <text>NFV reserved loads reviewed 02/11/23</text>
  </threadedComment>
  <threadedComment ref="AB32" dT="2023-12-13T16:10:59.89" personId="{EE0D0C17-83F4-475C-A64B-0D4EA7664C36}" id="{C3115105-523F-4BE5-8167-FCE7D36BD801}" parentId="{04592958-0DEA-43AB-BD2D-AAB67143C667}">
    <text>NFV reserved loads updated on 13th Dec 23</text>
  </threadedComment>
  <threadedComment ref="AB32" dT="2023-12-21T08:19:20.21" personId="{EE0D0C17-83F4-475C-A64B-0D4EA7664C36}" id="{942ED25B-A975-4EF2-A850-789BAFFA8148}" parentId="{04592958-0DEA-43AB-BD2D-AAB67143C667}">
    <text xml:space="preserve">NFV reserved loads updated on 21st Dec </text>
  </threadedComment>
  <threadedComment ref="AB32" dT="2024-02-20T08:59:43.25" personId="{EE0D0C17-83F4-475C-A64B-0D4EA7664C36}" id="{761D0194-E683-4B0B-A5F7-C83938DAA3FA}" parentId="{04592958-0DEA-43AB-BD2D-AAB67143C667}">
    <text xml:space="preserve">NFV reserved loads updated on 20th Feb </text>
  </threadedComment>
  <threadedComment ref="AD34" dT="2023-09-12T07:35:51.01" personId="{782E12E2-67C1-4DB3-98D5-09F590D7262E}" id="{B21C7472-B02B-4E10-86AE-FF48CC8CE80E}">
    <text>allows S2R to deliver for 3 site 6M SAU delivery</text>
  </threadedComment>
  <threadedComment ref="AD34" dT="2023-09-12T07:37:55.79" personId="{782E12E2-67C1-4DB3-98D5-09F590D7262E}" id="{736B1280-6063-42FF-84C3-28C771E511DE}" parentId="{B21C7472-B02B-4E10-86AE-FF48CC8CE80E}">
    <text>Proposed location 194/195 hence C&amp;D</text>
  </threadedComment>
  <threadedComment ref="B37" dT="2022-11-15T11:38:38.63" personId="{B34D45DE-CC68-4155-AFB0-9BCA0A5FF4F3}" id="{F8859447-4AA6-4AA6-9237-D097A2A7BA63}">
    <text>28.8kW of the 75kW capacity is reserved for the AC system</text>
  </threadedComment>
  <threadedComment ref="D37" dT="2023-03-23T11:12:24.71" personId="{EE0D0C17-83F4-475C-A64B-0D4EA7664C36}" id="{B3B4E135-6759-4D63-9E11-01A47DA34282}">
    <text>Load figure is the total load for AC and DC </text>
  </threadedComment>
  <threadedComment ref="E37" dT="2023-03-23T11:12:24.71" personId="{EE0D0C17-83F4-475C-A64B-0D4EA7664C36}" id="{1B247681-1489-4279-9768-67975548BA2C}">
    <text>Load figure is the total load for AC and DC </text>
  </threadedComment>
  <threadedComment ref="L37" dT="2021-10-26T09:05:51.24" personId="{B34D45DE-CC68-4155-AFB0-9BCA0A5FF4F3}" id="{24FA21A6-9725-4535-9EBE-AAF4FEF4D90C}">
    <text>28.8kW of the 75kW capacity is reserved for the AC system</text>
  </threadedComment>
  <threadedComment ref="L37" dT="2022-04-01T12:26:46.80" personId="{1699DB14-EF90-4D8C-8D94-96EF4A9CE1C6}" id="{2FE9FC00-14F3-41D5-8849-69BCEED62497}" parentId="{24FA21A6-9725-4535-9EBE-AAF4FEF4D90C}">
    <text>Useable DC capacity is 59 without reducing AC capacity</text>
  </threadedComment>
  <threadedComment ref="L37" dT="2022-11-14T13:20:52.88" personId="{EE0D0C17-83F4-475C-A64B-0D4EA7664C36}" id="{A4CCF6E6-E318-4443-B818-3154D620D7A0}" parentId="{24FA21A6-9725-4535-9EBE-AAF4FEF4D90C}">
    <text>Added the 16kW AC capacity into the DC figures. Only 59kW useable</text>
  </threadedComment>
  <threadedComment ref="L37" dT="2022-11-14T13:21:46.82" personId="{EE0D0C17-83F4-475C-A64B-0D4EA7664C36}" id="{88F9AC0A-5123-4BBD-8490-8F5FB4CB3220}" parentId="{24FA21A6-9725-4535-9EBE-AAF4FEF4D90C}">
    <text xml:space="preserve">Cells highlighted to show includes Inverter capacity </text>
  </threadedComment>
  <threadedComment ref="B38" dT="2022-11-15T11:38:49.79" personId="{B34D45DE-CC68-4155-AFB0-9BCA0A5FF4F3}" id="{16A29B51-7761-4F17-B0F8-CB02F2C77B12}">
    <text>28.8kW of the 75kW capacity is reserved for the AC system</text>
  </threadedComment>
  <threadedComment ref="D38" dT="2023-03-23T11:12:33.59" personId="{EE0D0C17-83F4-475C-A64B-0D4EA7664C36}" id="{08B2D8C4-F8FC-41B5-84A9-519241867F2D}">
    <text>Load figure is the total load for AC and DC </text>
  </threadedComment>
  <threadedComment ref="E38" dT="2023-03-23T11:12:33.59" personId="{EE0D0C17-83F4-475C-A64B-0D4EA7664C36}" id="{3A69A087-CC66-4BFD-A315-707E9AF54407}">
    <text>Load figure is the total load for AC and DC </text>
  </threadedComment>
  <threadedComment ref="L38" dT="2021-10-26T09:06:01.98" personId="{B34D45DE-CC68-4155-AFB0-9BCA0A5FF4F3}" id="{C160DAEE-2E03-492F-917B-2CDAE9B2E5C2}">
    <text>28.8kW of the 75kW capacity is reserved for the AC system</text>
  </threadedComment>
  <threadedComment ref="L38" dT="2022-04-01T12:26:55.43" personId="{1699DB14-EF90-4D8C-8D94-96EF4A9CE1C6}" id="{62123E38-0CC2-4257-B2F2-74D61BA2B8AB}" parentId="{C160DAEE-2E03-492F-917B-2CDAE9B2E5C2}">
    <text>Useable DC capacity is 59 without reducing AC capacity</text>
  </threadedComment>
  <threadedComment ref="L38" dT="2022-11-14T13:22:16.20" personId="{EE0D0C17-83F4-475C-A64B-0D4EA7664C36}" id="{9A4B2F5C-DF68-4825-A918-30014F508C42}" parentId="{C160DAEE-2E03-492F-917B-2CDAE9B2E5C2}">
    <text>Added the 16kW AC capacity into the DC figures. Only 59kW useable</text>
  </threadedComment>
  <threadedComment ref="L38" dT="2022-11-14T13:22:34.09" personId="{EE0D0C17-83F4-475C-A64B-0D4EA7664C36}" id="{485065EA-62F6-4232-B1D4-EB7EC79243B3}" parentId="{C160DAEE-2E03-492F-917B-2CDAE9B2E5C2}">
    <text xml:space="preserve">Cells highlighted to show includes Inverter capacity </text>
  </threadedComment>
  <threadedComment ref="D39" dT="2024-03-11T08:35:11.38" personId="{B34D45DE-CC68-4155-AFB0-9BCA0A5FF4F3}" id="{42BABB0C-5B12-4BF9-ABD3-CC2BC5E84C12}">
    <text>Last reading 25/02/24</text>
  </threadedComment>
  <threadedComment ref="AB39" dT="2022-08-31T06:57:39.06" personId="{EE0D0C17-83F4-475C-A64B-0D4EA7664C36}" id="{D6673DC8-181F-45D5-B1A6-D7CAD2CCE7E9}">
    <text xml:space="preserve">NFV reserved loads updated &amp; Synergy frames  capacity reduce from 7.5kW to 6kW on 26/08/2022
</text>
  </threadedComment>
  <threadedComment ref="AB39" dT="2022-12-19T15:31:19.85" personId="{EE0D0C17-83F4-475C-A64B-0D4EA7664C36}" id="{93D3424C-DB24-4BB9-A817-7236BC5C88CE}" parentId="{D6673DC8-181F-45D5-B1A6-D7CAD2CCE7E9}">
    <text>NFV Load review undertook on 19th Dec 22</text>
  </threadedComment>
  <threadedComment ref="AB39" dT="2023-02-21T10:52:24.78" personId="{EE0D0C17-83F4-475C-A64B-0D4EA7664C36}" id="{C296511B-EB8D-4004-82AC-B78309FD354A}" parentId="{D6673DC8-181F-45D5-B1A6-D7CAD2CCE7E9}">
    <text xml:space="preserve">NFV Load review undertook on 20th Feb-23 </text>
  </threadedComment>
  <threadedComment ref="AB39" dT="2023-07-11T11:11:14.18" personId="{EE0D0C17-83F4-475C-A64B-0D4EA7664C36}" id="{F27CFBFA-263A-4BA6-B3A1-DCDB8B684F87}" parentId="{D6673DC8-181F-45D5-B1A6-D7CAD2CCE7E9}">
    <text xml:space="preserve">NFV Load review undertaken </text>
  </threadedComment>
  <threadedComment ref="AB39" dT="2023-09-07T08:39:26.40" personId="{EE0D0C17-83F4-475C-A64B-0D4EA7664C36}" id="{EEABFCDF-269A-460F-B14B-72245F9C8E18}" parentId="{D6673DC8-181F-45D5-B1A6-D7CAD2CCE7E9}">
    <text xml:space="preserve">NFV loads review undertaken </text>
  </threadedComment>
  <threadedComment ref="AB39" dT="2023-12-11T11:25:04.24" personId="{EE0D0C17-83F4-475C-A64B-0D4EA7664C36}" id="{E9511950-4D2A-4701-BBB8-6D765356D3BB}" parentId="{D6673DC8-181F-45D5-B1A6-D7CAD2CCE7E9}">
    <text>NFV reserved loads updated 11/12/23</text>
  </threadedComment>
  <threadedComment ref="AE39" personId="{548BD758-4F90-4C5F-9BB2-0139B35241B2}" id="{D486DC4F-8825-4C9D-BCAC-BD2DED496201}">
    <text>45A allocated</text>
  </threadedComment>
  <threadedComment ref="D40" dT="2024-01-29T09:03:36.50" personId="{B34D45DE-CC68-4155-AFB0-9BCA0A5FF4F3}" id="{CD5B93F0-D7AE-4A67-B032-1B402AC040BC}">
    <text>Being migrated to DCSYS02</text>
  </threadedComment>
  <threadedComment ref="AE40" personId="{548BD758-4F90-4C5F-9BB2-0139B35241B2}" id="{FB2FE5A4-EE63-43DB-A977-43AA111FF01D}">
    <text>45A allocated</text>
  </threadedComment>
  <threadedComment ref="D41" dT="2024-03-11T08:35:18.86" personId="{B34D45DE-CC68-4155-AFB0-9BCA0A5FF4F3}" id="{22EFB659-2339-4676-8CEA-5C62BFCC0E21}">
    <text>Last reading 25/02/24</text>
  </threadedComment>
  <threadedComment ref="D43" dT="2024-02-19T09:36:14.50" personId="{B34D45DE-CC68-4155-AFB0-9BCA0A5FF4F3}" id="{90348ACE-1853-407F-9088-17D339EE42F2}">
    <text>Last update 11/02/24</text>
  </threadedComment>
  <threadedComment ref="D44" dT="2024-03-11T08:35:26.27" personId="{B34D45DE-CC68-4155-AFB0-9BCA0A5FF4F3}" id="{BB267428-AE9D-4231-B7D9-15B21DF51566}">
    <text>Last reading 25/02/24</text>
  </threadedComment>
  <threadedComment ref="D47" dT="2024-03-11T08:34:55.72" personId="{B34D45DE-CC68-4155-AFB0-9BCA0A5FF4F3}" id="{D37CA9ED-A799-4EE9-BF26-4E369B53012A}">
    <text>Last reading 25/02/24</text>
  </threadedComment>
  <threadedComment ref="D49" dT="2024-03-11T08:35:01.47" personId="{B34D45DE-CC68-4155-AFB0-9BCA0A5FF4F3}" id="{7EEEE922-C898-411C-B63E-44304A7AA49A}">
    <text>Last reading 25/02/24</text>
  </threadedComment>
  <threadedComment ref="H53" personId="{85E1FF79-A144-42AE-9357-8A09D5B2EAF1}" id="{19E420AE-D884-4DC4-B2F7-B60A02D3E461}">
    <text>07/01/21 x6 removed for use at XEH</text>
  </threadedComment>
  <threadedComment ref="H54" personId="{85E1FF79-A144-42AE-9357-8A09D5B2EAF1}" id="{BEE38BF1-E739-42C8-8FAF-83B2C6F39430}">
    <text>07/01/21 x6 removed for use at XEH</text>
  </threadedComment>
  <threadedComment ref="H55" personId="{85E1FF79-A144-42AE-9357-8A09D5B2EAF1}" id="{336E5396-F129-4D17-A688-24AA24E228D7}">
    <text>07/01/21 x24 removed for use at XEH</text>
  </threadedComment>
  <threadedComment ref="V56" dT="2022-07-01T09:21:57.99" personId="{B34D45DE-CC68-4155-AFB0-9BCA0A5FF4F3}" id="{2C09372E-EFEF-41FF-B045-C83621F022D3}">
    <text>20kW reduction to align with bldg capability (480kW reduced to 460kW)</text>
  </threadedComment>
  <threadedComment ref="X56" dT="2022-04-11T07:57:33.58" personId="{B34D45DE-CC68-4155-AFB0-9BCA0A5FF4F3}" id="{EFD20F6D-C919-4B01-A68A-911BB3AA1D33}">
    <text>Max tech load fig used (460kW) as lower than deployed usable capability (480kW)</text>
  </threadedComment>
  <threadedComment ref="AB56" personId="{85E1FF79-A144-42AE-9357-8A09D5B2EAF1}" id="{B11B1956-47AF-4136-8111-E865E900F5CB}">
    <text xml:space="preserve">Based on recorded readings as per forecasting spreadsheet </text>
  </threadedComment>
  <threadedComment ref="AB56" dT="2022-04-21T10:37:17.36" personId="{EE0D0C17-83F4-475C-A64B-0D4EA7664C36}" id="{93F8098B-10B6-4FCA-A30D-D7CAA905D747}" parentId="{B11B1956-47AF-4136-8111-E865E900F5CB}">
    <text>NFV loads reviewed 20/04/2022</text>
  </threadedComment>
  <threadedComment ref="AB56" dT="2022-08-31T06:58:09.85" personId="{EE0D0C17-83F4-475C-A64B-0D4EA7664C36}" id="{6FDA6ADD-BD92-47DE-9015-4B268C0BE01D}" parentId="{B11B1956-47AF-4136-8111-E865E900F5CB}">
    <text>NFV reserved loads updated on 26/7/2022</text>
  </threadedComment>
  <threadedComment ref="AB56" dT="2022-12-19T15:30:47.68" personId="{EE0D0C17-83F4-475C-A64B-0D4EA7664C36}" id="{6451D8A7-9380-485B-89EC-EC99D578D0C4}" parentId="{B11B1956-47AF-4136-8111-E865E900F5CB}">
    <text xml:space="preserve">NFV Load review undertook on 19th Dec </text>
  </threadedComment>
  <threadedComment ref="AB56" dT="2023-02-27T14:53:20.40" personId="{EE0D0C17-83F4-475C-A64B-0D4EA7664C36}" id="{6E1A5324-EF99-444B-943E-BEF62B15FF42}" parentId="{B11B1956-47AF-4136-8111-E865E900F5CB}">
    <text>NFV load review undertaken on 27/02/2023</text>
  </threadedComment>
  <threadedComment ref="AB56" dT="2023-07-11T11:11:34.54" personId="{EE0D0C17-83F4-475C-A64B-0D4EA7664C36}" id="{B17EE00E-B31B-45E6-9935-276FCB571888}" parentId="{B11B1956-47AF-4136-8111-E865E900F5CB}">
    <text xml:space="preserve">NFV Load review undertaken </text>
  </threadedComment>
  <threadedComment ref="AB56" dT="2023-07-25T13:01:59.02" personId="{EE0D0C17-83F4-475C-A64B-0D4EA7664C36}" id="{39F237E8-CB9B-48A5-904F-1A64649CDF20}" parentId="{B11B1956-47AF-4136-8111-E865E900F5CB}">
    <text>NFV reserved load reading undertaken 25/07/2023</text>
  </threadedComment>
  <threadedComment ref="AB56" dT="2023-11-13T13:10:32.94" personId="{EE0D0C17-83F4-475C-A64B-0D4EA7664C36}" id="{EBBF6AA8-A7DC-4F6F-8C5C-DD63F8573849}" parentId="{B11B1956-47AF-4136-8111-E865E900F5CB}">
    <text xml:space="preserve">NFV reserved load review undertaken </text>
  </threadedComment>
  <threadedComment ref="AB56" dT="2023-12-11T11:29:20.64" personId="{EE0D0C17-83F4-475C-A64B-0D4EA7664C36}" id="{E4B35C0F-575E-49EE-B4D2-39D5853D38D4}" parentId="{B11B1956-47AF-4136-8111-E865E900F5CB}">
    <text>NFV Load review undertaken 11/12/23</text>
  </threadedComment>
  <threadedComment ref="V59" dT="2022-03-07T08:36:31.49" personId="{B34D45DE-CC68-4155-AFB0-9BCA0A5FF4F3}" id="{43664F84-4782-441A-A5BE-14D5E8CEDA30}">
    <text>Max usable tech load fig used as this is lower than the deployed capability</text>
  </threadedComment>
  <threadedComment ref="AB64" personId="{85E1FF79-A144-42AE-9357-8A09D5B2EAF1}" id="{4D35DD2B-128A-46B9-9733-D7C2F2C0A01C}">
    <text xml:space="preserve">Based on recorded readings as per forecasting spreadsheet </text>
  </threadedComment>
  <threadedComment ref="AB64" dT="2022-04-21T10:37:39.26" personId="{EE0D0C17-83F4-475C-A64B-0D4EA7664C36}" id="{1C0188FE-E212-42F9-8CA9-41A60E5EF547}" parentId="{4D35DD2B-128A-46B9-9733-D7C2F2C0A01C}">
    <text>NFV loads reviewed 20/04/2022</text>
  </threadedComment>
  <threadedComment ref="AB64" dT="2022-08-31T06:58:35.52" personId="{EE0D0C17-83F4-475C-A64B-0D4EA7664C36}" id="{A0CCF4E2-D2E9-4398-B21E-37E9DA9E9383}" parentId="{4D35DD2B-128A-46B9-9733-D7C2F2C0A01C}">
    <text>NFV reserved loads updated on 26/07/2022</text>
  </threadedComment>
  <threadedComment ref="AB64" dT="2022-12-23T11:22:44.27" personId="{EE0D0C17-83F4-475C-A64B-0D4EA7664C36}" id="{65F68801-4142-498B-A3E2-08E36FA0A810}" parentId="{4D35DD2B-128A-46B9-9733-D7C2F2C0A01C}">
    <text>NFV reserved loads updated on 23/12/2022</text>
  </threadedComment>
  <threadedComment ref="AB64" dT="2023-07-25T09:30:25.45" personId="{EE0D0C17-83F4-475C-A64B-0D4EA7664C36}" id="{81E6882A-88CD-4631-B345-7699CC5BE3F2}" parentId="{4D35DD2B-128A-46B9-9733-D7C2F2C0A01C}">
    <text>NFV reserved loads updated on 23/12/2023</text>
  </threadedComment>
  <threadedComment ref="D70" dT="2023-04-25T13:04:12.30" personId="{B34D45DE-CC68-4155-AFB0-9BCA0A5FF4F3}" id="{17DA783A-C529-4CBC-91CA-1CAD2BEF1E8A}">
    <text>Last load reading date TBC</text>
  </threadedComment>
  <threadedComment ref="E70" dT="2023-04-25T13:04:12.30" personId="{B34D45DE-CC68-4155-AFB0-9BCA0A5FF4F3}" id="{62A4B621-ADF1-4A85-B578-BA720FFF76A3}">
    <text>Last load reading date TBC</text>
  </threadedComment>
  <threadedComment ref="D71" dT="2023-04-25T13:04:23.74" personId="{B34D45DE-CC68-4155-AFB0-9BCA0A5FF4F3}" id="{EACFBA2E-253B-4615-8F78-57FF3C3DFC64}">
    <text>Last load reading date TBC</text>
  </threadedComment>
  <threadedComment ref="E71" dT="2023-04-25T13:04:23.74" personId="{B34D45DE-CC68-4155-AFB0-9BCA0A5FF4F3}" id="{304B8C78-1EDB-4815-810E-D7C24A8AE3F5}">
    <text>Last load reading date TBC</text>
  </threadedComment>
  <threadedComment ref="AB73" dT="2022-08-31T06:59:39.20" personId="{EE0D0C17-83F4-475C-A64B-0D4EA7664C36}" id="{AAE684FF-88D7-4FB4-8B2D-3C2CCD7B8038}">
    <text xml:space="preserve">NFV reserved loads updated &amp; Synergy frames capacity reduced from 7.5kW to 6kW on 26/08/2022 </text>
  </threadedComment>
  <threadedComment ref="AB73" dT="2022-12-29T11:19:56.80" personId="{EE0D0C17-83F4-475C-A64B-0D4EA7664C36}" id="{EEC0D680-D5E3-485F-BA8F-15DC0DC49DCF}" parentId="{AAE684FF-88D7-4FB4-8B2D-3C2CCD7B8038}">
    <text xml:space="preserve">NFV reserved loads updated 29/12/2022 </text>
  </threadedComment>
  <threadedComment ref="AB73" dT="2023-04-19T15:12:19.45" personId="{EE0D0C17-83F4-475C-A64B-0D4EA7664C36}" id="{63C016B0-4B12-4ED5-A6DB-C8C0DEEB5B93}" parentId="{AAE684FF-88D7-4FB4-8B2D-3C2CCD7B8038}">
    <text xml:space="preserve">NFV reserved loads updated </text>
  </threadedComment>
  <threadedComment ref="AB73" dT="2023-07-31T12:30:46.91" personId="{EE0D0C17-83F4-475C-A64B-0D4EA7664C36}" id="{219AFE89-3D21-4BB9-84AC-F935996D85EB}" parentId="{AAE684FF-88D7-4FB4-8B2D-3C2CCD7B8038}">
    <text>NFV Load updated on 29th July 23</text>
  </threadedComment>
  <threadedComment ref="AB73" dT="2023-08-29T15:26:19.07" personId="{EE0D0C17-83F4-475C-A64B-0D4EA7664C36}" id="{EC9B054F-E397-40AE-AD2A-5AFE5E0DB5A2}" parentId="{AAE684FF-88D7-4FB4-8B2D-3C2CCD7B8038}">
    <text>NFV live &amp; reserved loads updated 30/08/2023</text>
  </threadedComment>
  <threadedComment ref="AB73" dT="2023-12-12T07:25:30.02" personId="{EE0D0C17-83F4-475C-A64B-0D4EA7664C36}" id="{0E13C81B-F9C2-42AC-9FD1-0DE59F6EE63A}" parentId="{AAE684FF-88D7-4FB4-8B2D-3C2CCD7B8038}">
    <text>NFV reserved loads updated 12/12/23</text>
  </threadedComment>
  <threadedComment ref="H75" dT="2022-11-17T11:36:25.17" personId="{EE0D0C17-83F4-475C-A64B-0D4EA7664C36}" id="{078554BB-06F0-4FD7-B1FB-B56359950BBD}">
    <text xml:space="preserve">Number of modules reduced to 28 to  move capacity onto DCSYS07a &amp; b </text>
  </threadedComment>
  <threadedComment ref="H75" dT="2023-10-26T09:58:35.41" personId="{782E12E2-67C1-4DB3-98D5-09F590D7262E}" id="{31CABE45-4DC9-41A5-8342-8AB5E44A2F97}" parentId="{078554BB-06F0-4FD7-B1FB-B56359950BBD}">
    <text>Following Eaton Upgrade revised rectifier count is 34</text>
  </threadedComment>
  <threadedComment ref="AG76" personId="{85E1FF79-A144-42AE-9357-8A09D5B2EAF1}" id="{8CC96BC0-48CE-4E0B-A2F3-85A53CF88090}">
    <text>138A allocated (1.5kW per cab on day one, could go to 5kW)</text>
  </threadedComment>
  <threadedComment ref="AG76" dT="2022-11-03T13:44:07.07" personId="{EE0D0C17-83F4-475C-A64B-0D4EA7664C36}" id="{84012D6B-F0C3-4BA1-92AC-9691F7BED581}" parentId="{8CC96BC0-48CE-4E0B-A2F3-85A53CF88090}">
    <text>AP Reduced to 4 kW to be in line for the Network sites</text>
  </threadedComment>
  <threadedComment ref="AE77" personId="{85E1FF79-A144-42AE-9357-8A09D5B2EAF1}" id="{CFD3DC83-8300-4537-8E4A-7F8C967A4029}">
    <text>138A allocated (1.5kW per cab on day one, could go to 5kW)</text>
  </threadedComment>
  <threadedComment ref="AE77" dT="2022-11-03T13:44:26.68" personId="{EE0D0C17-83F4-475C-A64B-0D4EA7664C36}" id="{C88ABE52-7120-4612-BA9B-AF4C22950F48}" parentId="{CFD3DC83-8300-4537-8E4A-7F8C967A4029}">
    <text>AP Reduced to 4 kW to be in line for the Network sites</text>
  </threadedComment>
  <threadedComment ref="W78" dT="2022-11-17T11:37:17.95" personId="{EE0D0C17-83F4-475C-A64B-0D4EA7664C36}" id="{5F32A5FD-B316-48E2-A1F1-B88200B54B6D}">
    <text xml:space="preserve">Pending expansion of x5 rectifiers </text>
  </threadedComment>
  <threadedComment ref="W78" dT="2023-01-27T13:27:18.93" personId="{782E12E2-67C1-4DB3-98D5-09F590D7262E}" id="{8AD3CF62-8CA3-48A4-A0E2-9AF6831EB12A}" parentId="{5F32A5FD-B316-48E2-A1F1-B88200B54B6D}">
    <text>upgrade completed</text>
  </threadedComment>
  <threadedComment ref="W79" dT="2022-11-17T11:37:31.22" personId="{EE0D0C17-83F4-475C-A64B-0D4EA7664C36}" id="{3C730509-695D-4379-B16E-A09D87378E61}">
    <text xml:space="preserve">Pending expansion of x5 rectifiers </text>
  </threadedComment>
  <threadedComment ref="AD86" personId="{548BD758-4F90-4C5F-9BB2-0139B35241B2}" id="{C686C913-ACB7-4203-95BA-A54F4C9435BD}">
    <text>No kit in cabs yet</text>
  </threadedComment>
  <threadedComment ref="AD87" personId="{85E1FF79-A144-42AE-9357-8A09D5B2EAF1}" id="{856E799D-704B-41C0-AD44-03DA8786C925}">
    <text>No kit in cabs yet</text>
  </threadedComment>
  <threadedComment ref="AE94" dT="2023-05-24T08:57:02.61" personId="{B34D45DE-CC68-4155-AFB0-9BCA0A5FF4F3}" id="{6625460F-3136-45B4-895B-26DD59C4F39C}">
    <text>65A allocated</text>
  </threadedComment>
  <threadedComment ref="AE95" dT="2023-05-24T08:57:08.17" personId="{B34D45DE-CC68-4155-AFB0-9BCA0A5FF4F3}" id="{7ECF5251-5CBD-431A-B6E2-03DC8D416063}">
    <text>65A allocated</text>
  </threadedComment>
  <threadedComment ref="B96" dT="2022-08-23T12:42:49.95" personId="{B34D45DE-CC68-4155-AFB0-9BCA0A5FF4F3}" id="{1B8C3581-2C70-4679-9C29-856B8063E37A}">
    <text>85A increase on 19/08/22. Likely to be Redstream Evo RA, though no increase on PEDCF
05/9/22- 48A decrease
12/09/22- 26A decrease
26/09/22- 33A increase
03/10/22- 16A decrease
17/10/22- 24A increase
12/12/22- 100A decrease</text>
  </threadedComment>
  <threadedComment ref="AG99" personId="{85E1FF79-A144-42AE-9357-8A09D5B2EAF1}" id="{C43461D2-979D-40E4-8899-E23853BEBF24}">
    <text>1.5kW per cab on day one, could go to 5kW</text>
  </threadedComment>
  <threadedComment ref="AG99" dT="2022-11-03T13:45:38.92" personId="{EE0D0C17-83F4-475C-A64B-0D4EA7664C36}" id="{76B23404-F744-4522-A62F-1E0683A3888D}" parentId="{C43461D2-979D-40E4-8899-E23853BEBF24}">
    <text>AP Reduced to 4 kW to be in line for the Network sites</text>
  </threadedComment>
  <threadedComment ref="AI99" dT="2023-10-24T10:46:10.92" personId="{EE0D0C17-83F4-475C-A64B-0D4EA7664C36}" id="{D2B177A8-90C9-49F9-A976-48325EC4AB6E}">
    <text xml:space="preserve">Reduced to 13A after M-CE upgrade completed </text>
  </threadedComment>
  <threadedComment ref="AG100" personId="{85E1FF79-A144-42AE-9357-8A09D5B2EAF1}" id="{2016F649-069E-4BE2-A35B-0504DE030E87}">
    <text>1.5kW per cab on day one, could go to 5kW</text>
  </threadedComment>
  <threadedComment ref="AG100" dT="2022-11-03T13:45:47.59" personId="{EE0D0C17-83F4-475C-A64B-0D4EA7664C36}" id="{890E1D14-C344-492B-A2B2-BA5800B3FF6C}" parentId="{2016F649-069E-4BE2-A35B-0504DE030E87}">
    <text>AP Reduced to 4 kW to be in line for the Network sites</text>
  </threadedComment>
  <threadedComment ref="D109" personId="{32CADD77-8658-482A-9219-5397F5907CD4}" id="{6581AA20-AAB6-4AE6-BF94-5AC23EC52908}">
    <text>Take Reading from Rectifier Group - Total Current
This follows on from its extension.
Total load= sw rm 3 use (plus conversion DC-AC, remainder sw rm 1)</text>
  </threadedComment>
  <threadedComment ref="D109" dT="2023-04-25T13:06:08.28" personId="{B34D45DE-CC68-4155-AFB0-9BCA0A5FF4F3}" id="{CC07B9C9-901D-4194-957C-C383B1A706F6}" parentId="{6581AA20-AAB6-4AE6-BF94-5AC23EC52908}">
    <text>Last load reading date 11/09/23</text>
  </threadedComment>
  <threadedComment ref="E109" personId="{32CADD77-8658-482A-9219-5397F5907CD4}" id="{3D93C4B2-5336-4905-B7EC-35FEB1E0C0EB}">
    <text>Take Reading from Rectifier Group - Total Current
This follows on from its extension.
Total load= sw rm 3 use (plus conversion DC-AC, remainder sw rm 1)</text>
  </threadedComment>
  <threadedComment ref="E109" dT="2023-04-25T13:06:08.28" personId="{B34D45DE-CC68-4155-AFB0-9BCA0A5FF4F3}" id="{3C79F7EC-E348-436F-8026-4FA9C3D87FCA}" parentId="{3D93C4B2-5336-4905-B7EC-35FEB1E0C0EB}">
    <text>Last load reading date 11/09/23</text>
  </threadedComment>
  <threadedComment ref="D112" personId="{32CADD77-8658-482A-9219-5397F5907CD4}" id="{93C802EE-17E2-410D-AEA5-6B89DBAA42CB}">
    <text>Take Reading from Rectifier Group - Total Current
This follows on from its extension.</text>
  </threadedComment>
  <threadedComment ref="D112" dT="2023-04-25T13:06:16.73" personId="{B34D45DE-CC68-4155-AFB0-9BCA0A5FF4F3}" id="{85DBF326-AB06-44F5-900D-6AD5DE6E43AE}" parentId="{93C802EE-17E2-410D-AEA5-6B89DBAA42CB}">
    <text>Last load reading date 11/09/23</text>
  </threadedComment>
  <threadedComment ref="E112" personId="{32CADD77-8658-482A-9219-5397F5907CD4}" id="{8F350B2B-D26B-4547-B86B-F283D1A35326}">
    <text>Take Reading from Rectifier Group - Total Current
This follows on from its extension.
Last load reading 22/4/24</text>
  </threadedComment>
  <threadedComment ref="AD112" personId="{85E1FF79-A144-42AE-9357-8A09D5B2EAF1}" id="{EA33B4D4-CE42-4ADF-AAB5-C0B8DF787AD5}">
    <text>No kit in cabs yet</text>
  </threadedComment>
  <threadedComment ref="AD113" personId="{548BD758-4F90-4C5F-9BB2-0139B35241B2}" id="{CC143250-2CFD-45D2-B092-344A5CA91C98}">
    <text>No kit in cabs yet</text>
  </threadedComment>
  <threadedComment ref="B133" personId="{32CADD77-8658-482A-9219-5397F5907CD4}" id="{E7E150BA-B760-48E1-8D30-6A5829AB2085}">
    <text xml:space="preserve">XCY currently manually added as 42
</text>
  </threadedComment>
</ThreadedComments>
</file>

<file path=xl/threadedComments/threadedComment2.xml><?xml version="1.0" encoding="utf-8"?>
<ThreadedComments xmlns="http://schemas.microsoft.com/office/spreadsheetml/2018/threadedcomments" xmlns:x="http://schemas.openxmlformats.org/spreadsheetml/2006/main">
  <threadedComment ref="X1" personId="{B3AF713A-095D-4A1C-B7C3-9F06F23D5A44}" id="{3128CC90-9AC3-4779-88CC-8EB09B67ABB2}">
    <text>Value (W)/54.5/No of plants feeding AC plant then add 10% for losses</text>
  </threadedComment>
  <threadedComment ref="P2" personId="{85E1FF79-A144-42AE-9357-8A09D5B2EAF1}" id="{0D3D5D95-95B3-4033-BA30-9A35F1E4F00D}">
    <text>Security Cage</text>
  </threadedComment>
  <threadedComment ref="B20" personId="{85E1FF79-A144-42AE-9357-8A09D5B2EAF1}" id="{2F1AFB8F-0E22-4FE7-80DC-6FEABDBE522F}">
    <text>a and b side to be viewed as single system</text>
  </threadedComment>
  <threadedComment ref="D20" personId="{85E1FF79-A144-42AE-9357-8A09D5B2EAF1}" id="{0E73A71C-C1A2-47B4-BCEE-B902E5BF8E4D}">
    <text>Inc from 12 to 14 Jan 21</text>
  </threadedComment>
  <threadedComment ref="B21" personId="{548BD758-4F90-4C5F-9BB2-0139B35241B2}" id="{D25619FA-6E1D-470A-8B2C-742747E2B0BA}">
    <text>a and b side to be viewed as single system</text>
  </threadedComment>
  <threadedComment ref="D21" personId="{85E1FF79-A144-42AE-9357-8A09D5B2EAF1}" id="{3D78C261-D0C9-4CBD-9CB4-983F0BAF814F}">
    <text>Inc from 12 to 14 Jan 21</text>
  </threadedComment>
  <threadedComment ref="W22" dT="2022-04-28T12:49:51.10" personId="{B34D45DE-CC68-4155-AFB0-9BCA0A5FF4F3}" id="{067DDED6-0FF4-4D1A-9A90-A398D482D6F3}">
    <text>VFPTSP 22005. 12A allocated, 4A reduction to match XOM</text>
  </threadedComment>
  <threadedComment ref="W22" dT="2024-04-10T12:50:28.76" personId="{EE0D0C17-83F4-475C-A64B-0D4EA7664C36}" id="{DCF5BEDC-3156-45CE-8EB0-7AFDAC7FEDDA}" parentId="{067DDED6-0FF4-4D1A-9A90-A398D482D6F3}">
    <text xml:space="preserve">Compute 421 reduced from 7.1A allocated </text>
  </threadedComment>
  <threadedComment ref="K28" dT="2024-04-15T08:58:25.59" personId="{B34D45DE-CC68-4155-AFB0-9BCA0A5FF4F3}" id="{EFC44177-A6C0-4FE9-AC17-BB660BD056DC}">
    <text>Load from AxScada</text>
  </threadedComment>
  <threadedComment ref="K29" dT="2024-04-15T08:58:37.64" personId="{B34D45DE-CC68-4155-AFB0-9BCA0A5FF4F3}" id="{12091D0C-42C6-4C50-BA09-48100E9988CB}">
    <text>Load from AxScada</text>
  </threadedComment>
  <threadedComment ref="D30" personId="{85E1FF79-A144-42AE-9357-8A09D5B2EAF1}" id="{396EA0A4-261A-4021-A24E-19D6610B92D1}">
    <text>x3 more connected not used</text>
  </threadedComment>
  <threadedComment ref="D31" personId="{85E1FF79-A144-42AE-9357-8A09D5B2EAF1}" id="{BA9B4F02-CE40-4B62-93F2-57DD62243B50}">
    <text>x3 more connected not used</text>
  </threadedComment>
  <threadedComment ref="B52" personId="{85E1FF79-A144-42AE-9357-8A09D5B2EAF1}" id="{EBF32E5C-E253-448F-9D8F-79EA1E4A7000}">
    <text>Max load on PDU 75kW/ 94kVA, max 130A per phase,</text>
  </threadedComment>
  <threadedComment ref="D52" dT="2023-04-20T11:03:04.66" personId="{72BC5A41-D274-4BC0-BFAF-6529742AB77C}" id="{AC5AD687-0B2D-48C3-B906-35AC5933F5A4}">
    <text>Figures for GIS migration only</text>
  </threadedComment>
  <threadedComment ref="E52" dT="2023-04-20T11:03:04.66" personId="{72BC5A41-D274-4BC0-BFAF-6529742AB77C}" id="{C1AC5E86-B67A-4C21-AC64-11ECFC225A2B}">
    <text>Figures for GIS migration only</text>
  </threadedComment>
  <threadedComment ref="F52" dT="2023-04-20T11:03:04.66" personId="{72BC5A41-D274-4BC0-BFAF-6529742AB77C}" id="{1E10E234-72D3-4A9E-82F6-A1B8D939B48D}">
    <text>Figures for GIS migration only</text>
  </threadedComment>
  <threadedComment ref="M52" personId="{B3AF713A-095D-4A1C-B7C3-9F06F23D5A44}" id="{7C218501-A518-4987-BCE4-7E4D722115CC}">
    <text xml:space="preserve">Refer to AxScada
</text>
  </threadedComment>
  <threadedComment ref="C62" personId="{C15A817A-3BAF-4F38-8FD1-0DCC1FF5E570}" id="{54733D5A-BDCB-4510-A5F3-F2FB48E6201E}">
    <text>Security cage has max allocatoin of 20kW. 
11/12/17 Cage has 16kW remaining</text>
  </threadedComment>
  <threadedComment ref="D112" personId="{85E1FF79-A144-42AE-9357-8A09D5B2EAF1}" id="{8A094481-666A-4883-86AB-6AEA22058F72}">
    <text>(130A per phase) Max 75kW on PDU
https://axscada.ad.plc.cwintra.com/login pmc</text>
  </threadedComment>
</ThreadedComments>
</file>

<file path=xl/threadedComments/threadedComment3.xml><?xml version="1.0" encoding="utf-8"?>
<ThreadedComments xmlns="http://schemas.microsoft.com/office/spreadsheetml/2018/threadedcomments" xmlns:x="http://schemas.openxmlformats.org/spreadsheetml/2006/main">
  <threadedComment ref="G13" dT="2022-09-02T08:50:46.44" personId="{EE0D0C17-83F4-475C-A64B-0D4EA7664C36}" id="{658D8832-E490-4308-A5C0-2275E1E98D40}">
    <text xml:space="preserve">Note this figure taken from iPDU sheets not true running loads but are forecast loads . 160 running load is the 221kW less 61kW Reserved </text>
  </threadedComment>
  <threadedComment ref="H13" dT="2022-09-02T08:51:47.45" personId="{EE0D0C17-83F4-475C-A64B-0D4EA7664C36}" id="{24F6E1D4-DBF6-4C78-B110-A5AB764F9AD1}">
    <text xml:space="preserve">The Reserved figures is based on the live figures from the NFV Ops team </text>
  </threadedComment>
  <threadedComment ref="R13" dT="2022-10-06T13:35:00.66" personId="{EE0D0C17-83F4-475C-A64B-0D4EA7664C36}" id="{FECD739F-7180-46E8-90E0-D75CED46DE85}">
    <text xml:space="preserve">Should this not be 90% for the AC in BKLN05?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2-03-03T08:50:54.62" personId="{B34D45DE-CC68-4155-AFB0-9BCA0A5FF4F3}" id="{70A9B99F-7015-445F-9C56-1CA2527A00B5}">
    <text>This is the TOTAL area, NOT usable area</text>
  </threadedComment>
  <threadedComment ref="D1" personId="{85E1FF79-A144-42AE-9357-8A09D5B2EAF1}" id="{F2D34359-723C-4459-8D1A-BAC37A0E4353}">
    <text>Inc HAC</text>
  </threadedComment>
  <threadedComment ref="F1" personId="{85E1FF79-A144-42AE-9357-8A09D5B2EAF1}" id="{21E86459-B018-4876-8880-9A257C155443}">
    <text>Inc HAC</text>
  </threadedComment>
  <threadedComment ref="B5" dT="2022-03-14T08:38:21.27" personId="{B34D45DE-CC68-4155-AFB0-9BCA0A5FF4F3}" id="{E733F22B-3C16-485A-ACE5-3D298FDA9346}">
    <text>Vax Rm= 9m²</text>
  </threadedComment>
  <threadedComment ref="B7" dT="2022-03-14T08:38:59.99" personId="{B34D45DE-CC68-4155-AFB0-9BCA0A5FF4F3}" id="{0306553E-DBF2-4100-A2C3-CD678BCB3FD5}">
    <text>Sw Rm 2= 450m²</text>
  </threadedComment>
  <threadedComment ref="B13" dT="2022-03-14T08:40:10.34" personId="{B34D45DE-CC68-4155-AFB0-9BCA0A5FF4F3}" id="{23A3E0FB-B3B7-49C6-B4C5-AC84C1897F75}">
    <text>Sw Rm 2= 598m²</text>
  </threadedComment>
  <threadedComment ref="J21" personId="{B3AF713A-095D-4A1C-B7C3-9F06F23D5A44}" id="{3F50C7C3-DA93-41AE-97F6-4D93F7E96D01}">
    <text>allowing for front/back space</text>
  </threadedComment>
  <threadedComment ref="J32" personId="{B3AF713A-095D-4A1C-B7C3-9F06F23D5A44}" id="{9E934B6B-F1DC-4A01-B66A-0B4C8ED8ADF3}">
    <text>allowing for front/back space</text>
  </threadedComment>
  <threadedComment ref="M36" personId="{B3AF713A-095D-4A1C-B7C3-9F06F23D5A44}" id="{BF3846B0-4800-4F2E-A29F-2BD464CD40E5}">
    <text>Basement figs omitted</text>
  </threadedComment>
  <threadedComment ref="B49" dT="2022-03-03T08:50:54.62" personId="{B34D45DE-CC68-4155-AFB0-9BCA0A5FF4F3}" id="{B67DB61F-C9FA-4937-86C9-1165D7E2F800}">
    <text>This is the TOTAL area, NOT usable area</text>
  </threadedComment>
  <threadedComment ref="B50" dT="2022-03-14T08:28:48.43" personId="{B34D45DE-CC68-4155-AFB0-9BCA0A5FF4F3}" id="{AC7EF483-E598-4498-8067-0633DA997477}">
    <text>Sw Rm 2=59m², Sw Rm 3=152m², Sw Rm 4=145m², Sw Rm 5= 18m²</text>
  </threadedComment>
  <threadedComment ref="B51" dT="2022-03-14T08:29:36.35" personId="{B34D45DE-CC68-4155-AFB0-9BCA0A5FF4F3}" id="{7D6C2CA1-EC8B-4E1B-92A5-7F3A40C3E549}">
    <text>Sw Rm2= 445m²</text>
  </threadedComment>
  <threadedComment ref="B52" dT="2022-03-14T08:31:08.67" personId="{B34D45DE-CC68-4155-AFB0-9BCA0A5FF4F3}" id="{9A2702D3-7B46-4FFA-BA7D-B825CFD584AF}">
    <text>Comms Rm= 22m²</text>
  </threadedComment>
  <threadedComment ref="B53" dT="2022-03-14T08:31:50.26" personId="{B34D45DE-CC68-4155-AFB0-9BCA0A5FF4F3}" id="{014D749D-0601-4F46-8E56-51326AB2B704}">
    <text>Comms Rm=26m²</text>
  </threadedComment>
  <threadedComment ref="B54" dT="2022-03-14T08:32:37.47" personId="{B34D45DE-CC68-4155-AFB0-9BCA0A5FF4F3}" id="{878F0D92-3E99-4FBF-8FC3-FB45FC2C1C74}">
    <text>Sw Rm 2= 16m²</text>
  </threadedComment>
  <threadedComment ref="B55" dT="2022-03-14T08:33:17.67" personId="{B34D45DE-CC68-4155-AFB0-9BCA0A5FF4F3}" id="{CD34E952-E5D7-4BEB-BE86-716A55B720B3}">
    <text>Sw Rm 2= 181m²</text>
  </threadedComment>
  <threadedComment ref="B56" dT="2022-03-14T08:34:45.66" personId="{B34D45DE-CC68-4155-AFB0-9BCA0A5FF4F3}" id="{A2A909BA-E663-4638-B7D2-44EE78305791}">
    <text>Sw Rm 3= 328m²</text>
  </threadedComment>
  <threadedComment ref="B58" dT="2022-03-14T08:35:41.91" personId="{B34D45DE-CC68-4155-AFB0-9BCA0A5FF4F3}" id="{98B17BCE-AC73-4889-BD36-F7F7F84B226F}">
    <text>Sw Rm 2= 159m²</text>
  </threadedComment>
  <threadedComment ref="B61" dT="2022-03-14T08:37:15.22" personId="{B34D45DE-CC68-4155-AFB0-9BCA0A5FF4F3}" id="{BA72F4BA-159A-4E57-8A72-9FB97AEBE627}">
    <text>Sw Rm B= 150m²</text>
  </threadedComment>
  <threadedComment ref="C93" personId="{EE0487DD-FD54-476B-8422-30719B6E3BCC}" id="{5DE2416C-750A-4334-A597-6A2147E6A45D}">
    <text>Average suit line area 8.5m2</text>
  </threadedComment>
  <threadedComment ref="E93" personId="{EE0487DD-FD54-476B-8422-30719B6E3BCC}" id="{7D7D05E8-014F-4621-BE94-0F03F63C27E5}">
    <text>number of cabs multiplied by average 0.8m2 per cab</text>
  </threadedComment>
  <threadedComment ref="G93" personId="{EE0487DD-FD54-476B-8422-30719B6E3BCC}" id="{2B4490C1-B9C4-48C9-8300-926BC65D2954}">
    <text>Area currently ready for immediate deployment.  Taken as total number of suite lines in site.  Average suite line 8.5(m2)</text>
  </threadedComment>
  <threadedComment ref="H93" personId="{EE0487DD-FD54-476B-8422-30719B6E3BCC}" id="{FB707332-0C38-4557-8306-72ADCCE5BC78}">
    <text>Taken as max site can support if we fit-out unused areas.  To be done for April report</text>
  </threadedComment>
  <threadedComment ref="B94" personId="{C3EB0A9F-9AC6-4131-BBDE-C1A5F9F8DF16}" id="{6B3845D7-B3C6-449C-9240-0DB8751DF7D7}">
    <text>F=20
H=0</text>
  </threadedComment>
  <threadedComment ref="B95" personId="{C3EB0A9F-9AC6-4131-BBDE-C1A5F9F8DF16}" id="{F09865DB-9C5B-44B9-80A7-32BBE2F86205}">
    <text xml:space="preserve">F=10
H=8
</text>
  </threadedComment>
  <threadedComment ref="B96" personId="{C3EB0A9F-9AC6-4131-BBDE-C1A5F9F8DF16}" id="{1AB73024-FDA6-4CFF-9714-EF85F0646855}">
    <text>F=5
H=7</text>
  </threadedComment>
  <threadedComment ref="B97" personId="{C3EB0A9F-9AC6-4131-BBDE-C1A5F9F8DF16}" id="{39889C24-36F5-4764-917C-98D4489DF220}">
    <text>F=16
H=1</text>
  </threadedComment>
  <threadedComment ref="B98" personId="{EE0487DD-FD54-476B-8422-30719B6E3BCC}" id="{C4CD9F3C-90A5-423F-8179-638637AD22BD}">
    <text>Average suit line area 8.5m2</text>
  </threadedComment>
  <threadedComment ref="D98" personId="{EE0487DD-FD54-476B-8422-30719B6E3BCC}" id="{BC2DB773-D665-46AE-9608-BDDB94EA651A}">
    <text>Area currently ready for immediate deployment.  Taken as total number of suite lines in site.  Average suite line 8.5(m2)</text>
  </threadedComment>
  <threadedComment ref="E98" personId="{EE0487DD-FD54-476B-8422-30719B6E3BCC}" id="{3C58D041-526D-4543-AA11-A9752D1B1334}">
    <text>Taken as max site can support if we fit-out unused areas</text>
  </threadedComment>
  <threadedComment ref="B105" personId="{EE0487DD-FD54-476B-8422-30719B6E3BCC}" id="{8B1556D4-19B0-4193-9AF6-4A5EF49E32E0}">
    <text>Average suit line area 8.5m2</text>
  </threadedComment>
  <threadedComment ref="D105" personId="{EE0487DD-FD54-476B-8422-30719B6E3BCC}" id="{10732EAD-E866-4FC4-928F-EB39590F1697}">
    <text>Area currently ready for immediate deployment.  Taken as total number of suite lines in site.  Average suite line 8.5(m2)</text>
  </threadedComment>
</ThreadedComments>
</file>

<file path=xl/threadedComments/threadedComment5.xml><?xml version="1.0" encoding="utf-8"?>
<ThreadedComments xmlns="http://schemas.microsoft.com/office/spreadsheetml/2018/threadedcomments" xmlns:x="http://schemas.openxmlformats.org/spreadsheetml/2006/main">
  <threadedComment ref="F8" dT="2022-04-01T10:22:48.90" personId="{EE0D0C17-83F4-475C-A64B-0D4EA7664C36}" id="{4685E38E-5C26-41A3-B52F-5C93672AEE7D}">
    <text>update to 465 from 300 after tactical upgrade</text>
  </threadedComment>
  <threadedComment ref="F9" dT="2021-12-17T10:05:29.70" personId="{B34D45DE-CC68-4155-AFB0-9BCA0A5FF4F3}" id="{5DCA1E5D-C795-4F26-8D6A-0F1E16E5B4C0}">
    <text>Increased from 450 kW Dec 2021</text>
  </threadedComment>
  <threadedComment ref="F9" dT="2022-01-05T13:40:23.03" personId="{9BE93E36-AB66-D74D-B47E-4F96BAE9C5B8}" id="{CD4E7BAB-1CEF-6048-A29C-CBFC31D43CEF}" parentId="{5DCA1E5D-C795-4F26-8D6A-0F1E16E5B4C0}">
    <text>Updated from 480 to 462 to reflect actual capacity post upgrade</text>
  </threadedComment>
  <threadedComment ref="F11" dT="2022-01-05T15:29:09.47" personId="{9BE93E36-AB66-D74D-B47E-4F96BAE9C5B8}" id="{29969460-9525-A040-99FA-B28BD18A14D8}">
    <text>Reduced for 478kW to 460kW based on revised tactical figures</text>
  </threadedComment>
  <threadedComment ref="F12" dT="2021-05-18T12:58:15.66" personId="{B34D45DE-CC68-4155-AFB0-9BCA0A5FF4F3}" id="{45949F55-1DAD-4F20-B97B-22C762394451}">
    <text>Increased from 407kW May 21</text>
  </threadedComment>
  <threadedComment ref="F12" dT="2022-01-05T15:28:04.54" personId="{9BE93E36-AB66-D74D-B47E-4F96BAE9C5B8}" id="{7E1323F4-E596-A741-B8BD-6D559B7AE59B}" parentId="{45949F55-1DAD-4F20-B97B-22C762394451}">
    <text>Updated to 481kW to 480kW</text>
  </threadedComment>
  <threadedComment ref="F13" dT="2021-12-17T10:44:04.50" personId="{B34D45DE-CC68-4155-AFB0-9BCA0A5FF4F3}" id="{C8F34929-DADF-4B41-9316-CE8D0459CD0B}">
    <text>Increased from 450 kW Dec 2021</text>
  </threadedComment>
  <threadedComment ref="F13" dT="2022-01-05T13:52:52.36" personId="{9BE93E36-AB66-D74D-B47E-4F96BAE9C5B8}" id="{B6535A70-D525-6F48-A6D6-2599BACE52F8}" parentId="{C8F34929-DADF-4B41-9316-CE8D0459CD0B}">
    <text>Updated from 473 to 468 to reflect actual capacity post upgrade</text>
  </threadedComment>
</ThreadedComments>
</file>

<file path=xl/threadedComments/threadedComment6.xml><?xml version="1.0" encoding="utf-8"?>
<ThreadedComments xmlns="http://schemas.microsoft.com/office/spreadsheetml/2018/threadedcomments" xmlns:x="http://schemas.openxmlformats.org/spreadsheetml/2006/main">
  <threadedComment ref="P7" dT="2022-06-06T14:41:16.42" personId="{72BC5A41-D274-4BC0-BFAF-6529742AB77C}" id="{5A662948-2B62-4C10-AC2B-1BA1F18B35FE}">
    <text>SBS XL 170F-FT = High Temp
6V165/6 = Standard</text>
  </threadedComment>
  <threadedComment ref="E8" personId="{DE6A4407-C4E0-4AB4-9306-E2D1C4D83F6A}" id="{D83C5F4B-F536-4650-857B-EB7F445A8F99}">
    <text xml:space="preserve">
SBS XL170-FT Deployed </text>
  </threadedComment>
  <threadedComment ref="E9" personId="{DE6A4407-C4E0-4AB4-9306-E2D1C4D83F6A}" id="{B3FD0EA4-2532-436F-9E04-055D1A86A5A7}">
    <text xml:space="preserve">SBS XL170-FT Deployed 
</text>
  </threadedComment>
  <threadedComment ref="E10" personId="{DE6A4407-C4E0-4AB4-9306-E2D1C4D83F6A}" id="{B1AEB70D-B9E9-410E-B0B8-6239877F6544}">
    <text xml:space="preserve">SBS XL170-FT Deployed 
</text>
  </threadedComment>
  <threadedComment ref="E11" personId="{DE6A4407-C4E0-4AB4-9306-E2D1C4D83F6A}" id="{3C1DAD60-39DA-4D2F-B45D-324BA43DDFAC}">
    <text xml:space="preserve">SBS XL170-FT Deployed 
</text>
  </threadedComment>
  <threadedComment ref="E12" personId="{DE6A4407-C4E0-4AB4-9306-E2D1C4D83F6A}" id="{D5B9A91A-1A26-48D1-BEEF-5333E4B7460B}">
    <text xml:space="preserve">SBS XL170-FT Deployed 
</text>
  </threadedComment>
  <threadedComment ref="E21" personId="{DE6A4407-C4E0-4AB4-9306-E2D1C4D83F6A}" id="{4FED0C80-BC61-40CF-8962-65BD98030C3C}">
    <text xml:space="preserve">
SBS XL170-FT Deployed </text>
  </threadedComment>
  <threadedComment ref="E22" personId="{DE6A4407-C4E0-4AB4-9306-E2D1C4D83F6A}" id="{B2BECC07-C043-42E3-93DC-7DF070F18027}">
    <text xml:space="preserve">
SBS XL170-FT Deployed </text>
  </threadedComment>
  <threadedComment ref="E23" personId="{DE6A4407-C4E0-4AB4-9306-E2D1C4D83F6A}" id="{70B6A88E-D687-4309-8199-CA1A9EC96F21}">
    <text xml:space="preserve">
SBS XL170-FT Deployed </text>
  </threadedComment>
  <threadedComment ref="E24" personId="{DE6A4407-C4E0-4AB4-9306-E2D1C4D83F6A}" id="{B6C82E95-B66A-4CBC-A9E6-DAA2B5123E2F}">
    <text xml:space="preserve">
SBS XL170-FT Deployed </text>
  </threadedComment>
  <threadedComment ref="E25" personId="{DE6A4407-C4E0-4AB4-9306-E2D1C4D83F6A}" id="{8033D3D1-2D70-47FF-BA3F-57C3EE827A54}">
    <text xml:space="preserve">
SBS XL170-FT Deployed </text>
  </threadedComment>
  <threadedComment ref="E26" personId="{DE6A4407-C4E0-4AB4-9306-E2D1C4D83F6A}" id="{6B0AA231-AB18-4DCA-9891-4F738BAEB27A}">
    <text>SBS XL170-FT Deployed</text>
  </threadedComment>
  <threadedComment ref="E27" personId="{DE6A4407-C4E0-4AB4-9306-E2D1C4D83F6A}" id="{05F53E69-EA95-47DF-A5F0-DB8EA387A0E1}">
    <text xml:space="preserve">SBS XL170-FT Deployed
</text>
  </threadedComment>
  <threadedComment ref="E28" personId="{DE6A4407-C4E0-4AB4-9306-E2D1C4D83F6A}" id="{F326492E-D904-4FEF-A04A-81C33920CD8B}">
    <text xml:space="preserve">SBS XL170-FT Deployed
</text>
  </threadedComment>
  <threadedComment ref="E29" personId="{DE6A4407-C4E0-4AB4-9306-E2D1C4D83F6A}" id="{D53BD43A-196F-440C-84AC-244F8200F21B}">
    <text xml:space="preserve">SBS XL170-FT Deployed
</text>
  </threadedComment>
  <threadedComment ref="E30" personId="{DE6A4407-C4E0-4AB4-9306-E2D1C4D83F6A}" id="{AF65D181-1845-42C0-870E-119DBDFAE246}">
    <text xml:space="preserve">SBS XL170-FT Deployed
</text>
  </threadedComment>
  <threadedComment ref="E31" personId="{DE6A4407-C4E0-4AB4-9306-E2D1C4D83F6A}" id="{8AD7241C-CE4E-49AA-8DB8-0F5D59FAF173}">
    <text xml:space="preserve">SBS XL170-FT Deployed
</text>
  </threadedComment>
  <threadedComment ref="E32" personId="{DE6A4407-C4E0-4AB4-9306-E2D1C4D83F6A}" id="{A134F7C7-0788-4780-8C89-3AC68F5AF3A6}">
    <text xml:space="preserve">SBS XL170-FT Deployed
</text>
  </threadedComment>
  <threadedComment ref="X32" personId="{46EF934A-B4F4-4BB9-BE36-4116C5B4C6E8}" id="{9DF3675F-9C34-41EE-89A4-D0B25EA295B1}">
    <text xml:space="preserve">picked up M as majority of cells are lower year 2012 (front cab is 2013)
</text>
  </threadedComment>
  <threadedComment ref="E33" personId="{DE6A4407-C4E0-4AB4-9306-E2D1C4D83F6A}" id="{BF0E26FD-356A-4680-8654-DB88EA223DAC}">
    <text xml:space="preserve">SBS XL170-FT Deployed
</text>
  </threadedComment>
  <threadedComment ref="B34" personId="{32CADD77-8658-482A-9219-5397F5907CD4}" id="{D309D111-B686-4314-81FE-8AF01246B1A9}">
    <text xml:space="preserve">4 stud SBS390
</text>
  </threadedComment>
  <threadedComment ref="E34" personId="{DE6A4407-C4E0-4AB4-9306-E2D1C4D83F6A}" id="{5758691E-3D8A-40D6-A956-3D6A417E272B}">
    <text xml:space="preserve">SBS XL170-FT Deployed
</text>
  </threadedComment>
  <threadedComment ref="E35" personId="{DE6A4407-C4E0-4AB4-9306-E2D1C4D83F6A}" id="{404D9240-FA39-4F84-A812-A15923CABFCB}">
    <text xml:space="preserve">SBS XL170-FT Deployed
</text>
  </threadedComment>
  <threadedComment ref="I41" dT="2022-05-23T15:31:27.78" personId="{4C454DCE-6724-46D9-911F-C22E05996F3E}" id="{497BDEA4-AD02-49A3-A31F-B37D939DE2A3}">
    <text>Only 2 strings</text>
  </threadedComment>
  <threadedComment ref="I42" dT="2022-05-23T15:31:36.17" personId="{4C454DCE-6724-46D9-911F-C22E05996F3E}" id="{7E40EB83-EC40-483F-8BDD-CAA4D6DF36DC}">
    <text>Only 2 strings</text>
  </threadedComment>
  <threadedComment ref="E46" personId="{DE6A4407-C4E0-4AB4-9306-E2D1C4D83F6A}" id="{B0EBC8A2-15DE-4EB0-95AC-2A24E329E509}">
    <text xml:space="preserve">SBS XL170-FT Deployed
</text>
  </threadedComment>
  <threadedComment ref="I49" dT="2022-05-23T15:35:33.05" personId="{4C454DCE-6724-46D9-911F-C22E05996F3E}" id="{39AD9EC5-3C29-4A9A-AFE7-4C0E98CD6D2E}">
    <text>Only 2 strings</text>
  </threadedComment>
  <threadedComment ref="I50" dT="2022-05-23T15:35:33.05" personId="{4C454DCE-6724-46D9-911F-C22E05996F3E}" id="{7CF9619D-0AF1-42A9-892C-82CC53CBD06C}">
    <text>Only 2 strings</text>
  </threadedComment>
  <threadedComment ref="I66" dT="2022-05-23T15:39:17.42" personId="{4C454DCE-6724-46D9-911F-C22E05996F3E}" id="{355DBF94-7A42-42F8-833F-A9999A151942}">
    <text>Only 2 strings</text>
  </threadedComment>
  <threadedComment ref="I67" dT="2022-05-23T15:39:17.42" personId="{4C454DCE-6724-46D9-911F-C22E05996F3E}" id="{D6121A3D-7329-4C76-A2C1-F2AD1AB1EECD}">
    <text>Only 2 strings</text>
  </threadedComment>
  <threadedComment ref="I74" dT="2022-05-23T15:37:24.93" personId="{4C454DCE-6724-46D9-911F-C22E05996F3E}" id="{A3C0D69B-E60A-43F1-AC1E-0A2B01B60092}">
    <text>Only 2 strings</text>
  </threadedComment>
  <threadedComment ref="I75" dT="2022-05-23T15:37:24.93" personId="{4C454DCE-6724-46D9-911F-C22E05996F3E}" id="{0FA5F5F1-ECC5-416E-8C23-3FCFFF89FE50}">
    <text>Only 2 strings</text>
  </threadedComment>
  <threadedComment ref="E76" personId="{DE6A4407-C4E0-4AB4-9306-E2D1C4D83F6A}" id="{C0AAC8CF-185F-4D85-A33F-2DC7B830853D}">
    <text xml:space="preserve">SBS XL170-FT Deployed
</text>
  </threadedComment>
  <threadedComment ref="E77" personId="{DE6A4407-C4E0-4AB4-9306-E2D1C4D83F6A}" id="{507EA7AF-2077-4C8D-A11F-D3606EB263B0}">
    <text xml:space="preserve">SBS XL170-FT Deployed
</text>
  </threadedComment>
  <threadedComment ref="I82" dT="2022-05-23T15:34:24.10" personId="{4C454DCE-6724-46D9-911F-C22E05996F3E}" id="{7B74B866-E230-43C2-8611-E9F6A5F08287}">
    <text>Only 2 strings</text>
  </threadedComment>
  <threadedComment ref="I83" dT="2022-05-23T15:34:24.10" personId="{4C454DCE-6724-46D9-911F-C22E05996F3E}" id="{4157D5EA-8C7F-4420-A964-317B41CD97D2}">
    <text>Only 2 strings</text>
  </threadedComment>
  <threadedComment ref="E89" personId="{DE6A4407-C4E0-4AB4-9306-E2D1C4D83F6A}" id="{8FC1F881-D213-4A7B-9032-F6F31F35CCCA}">
    <text xml:space="preserve">
SBS XL170-FT Deployed </text>
  </threadedComment>
  <threadedComment ref="E90" personId="{DE6A4407-C4E0-4AB4-9306-E2D1C4D83F6A}" id="{673EA18B-777E-4504-94D3-8CD1CDD008D8}">
    <text xml:space="preserve">
SBS XL170-FT Deployed </text>
  </threadedComment>
  <threadedComment ref="E91" personId="{DE6A4407-C4E0-4AB4-9306-E2D1C4D83F6A}" id="{D535D790-B66A-437F-9791-0FADBE459C65}">
    <text xml:space="preserve">
SBS XL170-FT Deployed </text>
  </threadedComment>
  <threadedComment ref="E92" personId="{DE6A4407-C4E0-4AB4-9306-E2D1C4D83F6A}" id="{44BEA983-0959-4273-88C5-473B56E7D837}">
    <text xml:space="preserve">
SBS XL170-FT Deployed </text>
  </threadedComment>
  <threadedComment ref="E116" personId="{DE6A4407-C4E0-4AB4-9306-E2D1C4D83F6A}" id="{BD5565D9-0E69-474F-B23B-70D9820BD55D}">
    <text xml:space="preserve">SBS XL170-FT Deployed 
</text>
  </threadedComment>
  <threadedComment ref="E117" personId="{DE6A4407-C4E0-4AB4-9306-E2D1C4D83F6A}" id="{FDA2F383-4F39-4256-8CB2-1B2BC8D8D98B}">
    <text xml:space="preserve">SBS XL170-FT Deployed 
</text>
  </threadedComment>
  <threadedComment ref="E118" personId="{A17EBE9E-335E-4B86-B866-B87ABC062DA9}" id="{3641F859-71BB-4521-92EE-6AD9AF69DE30}">
    <text>Old XHN batteries installed Jul-19</text>
  </threadedComment>
  <threadedComment ref="F118" personId="{A17EBE9E-335E-4B86-B866-B87ABC062DA9}" id="{EFBD4339-5C6F-4B3E-8F2D-D35CA5A50FCB}">
    <text>Old XHN batteries installed Jul-19</text>
  </threadedComment>
  <threadedComment ref="G118" personId="{A17EBE9E-335E-4B86-B866-B87ABC062DA9}" id="{F31C47DD-C206-45DA-AD32-AA87653806CF}">
    <text>Old XHN batteries installed Jul-19</text>
  </threadedComment>
  <threadedComment ref="H118" personId="{A17EBE9E-335E-4B86-B866-B87ABC062DA9}" id="{23BCA1C2-47EA-4D2E-A82D-7157CE6517AD}">
    <text>Old XHN batteries installed Jul-19</text>
  </threadedComment>
  <threadedComment ref="I118" personId="{A17EBE9E-335E-4B86-B866-B87ABC062DA9}" id="{8BAC345D-533F-4BE9-9CA8-886EB7577287}">
    <text>Old XHN batteries installed Jul-19</text>
  </threadedComment>
  <threadedComment ref="J118" personId="{A17EBE9E-335E-4B86-B866-B87ABC062DA9}" id="{D6C969B2-A2CC-4016-A6E3-3753DFC2519D}">
    <text>Old XHN batteries installed Jul-19</text>
  </threadedComment>
  <threadedComment ref="K118" personId="{A17EBE9E-335E-4B86-B866-B87ABC062DA9}" id="{60121BE1-42E9-4918-998F-E6040681221C}">
    <text>Old XHN batteries installed Jul-19</text>
  </threadedComment>
  <threadedComment ref="L118" personId="{A17EBE9E-335E-4B86-B866-B87ABC062DA9}" id="{018556B1-0AD7-47FF-B860-22C5B1ADB4E1}">
    <text>Old XHN batteries installed Jul-19</text>
  </threadedComment>
  <threadedComment ref="M118" personId="{A17EBE9E-335E-4B86-B866-B87ABC062DA9}" id="{B891BF97-F17A-431C-A7A3-B3D544DDDF7B}">
    <text>Old XHN batteries installed Jul-19</text>
  </threadedComment>
  <threadedComment ref="E119" personId="{A17EBE9E-335E-4B86-B866-B87ABC062DA9}" id="{C116E032-05AE-4536-9EAB-4524DCE0480B}">
    <text>Old XHN batteries installed Jul-19</text>
  </threadedComment>
  <threadedComment ref="F119" personId="{A17EBE9E-335E-4B86-B866-B87ABC062DA9}" id="{F0CAF06D-99BB-41AD-933C-DF9A47945116}">
    <text>Old XHN batteries installed Jul-19</text>
  </threadedComment>
  <threadedComment ref="G119" personId="{A17EBE9E-335E-4B86-B866-B87ABC062DA9}" id="{D6207AD5-CEC1-444E-B85B-9D9C4D3C04CA}">
    <text>Old XHN batteries installed Jul-19</text>
  </threadedComment>
  <threadedComment ref="H119" personId="{A17EBE9E-335E-4B86-B866-B87ABC062DA9}" id="{9B89B4A7-0052-4278-9E36-ECA67BE3ED4F}">
    <text>Old XHN batteries installed Jul-19</text>
  </threadedComment>
  <threadedComment ref="I119" personId="{A17EBE9E-335E-4B86-B866-B87ABC062DA9}" id="{69195778-6B67-4B81-B1F2-80A40D4FFD68}">
    <text>Old XHN batteries installed Jul-19</text>
  </threadedComment>
  <threadedComment ref="J119" personId="{A17EBE9E-335E-4B86-B866-B87ABC062DA9}" id="{617538B4-912E-4829-B907-F19A8080E0F9}">
    <text>Old XHN batteries installed Jul-19</text>
  </threadedComment>
  <threadedComment ref="K119" personId="{A17EBE9E-335E-4B86-B866-B87ABC062DA9}" id="{EF9123EF-286F-4F75-A45D-7043FA85D622}">
    <text>Old XHN batteries installed Jul-19</text>
  </threadedComment>
  <threadedComment ref="L119" personId="{A17EBE9E-335E-4B86-B866-B87ABC062DA9}" id="{0BB29EFD-C36E-49D0-8630-1BD1F127606C}">
    <text>Old XHN batteries installed Jul-19</text>
  </threadedComment>
  <threadedComment ref="M119" personId="{A17EBE9E-335E-4B86-B866-B87ABC062DA9}" id="{786DB729-34A0-419D-84AA-AFEF5D12C8BF}">
    <text>Old XHN batteries installed Jul-19</text>
  </threadedComment>
  <threadedComment ref="B122" personId="{32CADD77-8658-482A-9219-5397F5907CD4}" id="{6FC08B0E-6F55-4A75-BDDE-0F3DE5759BA9}">
    <text>4 stud Youassa battery</text>
  </threadedComment>
  <threadedComment ref="B140" personId="{46EF934A-B4F4-4BB9-BE36-4116C5B4C6E8}" id="{7A6E4966-3917-4A91-9236-4AE072AB84C8}">
    <text>VPC price April-14
AMD - updated Nov 15 for budget forecast FY16/17
AMD updated Oct 28 for budget forecast 18/19
AMD -  updatedt for HT batts and connection kit
AMD - VPC price  16/8/2021 for LRP forcasting</text>
  </threadedComment>
  <threadedComment ref="B141" dT="2021-08-17T08:23:26.27" personId="{9BE93E36-AB66-D74D-B47E-4F96BAE9C5B8}" id="{20F7E3F3-75A1-714B-BE64-BAB01E8C6937}">
    <text>String price plus connection kit 16/08/2021</text>
  </threadedComment>
</ThreadedComments>
</file>

<file path=xl/threadedComments/threadedComment7.xml><?xml version="1.0" encoding="utf-8"?>
<ThreadedComments xmlns="http://schemas.microsoft.com/office/spreadsheetml/2018/threadedcomments" xmlns:x="http://schemas.openxmlformats.org/spreadsheetml/2006/main">
  <threadedComment ref="H24" personId="{85E1FF79-A144-42AE-9357-8A09D5B2EAF1}" id="{4EDEDC09-00DA-48C9-BAC6-F30DC7D93CB9}">
    <text xml:space="preserve"> x10 MiO cabs are 600 wide, so calculated space as x8 800mm cabs</text>
  </threadedComment>
  <threadedComment ref="H26" personId="{85E1FF79-A144-42AE-9357-8A09D5B2EAF1}" id="{BB511B31-6EC4-4E0C-9CDD-B7795B5408B6}">
    <text>x11 MiO cabs are 600 wide</text>
  </threadedComment>
  <threadedComment ref="B108" personId="{85E1FF79-A144-42AE-9357-8A09D5B2EAF1}" id="{63615BED-0553-4D6C-BB94-8FFE5C1DE644}">
    <text>12 cabs used, space inc for x15= 50% either side of suite line</text>
  </threadedComment>
</ThreadedComments>
</file>

<file path=xl/threadedComments/threadedComment8.xml><?xml version="1.0" encoding="utf-8"?>
<ThreadedComments xmlns="http://schemas.microsoft.com/office/spreadsheetml/2018/threadedcomments" xmlns:x="http://schemas.openxmlformats.org/spreadsheetml/2006/main">
  <threadedComment ref="C10" personId="{85E1FF79-A144-42AE-9357-8A09D5B2EAF1}" id="{62538D89-F0C3-4B47-A4B0-15F681B96B07}">
    <text>Oct 16 Decreases inc Voicemail MTA, SMS-C,  MCA and ACF cabs (11kW), then gradual decreases since</text>
  </threadedComment>
  <threadedComment ref="B24" personId="{B3AF713A-095D-4A1C-B7C3-9F06F23D5A44}" id="{6CE72EDB-A286-4206-A19D-202AA12B3CB7}">
    <text>(System Load)</text>
  </threadedComment>
  <threadedComment ref="D40" personId="{B3AF713A-095D-4A1C-B7C3-9F06F23D5A44}" id="{D8908291-2EF0-43DF-940E-040DA6BDD392}">
    <text>Multiply by 10% for load on DC plants</text>
  </threadedComment>
</ThreadedComments>
</file>

<file path=xl/threadedComments/threadedComment9.xml><?xml version="1.0" encoding="utf-8"?>
<ThreadedComments xmlns="http://schemas.microsoft.com/office/spreadsheetml/2018/threadedcomments" xmlns:x="http://schemas.openxmlformats.org/spreadsheetml/2006/main">
  <threadedComment ref="D2" personId="{32CADD77-8658-482A-9219-5397F5907CD4}" id="{CFED8188-36A3-4F39-B7B7-16B825289199}">
    <text>Correction values
RBS 5kW
Normal Office 5kW
Big office 40kW</text>
  </threadedComment>
  <threadedComment ref="O8" personId="{85E1FF79-A144-42AE-9357-8A09D5B2EAF1}" id="{D9EA6A4D-6AF9-47AF-8B4C-10285468917A}">
    <text>Inconsistent readings</text>
  </threadedComment>
  <threadedComment ref="O11" personId="{85E1FF79-A144-42AE-9357-8A09D5B2EAF1}" id="{0EE6DB90-7F1F-4208-AA0F-47E4DD8E2F38}">
    <text>Not reporting from 21/09-25/09</text>
  </threadedComment>
  <threadedComment ref="G15" personId="{85E1FF79-A144-42AE-9357-8A09D5B2EAF1}" id="{4CB26DF1-E77B-45CC-A0E6-68A63941FB94}">
    <text>Not reporting</text>
  </threadedComment>
  <threadedComment ref="Y39" personId="{32CADD77-8658-482A-9219-5397F5907CD4}" id="{2265B3F7-F189-4287-9B46-F2671168B8F1}">
    <text>Cell equation is =(400*L4*1.73)/1000</text>
  </threadedComment>
  <threadedComment ref="D40" personId="{32CADD77-8658-482A-9219-5397F5907CD4}" id="{6E064348-F489-4DDA-A726-97E4EAA67073}">
    <text>Correction values
RBS 5kW
Normal Office 5kW
Big office 40kW</text>
  </threadedComment>
  <threadedComment ref="Y40" personId="{32CADD77-8658-482A-9219-5397F5907CD4}" id="{074F7ADD-F493-49FB-A0ED-069E44C80FA8}">
    <text>cell equation is =(400*L5*1.73)/1000</text>
  </threadedComment>
  <threadedComment ref="H41" personId="{85E1FF79-A144-42AE-9357-8A09D5B2EAF1}" id="{EFA4BCFC-9C14-40CA-A7C1-F8B38B878BBF}">
    <text>Reading of 1.15. Didn’t record for a few days as BEMS systems was upgraded</text>
  </threadedComment>
  <threadedComment ref="H43" personId="{85E1FF79-A144-42AE-9357-8A09D5B2EAF1}" id="{BD709AEA-31B1-465D-90E7-45D0010C3933}">
    <text>Actual value of 0.52. Didn’t record for a few days as BEMS systems was upgraded</text>
  </threadedComment>
  <threadedComment ref="I43" personId="{85E1FF79-A144-42AE-9357-8A09D5B2EAF1}" id="{E6D7435A-BCB3-4F37-8ABF-4E70DBEFCB97}">
    <text>Didn't report for first 3 days of March due to BEMS upgrades</text>
  </threadedComment>
  <threadedComment ref="I44" personId="{85E1FF79-A144-42AE-9357-8A09D5B2EAF1}" id="{76490329-1D75-445A-ACCB-32962EACB6B6}">
    <text>Didn't report for first 3 days of March due to BEMS upgrades</text>
  </threadedComment>
  <threadedComment ref="L44" personId="{85E1FF79-A144-42AE-9357-8A09D5B2EAF1}" id="{E7894465-E42A-44E4-8F52-56BFA51C7294}">
    <text>Actual fig of 0.97, BMS did not report 20-29 June</text>
  </threadedComment>
  <threadedComment ref="D56" personId="{32CADD77-8658-482A-9219-5397F5907CD4}" id="{E696FC18-A270-4065-AC5E-66A7AAE96267}">
    <text>Correction values
RBS 5kW
Normal Office 5kW
Big office 40kW</text>
  </threadedComment>
  <threadedComment ref="B58" personId="{B3AF713A-095D-4A1C-B7C3-9F06F23D5A44}" id="{39B1BBA3-09A1-4DB5-9A9D-EFEB6EEA9462}">
    <text>Tech load from BMS= 294kW (add TSi kW fig).
BMS PUE figs inc TSis from Jan onwards</text>
  </threadedComment>
  <threadedComment ref="B59" personId="{B3AF713A-095D-4A1C-B7C3-9F06F23D5A44}" id="{CF2107A9-A594-4926-99FA-C9726AF4319F}">
    <text>Tech load from BMS= 231kW (add TSi kW fig).
BMS PUE figs inc TSis from Jan onwards</text>
  </threadedComment>
  <threadedComment ref="I62" personId="{B3AF713A-095D-4A1C-B7C3-9F06F23D5A44}" id="{40B67558-E61C-41E1-B059-F0CE0FFFA4F3}">
    <text>This is an approx fig as between 10-21 Mar the value was -0.04 resulting in an average of 0.93</text>
  </threadedComment>
  <threadedComment ref="D72" personId="{32CADD77-8658-482A-9219-5397F5907CD4}" id="{F11308A2-D5AD-445C-A6C5-09CD28A83D40}">
    <text>Correction values
RBS 5kW
Normal Office 5kW
Big office 40kW</text>
  </threadedComment>
  <threadedComment ref="B74" personId="{B3AF713A-095D-4A1C-B7C3-9F06F23D5A44}" id="{3117A83C-7259-4DB9-9AEC-47AED9C0E540}">
    <text>Tech load from BMS= 294kW (add TSi kW fig).
BMS PUE figs inc TSis from Jan onwards</text>
  </threadedComment>
  <threadedComment ref="B75" personId="{B3AF713A-095D-4A1C-B7C3-9F06F23D5A44}" id="{18452732-BEB5-42FE-A6EE-8CBA4263D38F}">
    <text>Tech load from BMS= 231kW (add TSi kW fig).
BMS PUE figs inc TSis from Jan onwards</text>
  </threadedComment>
  <threadedComment ref="D96" personId="{32CADD77-8658-482A-9219-5397F5907CD4}" id="{8FF17046-B721-4868-A6C2-BD2062C940C8}">
    <text>Correction values
RBS 5kW
Normal Office 5kW
Big office 40kW</text>
  </threadedComment>
</ThreadedComments>
</file>

<file path=xl/threadedComments/threadedComment10.xml><?xml version="1.0" encoding="utf-8"?>
<ThreadedComments xmlns="http://schemas.microsoft.com/office/spreadsheetml/2018/threadedcomments" xmlns:x="http://schemas.openxmlformats.org/spreadsheetml/2006/main">
  <threadedComment ref="C26" dT="2022-04-01T13:34:42.42" personId="{4C454DCE-6724-46D9-911F-C22E05996F3E}" id="{A76B342E-5CC2-483C-B7C2-AC595CE972D8}">
    <text>Figures adjust to match 346kw limit</text>
  </threadedComment>
  <threadedComment ref="C60" dT="2022-04-01T13:34:42.42" personId="{4C454DCE-6724-46D9-911F-C22E05996F3E}" id="{3A670D8D-AAB7-49E2-9C06-A3F9A0845993}">
    <text>Figures adjust to match 346kw limit</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1.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44.bin"/><Relationship Id="rId4" Type="http://schemas.microsoft.com/office/2017/10/relationships/threadedComment" Target="../threadedComments/threadedComment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JB334"/>
  <sheetViews>
    <sheetView tabSelected="1" showRuler="0" zoomScale="80" zoomScaleNormal="80" zoomScaleSheetLayoutView="100" workbookViewId="0">
      <pane xSplit="1" ySplit="3" topLeftCell="B27" activePane="bottomRight" state="frozen"/>
      <selection pane="bottomRight" activeCell="E112" sqref="E112"/>
      <selection pane="bottomLeft"/>
      <selection pane="topRight"/>
    </sheetView>
  </sheetViews>
  <sheetFormatPr defaultColWidth="8.6640625" defaultRowHeight="12.75" customHeight="1" outlineLevelCol="1"/>
  <cols>
    <col min="1" max="1" width="16.1640625" style="205" customWidth="1"/>
    <col min="2" max="2" width="22.5" style="204" customWidth="1"/>
    <col min="3" max="3" width="14.6640625" style="204" customWidth="1" outlineLevel="1"/>
    <col min="4" max="4" width="9.1640625" style="204" customWidth="1" outlineLevel="1"/>
    <col min="5" max="5" width="11.6640625" style="204" customWidth="1"/>
    <col min="6" max="6" width="10.1640625" style="204" customWidth="1"/>
    <col min="7" max="7" width="11.5" style="204" customWidth="1"/>
    <col min="8" max="8" width="16.5" style="293" customWidth="1" outlineLevel="1"/>
    <col min="9" max="9" width="15.5" style="204" customWidth="1" outlineLevel="1"/>
    <col min="10" max="10" width="11.5" style="204" customWidth="1" outlineLevel="1"/>
    <col min="11" max="11" width="11.6640625" style="204" customWidth="1" outlineLevel="1"/>
    <col min="12" max="13" width="11.1640625" style="204" customWidth="1" outlineLevel="1"/>
    <col min="14" max="15" width="10.6640625" style="204" customWidth="1"/>
    <col min="16" max="16" width="10.33203125" style="204" customWidth="1"/>
    <col min="17" max="17" width="10.1640625" style="204" customWidth="1"/>
    <col min="18" max="18" width="14.1640625" style="204" bestFit="1" customWidth="1"/>
    <col min="19" max="19" width="15.6640625" style="293" bestFit="1" customWidth="1"/>
    <col min="20" max="20" width="15.6640625" style="204" customWidth="1"/>
    <col min="21" max="21" width="11.83203125" style="204" customWidth="1"/>
    <col min="22" max="22" width="11.6640625" style="204" bestFit="1" customWidth="1"/>
    <col min="23" max="23" width="17.1640625" style="204" bestFit="1" customWidth="1"/>
    <col min="24" max="24" width="18.5" style="204" customWidth="1"/>
    <col min="25" max="25" width="0.1640625" style="205" customWidth="1"/>
    <col min="26" max="26" width="23.5" style="205" customWidth="1"/>
    <col min="27" max="27" width="0.5" style="205" customWidth="1"/>
    <col min="28" max="28" width="47.1640625" style="205" customWidth="1"/>
    <col min="29" max="29" width="7.1640625" style="205" bestFit="1" customWidth="1"/>
    <col min="30" max="30" width="56.5" style="205" bestFit="1" customWidth="1"/>
    <col min="31" max="31" width="8.6640625" style="205" customWidth="1"/>
    <col min="32" max="32" width="49.6640625" style="205" customWidth="1"/>
    <col min="33" max="33" width="8.6640625" style="205" customWidth="1"/>
    <col min="34" max="34" width="44" style="205" customWidth="1"/>
    <col min="35" max="35" width="5.6640625" style="205" customWidth="1"/>
    <col min="36" max="36" width="44.1640625" style="205" bestFit="1" customWidth="1"/>
    <col min="37" max="37" width="6.5" style="205" bestFit="1" customWidth="1"/>
    <col min="38" max="38" width="46.6640625" style="205" bestFit="1" customWidth="1"/>
    <col min="39" max="39" width="6.5" style="205" bestFit="1" customWidth="1"/>
    <col min="40" max="40" width="49.6640625" style="205" customWidth="1"/>
    <col min="41" max="41" width="7.5" style="205" bestFit="1" customWidth="1"/>
    <col min="42" max="42" width="50.83203125" style="205" customWidth="1"/>
    <col min="43" max="43" width="5.1640625" style="205" bestFit="1" customWidth="1"/>
    <col min="44" max="44" width="37.1640625" style="205" customWidth="1"/>
    <col min="45" max="45" width="7.5" style="205" bestFit="1" customWidth="1"/>
    <col min="46" max="46" width="36.5" style="205" bestFit="1" customWidth="1"/>
    <col min="47" max="47" width="7.5" style="205" customWidth="1"/>
    <col min="48" max="48" width="33" style="205" customWidth="1"/>
    <col min="49" max="49" width="5.1640625" style="205" bestFit="1" customWidth="1"/>
    <col min="50" max="50" width="38.1640625" style="205" customWidth="1"/>
    <col min="51" max="51" width="6.5" style="205" customWidth="1"/>
    <col min="52" max="52" width="33.6640625" style="205" customWidth="1"/>
    <col min="53" max="53" width="3.6640625" style="205" bestFit="1" customWidth="1"/>
    <col min="54" max="54" width="36.6640625" style="205" customWidth="1"/>
    <col min="55" max="55" width="3.6640625" style="205" bestFit="1" customWidth="1"/>
    <col min="56" max="56" width="34.6640625" style="205" customWidth="1"/>
    <col min="57" max="57" width="3.6640625" style="205" bestFit="1" customWidth="1"/>
    <col min="58" max="58" width="39" style="205" customWidth="1"/>
    <col min="59" max="59" width="3.6640625" style="205" bestFit="1" customWidth="1"/>
    <col min="60" max="63" width="8.6640625" style="205"/>
    <col min="64" max="64" width="17" style="205" customWidth="1"/>
    <col min="65" max="65" width="18" style="205" customWidth="1"/>
    <col min="66" max="16384" width="8.6640625" style="205"/>
  </cols>
  <sheetData>
    <row r="1" spans="1:66" ht="27">
      <c r="A1" s="1066" t="s">
        <v>0</v>
      </c>
      <c r="B1" s="1065"/>
      <c r="C1" s="205"/>
      <c r="D1" s="1070"/>
      <c r="E1" s="1067" t="s">
        <v>1</v>
      </c>
      <c r="F1" s="1068" t="s">
        <v>2</v>
      </c>
      <c r="G1" s="1069" t="s">
        <v>3</v>
      </c>
      <c r="H1" s="677" t="s">
        <v>4</v>
      </c>
      <c r="I1" s="678" t="s">
        <v>5</v>
      </c>
      <c r="J1" s="1175" t="s">
        <v>6</v>
      </c>
      <c r="K1" s="1175"/>
      <c r="L1" s="1175"/>
      <c r="M1" s="1175"/>
      <c r="N1" s="1335"/>
      <c r="O1" s="1335"/>
      <c r="P1" s="1335"/>
      <c r="Q1" s="1335"/>
      <c r="V1" s="423"/>
    </row>
    <row r="2" spans="1:66" ht="54" customHeight="1">
      <c r="A2" s="206" t="s">
        <v>7</v>
      </c>
      <c r="B2" s="1064" t="s">
        <v>8</v>
      </c>
      <c r="C2" s="207" t="s">
        <v>9</v>
      </c>
      <c r="D2" s="208" t="s">
        <v>10</v>
      </c>
      <c r="E2" s="208" t="s">
        <v>11</v>
      </c>
      <c r="F2" s="208" t="s">
        <v>12</v>
      </c>
      <c r="G2" s="208" t="s">
        <v>13</v>
      </c>
      <c r="H2" s="209" t="s">
        <v>14</v>
      </c>
      <c r="I2" s="1063" t="s">
        <v>15</v>
      </c>
      <c r="J2" s="1063" t="s">
        <v>16</v>
      </c>
      <c r="K2" s="1064" t="s">
        <v>17</v>
      </c>
      <c r="L2" s="207" t="s">
        <v>18</v>
      </c>
      <c r="M2" s="207" t="s">
        <v>19</v>
      </c>
      <c r="N2" s="207" t="s">
        <v>20</v>
      </c>
      <c r="O2" s="207" t="s">
        <v>21</v>
      </c>
      <c r="P2" s="207" t="s">
        <v>22</v>
      </c>
      <c r="Q2" s="207" t="s">
        <v>23</v>
      </c>
      <c r="R2" s="207" t="s">
        <v>24</v>
      </c>
      <c r="S2" s="936" t="s">
        <v>25</v>
      </c>
      <c r="T2" s="207" t="s">
        <v>26</v>
      </c>
      <c r="U2" s="207" t="s">
        <v>27</v>
      </c>
      <c r="V2" s="863" t="s">
        <v>28</v>
      </c>
      <c r="W2" s="580" t="s">
        <v>29</v>
      </c>
      <c r="X2" s="826" t="s">
        <v>30</v>
      </c>
      <c r="Y2" s="211" t="s">
        <v>31</v>
      </c>
      <c r="Z2" s="584" t="s">
        <v>32</v>
      </c>
      <c r="AA2" s="210" t="s">
        <v>33</v>
      </c>
      <c r="AB2" s="529" t="s">
        <v>34</v>
      </c>
      <c r="AC2" s="430" t="s">
        <v>20</v>
      </c>
      <c r="AD2" s="213" t="s">
        <v>34</v>
      </c>
      <c r="AE2" s="212" t="s">
        <v>23</v>
      </c>
      <c r="AF2" s="213" t="s">
        <v>34</v>
      </c>
      <c r="AG2" s="212" t="s">
        <v>23</v>
      </c>
      <c r="AH2" s="213" t="s">
        <v>34</v>
      </c>
      <c r="AI2" s="212" t="s">
        <v>23</v>
      </c>
      <c r="AJ2" s="213" t="s">
        <v>34</v>
      </c>
      <c r="AK2" s="212" t="s">
        <v>23</v>
      </c>
      <c r="AL2" s="213" t="s">
        <v>34</v>
      </c>
      <c r="AM2" s="212" t="s">
        <v>23</v>
      </c>
      <c r="AN2" s="213" t="s">
        <v>34</v>
      </c>
      <c r="AO2" s="212" t="s">
        <v>23</v>
      </c>
      <c r="AP2" s="213" t="s">
        <v>34</v>
      </c>
      <c r="AQ2" s="212" t="s">
        <v>23</v>
      </c>
      <c r="AR2" s="213" t="s">
        <v>34</v>
      </c>
      <c r="AS2" s="212" t="s">
        <v>23</v>
      </c>
      <c r="AT2" s="213" t="s">
        <v>34</v>
      </c>
      <c r="AU2" s="212" t="s">
        <v>23</v>
      </c>
      <c r="AV2" s="213" t="s">
        <v>34</v>
      </c>
      <c r="AW2" s="212" t="s">
        <v>23</v>
      </c>
      <c r="AX2" s="213" t="s">
        <v>34</v>
      </c>
      <c r="AY2" s="212" t="s">
        <v>23</v>
      </c>
      <c r="AZ2" s="213" t="s">
        <v>34</v>
      </c>
      <c r="BA2" s="212" t="s">
        <v>23</v>
      </c>
      <c r="BB2" s="213" t="s">
        <v>34</v>
      </c>
      <c r="BC2" s="212" t="s">
        <v>23</v>
      </c>
      <c r="BD2" s="213" t="s">
        <v>34</v>
      </c>
      <c r="BE2" s="212" t="s">
        <v>23</v>
      </c>
      <c r="BF2" s="213" t="s">
        <v>34</v>
      </c>
      <c r="BG2" s="214" t="s">
        <v>23</v>
      </c>
    </row>
    <row r="3" spans="1:66" ht="13.15">
      <c r="A3" s="215"/>
      <c r="B3" s="216"/>
      <c r="C3" s="216"/>
      <c r="D3" s="218"/>
      <c r="E3" s="218"/>
      <c r="F3" s="218"/>
      <c r="G3" s="218"/>
      <c r="H3" s="217"/>
      <c r="I3" s="218"/>
      <c r="J3" s="218"/>
      <c r="K3" s="218"/>
      <c r="L3" s="218"/>
      <c r="M3" s="218"/>
      <c r="N3" s="218"/>
      <c r="O3" s="218"/>
      <c r="P3" s="218"/>
      <c r="Q3" s="218"/>
      <c r="R3" s="218"/>
      <c r="S3" s="217"/>
      <c r="T3" s="218"/>
      <c r="U3" s="218"/>
      <c r="V3" s="218"/>
      <c r="W3" s="218"/>
      <c r="Z3" s="215"/>
      <c r="AB3" s="278" t="s">
        <v>35</v>
      </c>
      <c r="AC3" s="278"/>
      <c r="AD3" s="278"/>
      <c r="AE3" s="278"/>
      <c r="AF3" s="204"/>
      <c r="BK3" s="220"/>
      <c r="BL3" s="221"/>
      <c r="BM3" s="221"/>
      <c r="BN3" s="220"/>
    </row>
    <row r="4" spans="1:66" ht="13.15">
      <c r="A4" s="251" t="s">
        <v>36</v>
      </c>
      <c r="B4" s="222" t="s">
        <v>37</v>
      </c>
      <c r="C4" s="223" t="s">
        <v>38</v>
      </c>
      <c r="D4" s="1098">
        <v>624</v>
      </c>
      <c r="E4" s="1098">
        <v>634</v>
      </c>
      <c r="F4" s="544">
        <f t="shared" ref="F4:F35" si="0">E4/M4</f>
        <v>0.54891774891774892</v>
      </c>
      <c r="G4" s="1212">
        <f>SUM(E4:E8)*54.5/1000</f>
        <v>172.3835</v>
      </c>
      <c r="H4" s="224">
        <v>36</v>
      </c>
      <c r="I4" s="225">
        <v>3.5</v>
      </c>
      <c r="J4" s="222">
        <f t="shared" ref="J4:J16" si="1">INT(H4*I4)</f>
        <v>126</v>
      </c>
      <c r="K4" s="222">
        <v>18</v>
      </c>
      <c r="L4" s="222">
        <f>INT((H4-K4)*I4)</f>
        <v>63</v>
      </c>
      <c r="M4" s="222">
        <f>INT((L4*1000)/54.5)</f>
        <v>1155</v>
      </c>
      <c r="N4" s="222">
        <f t="shared" ref="N4:N8" si="2">SUM(AC4)</f>
        <v>54</v>
      </c>
      <c r="O4" s="548">
        <f t="shared" ref="O4:O35" si="3">(E4+N4)/M4</f>
        <v>0.59567099567099568</v>
      </c>
      <c r="P4" s="1212">
        <f>SUM(N4:N8)*54.5/1000</f>
        <v>13.897500000000001</v>
      </c>
      <c r="Q4" s="567">
        <f t="shared" ref="Q4:Q8" si="4">SUM(AE4:BG4)</f>
        <v>5</v>
      </c>
      <c r="R4" s="1277">
        <f>SUM(Q4:Q8)*54.5/1000</f>
        <v>1.526</v>
      </c>
      <c r="S4" s="574">
        <f t="shared" ref="S4:S35" si="5">SUM(E4+N4+Q4)</f>
        <v>693</v>
      </c>
      <c r="T4" s="1221">
        <f>SUM(S4:S8)*54.5/1000</f>
        <v>187.80699999999999</v>
      </c>
      <c r="U4" s="226">
        <f>SUM(M4-S4)</f>
        <v>462</v>
      </c>
      <c r="V4" s="1227">
        <f>SUM(U4:U8)*54.5/1000</f>
        <v>126.93049999999999</v>
      </c>
      <c r="W4" s="227">
        <f t="shared" ref="W4:W35" si="6">S4/M4</f>
        <v>0.6</v>
      </c>
      <c r="X4" s="1198">
        <f>(G4+P4+R4)/'Building Capability'!$D$3</f>
        <v>0.59621269841269842</v>
      </c>
      <c r="Y4" s="252">
        <f>W4</f>
        <v>0.6</v>
      </c>
      <c r="Z4" s="1307">
        <f>(G4+P4+R4)/'Building Capability'!$F$3</f>
        <v>0.59621269841269842</v>
      </c>
      <c r="AA4" s="1308"/>
      <c r="AB4" s="426" t="s">
        <v>39</v>
      </c>
      <c r="AC4" s="433">
        <v>54</v>
      </c>
      <c r="AD4" s="229" t="s">
        <v>40</v>
      </c>
      <c r="AE4" s="228">
        <v>5</v>
      </c>
      <c r="AF4" s="229"/>
      <c r="AG4" s="228"/>
      <c r="AH4" s="229"/>
      <c r="AI4" s="228"/>
      <c r="AJ4" s="229"/>
      <c r="AK4" s="228"/>
      <c r="AL4" s="229"/>
      <c r="AM4" s="228"/>
      <c r="AN4" s="229"/>
      <c r="AO4" s="228"/>
      <c r="AP4" s="229"/>
      <c r="AQ4" s="228"/>
      <c r="AR4" s="229"/>
      <c r="AS4" s="228"/>
      <c r="AT4" s="229"/>
      <c r="AU4" s="228"/>
      <c r="AV4" s="229"/>
      <c r="AW4" s="228"/>
      <c r="AX4" s="229"/>
      <c r="AY4" s="228"/>
      <c r="AZ4" s="229"/>
      <c r="BA4" s="228"/>
      <c r="BB4" s="229"/>
      <c r="BC4" s="228"/>
      <c r="BD4" s="229"/>
      <c r="BE4" s="228"/>
      <c r="BF4" s="229"/>
      <c r="BG4" s="230"/>
      <c r="BL4" s="1298" t="s">
        <v>41</v>
      </c>
      <c r="BM4" s="1298"/>
      <c r="BN4" s="231"/>
    </row>
    <row r="5" spans="1:66" ht="12.75" customHeight="1">
      <c r="A5" s="232" t="s">
        <v>36</v>
      </c>
      <c r="B5" s="233" t="s">
        <v>42</v>
      </c>
      <c r="C5" s="234" t="s">
        <v>38</v>
      </c>
      <c r="D5" s="1099">
        <v>616</v>
      </c>
      <c r="E5" s="1099">
        <v>611</v>
      </c>
      <c r="F5" s="545">
        <f t="shared" si="0"/>
        <v>0.52900432900432903</v>
      </c>
      <c r="G5" s="1213"/>
      <c r="H5" s="235">
        <v>36</v>
      </c>
      <c r="I5" s="236">
        <v>3.5</v>
      </c>
      <c r="J5" s="233">
        <f t="shared" si="1"/>
        <v>126</v>
      </c>
      <c r="K5" s="233">
        <v>18</v>
      </c>
      <c r="L5" s="233">
        <f>INT((H5-K5)*I5)</f>
        <v>63</v>
      </c>
      <c r="M5" s="233">
        <f>INT((L5*1000)/54.5)</f>
        <v>1155</v>
      </c>
      <c r="N5" s="233">
        <f t="shared" si="2"/>
        <v>54</v>
      </c>
      <c r="O5" s="548">
        <f t="shared" si="3"/>
        <v>0.5757575757575758</v>
      </c>
      <c r="P5" s="1213"/>
      <c r="Q5" s="449">
        <f t="shared" si="4"/>
        <v>9</v>
      </c>
      <c r="R5" s="1278"/>
      <c r="S5" s="575">
        <f t="shared" si="5"/>
        <v>674</v>
      </c>
      <c r="T5" s="1222"/>
      <c r="U5" s="237">
        <f t="shared" ref="U5:U75" si="7">SUM(M5-S5)</f>
        <v>481</v>
      </c>
      <c r="V5" s="1228"/>
      <c r="W5" s="238">
        <f t="shared" si="6"/>
        <v>0.5835497835497836</v>
      </c>
      <c r="X5" s="1199"/>
      <c r="Y5" s="205">
        <f t="shared" ref="Y5:Y77" si="8">W5</f>
        <v>0.5835497835497836</v>
      </c>
      <c r="Z5" s="1287"/>
      <c r="AA5" s="1308"/>
      <c r="AB5" s="424" t="s">
        <v>39</v>
      </c>
      <c r="AC5" s="431">
        <v>54</v>
      </c>
      <c r="AD5" s="240" t="s">
        <v>43</v>
      </c>
      <c r="AE5" s="239">
        <v>9</v>
      </c>
      <c r="AF5" s="240"/>
      <c r="AG5" s="239"/>
      <c r="AH5" s="240"/>
      <c r="AI5" s="239"/>
      <c r="AJ5" s="240"/>
      <c r="AK5" s="239"/>
      <c r="AL5" s="240"/>
      <c r="AM5" s="239"/>
      <c r="AN5" s="240"/>
      <c r="AO5" s="239"/>
      <c r="AP5" s="240"/>
      <c r="AQ5" s="239"/>
      <c r="AR5" s="240"/>
      <c r="AS5" s="239"/>
      <c r="AT5" s="240"/>
      <c r="AU5" s="239"/>
      <c r="AV5" s="240"/>
      <c r="AW5" s="239"/>
      <c r="AX5" s="240"/>
      <c r="AY5" s="239"/>
      <c r="AZ5" s="240"/>
      <c r="BA5" s="239"/>
      <c r="BB5" s="240"/>
      <c r="BC5" s="239"/>
      <c r="BD5" s="240"/>
      <c r="BE5" s="239"/>
      <c r="BF5" s="240"/>
      <c r="BG5" s="241"/>
      <c r="BK5" s="231"/>
      <c r="BL5" s="503" t="s">
        <v>44</v>
      </c>
      <c r="BM5" s="503" t="s">
        <v>45</v>
      </c>
      <c r="BN5" s="231"/>
    </row>
    <row r="6" spans="1:66" ht="13.15">
      <c r="A6" s="242" t="s">
        <v>36</v>
      </c>
      <c r="B6" s="233" t="s">
        <v>46</v>
      </c>
      <c r="C6" s="234" t="s">
        <v>38</v>
      </c>
      <c r="D6" s="1098">
        <v>461</v>
      </c>
      <c r="E6" s="1098">
        <v>480</v>
      </c>
      <c r="F6" s="545">
        <f t="shared" si="0"/>
        <v>0.41558441558441561</v>
      </c>
      <c r="G6" s="1213"/>
      <c r="H6" s="235">
        <v>36</v>
      </c>
      <c r="I6" s="236">
        <v>3.5</v>
      </c>
      <c r="J6" s="233">
        <f t="shared" si="1"/>
        <v>126</v>
      </c>
      <c r="K6" s="233">
        <v>18</v>
      </c>
      <c r="L6" s="233">
        <f t="shared" ref="L6:L76" si="9">INT((H6-K6)*I6)</f>
        <v>63</v>
      </c>
      <c r="M6" s="233">
        <f t="shared" ref="M6:M76" si="10">INT((L6*1000)/54.5)</f>
        <v>1155</v>
      </c>
      <c r="N6" s="233">
        <f t="shared" si="2"/>
        <v>48</v>
      </c>
      <c r="O6" s="548">
        <f t="shared" si="3"/>
        <v>0.45714285714285713</v>
      </c>
      <c r="P6" s="1213"/>
      <c r="Q6" s="449">
        <f t="shared" si="4"/>
        <v>5</v>
      </c>
      <c r="R6" s="1278"/>
      <c r="S6" s="575">
        <f t="shared" si="5"/>
        <v>533</v>
      </c>
      <c r="T6" s="1223"/>
      <c r="U6" s="237">
        <f t="shared" si="7"/>
        <v>622</v>
      </c>
      <c r="V6" s="1229"/>
      <c r="W6" s="238">
        <f t="shared" si="6"/>
        <v>0.46147186147186148</v>
      </c>
      <c r="X6" s="1199"/>
      <c r="Y6" s="205">
        <f t="shared" si="8"/>
        <v>0.46147186147186148</v>
      </c>
      <c r="Z6" s="1287"/>
      <c r="AA6" s="1308"/>
      <c r="AB6" s="424" t="s">
        <v>39</v>
      </c>
      <c r="AC6" s="431">
        <v>48</v>
      </c>
      <c r="AD6" s="243" t="s">
        <v>40</v>
      </c>
      <c r="AE6" s="333">
        <v>5</v>
      </c>
      <c r="AF6" s="243"/>
      <c r="AG6" s="333"/>
      <c r="AH6" s="243"/>
      <c r="AI6" s="333"/>
      <c r="AJ6" s="240"/>
      <c r="AK6" s="333"/>
      <c r="AL6" s="240"/>
      <c r="AM6" s="239"/>
      <c r="AN6" s="240"/>
      <c r="AO6" s="239"/>
      <c r="AP6" s="240"/>
      <c r="AQ6" s="239"/>
      <c r="AR6" s="240"/>
      <c r="AS6" s="239"/>
      <c r="AT6" s="240"/>
      <c r="AU6" s="239"/>
      <c r="AV6" s="240"/>
      <c r="AW6" s="239"/>
      <c r="AX6" s="240"/>
      <c r="AY6" s="239"/>
      <c r="AZ6" s="240"/>
      <c r="BA6" s="239"/>
      <c r="BB6" s="240"/>
      <c r="BC6" s="239"/>
      <c r="BD6" s="240"/>
      <c r="BE6" s="239"/>
      <c r="BF6" s="240"/>
      <c r="BG6" s="241"/>
      <c r="BK6" s="508"/>
      <c r="BL6" s="503" t="s">
        <v>47</v>
      </c>
      <c r="BM6" s="503"/>
      <c r="BN6" s="231"/>
    </row>
    <row r="7" spans="1:66" ht="13.15">
      <c r="A7" s="264" t="s">
        <v>36</v>
      </c>
      <c r="B7" s="233" t="s">
        <v>48</v>
      </c>
      <c r="C7" s="234" t="s">
        <v>38</v>
      </c>
      <c r="D7" s="1100">
        <v>716</v>
      </c>
      <c r="E7" s="1174">
        <v>697</v>
      </c>
      <c r="F7" s="545">
        <f t="shared" si="0"/>
        <v>0.60346320346320348</v>
      </c>
      <c r="G7" s="1181">
        <f>G4/'Building Capability'!$D$3</f>
        <v>0.54724920634920637</v>
      </c>
      <c r="H7" s="235">
        <v>36</v>
      </c>
      <c r="I7" s="236">
        <v>3.5</v>
      </c>
      <c r="J7" s="233">
        <f t="shared" si="1"/>
        <v>126</v>
      </c>
      <c r="K7" s="233">
        <v>18</v>
      </c>
      <c r="L7" s="233">
        <f t="shared" si="9"/>
        <v>63</v>
      </c>
      <c r="M7" s="233">
        <f t="shared" si="10"/>
        <v>1155</v>
      </c>
      <c r="N7" s="233">
        <f t="shared" si="2"/>
        <v>50</v>
      </c>
      <c r="O7" s="548">
        <f t="shared" si="3"/>
        <v>0.64675324675324675</v>
      </c>
      <c r="P7" s="1296">
        <f>P4/'Building Capability'!$D$3</f>
        <v>4.411904761904762E-2</v>
      </c>
      <c r="Q7" s="449">
        <f t="shared" si="4"/>
        <v>0</v>
      </c>
      <c r="R7" s="1343">
        <f>R4/'Building Capability'!$D$3</f>
        <v>4.8444444444444446E-3</v>
      </c>
      <c r="S7" s="575">
        <f t="shared" si="5"/>
        <v>747</v>
      </c>
      <c r="T7" s="1224">
        <f>T4/'Building Capability'!$D$3</f>
        <v>0.59621269841269842</v>
      </c>
      <c r="U7" s="237">
        <f t="shared" si="7"/>
        <v>408</v>
      </c>
      <c r="V7" s="1345">
        <f>V4/'Building Capability'!$D$3</f>
        <v>0.40295396825396823</v>
      </c>
      <c r="W7" s="238">
        <f t="shared" si="6"/>
        <v>0.64675324675324675</v>
      </c>
      <c r="X7" s="1199"/>
      <c r="Y7" s="205">
        <f t="shared" si="8"/>
        <v>0.64675324675324675</v>
      </c>
      <c r="Z7" s="1287"/>
      <c r="AA7" s="1308"/>
      <c r="AB7" s="424" t="s">
        <v>39</v>
      </c>
      <c r="AC7" s="431">
        <v>50</v>
      </c>
      <c r="AD7" s="240"/>
      <c r="AE7" s="239"/>
      <c r="AF7" s="497"/>
      <c r="AG7" s="499"/>
      <c r="AH7" s="540"/>
      <c r="AI7" s="541"/>
      <c r="AJ7" s="240"/>
      <c r="AK7" s="344"/>
      <c r="AL7" s="240"/>
      <c r="AM7" s="239"/>
      <c r="AN7" s="240"/>
      <c r="AO7" s="239"/>
      <c r="AP7" s="240"/>
      <c r="AQ7" s="239"/>
      <c r="AR7" s="240"/>
      <c r="AS7" s="239"/>
      <c r="AT7" s="240"/>
      <c r="AU7" s="239"/>
      <c r="AV7" s="240"/>
      <c r="AW7" s="239"/>
      <c r="AX7" s="240"/>
      <c r="AY7" s="239"/>
      <c r="AZ7" s="240"/>
      <c r="BA7" s="239"/>
      <c r="BB7" s="240"/>
      <c r="BC7" s="239"/>
      <c r="BD7" s="240"/>
      <c r="BE7" s="239"/>
      <c r="BF7" s="240"/>
      <c r="BG7" s="241"/>
      <c r="BK7" s="504"/>
      <c r="BL7" s="503" t="s">
        <v>49</v>
      </c>
      <c r="BM7" s="505"/>
      <c r="BN7" s="231"/>
    </row>
    <row r="8" spans="1:66" ht="13.15">
      <c r="A8" s="256" t="s">
        <v>36</v>
      </c>
      <c r="B8" s="260" t="s">
        <v>50</v>
      </c>
      <c r="C8" s="257" t="s">
        <v>38</v>
      </c>
      <c r="D8" s="1101">
        <v>760</v>
      </c>
      <c r="E8" s="1101">
        <v>741</v>
      </c>
      <c r="F8" s="1097">
        <f t="shared" si="0"/>
        <v>0.64155844155844155</v>
      </c>
      <c r="G8" s="1183"/>
      <c r="H8" s="258">
        <v>36</v>
      </c>
      <c r="I8" s="259">
        <v>3.5</v>
      </c>
      <c r="J8" s="260">
        <f>INT(H8*I8)</f>
        <v>126</v>
      </c>
      <c r="K8" s="260">
        <v>18</v>
      </c>
      <c r="L8" s="260">
        <f t="shared" si="9"/>
        <v>63</v>
      </c>
      <c r="M8" s="260">
        <f t="shared" si="10"/>
        <v>1155</v>
      </c>
      <c r="N8" s="260">
        <f t="shared" si="2"/>
        <v>49</v>
      </c>
      <c r="O8" s="549">
        <f t="shared" si="3"/>
        <v>0.68398268398268403</v>
      </c>
      <c r="P8" s="1330"/>
      <c r="Q8" s="568">
        <f t="shared" si="4"/>
        <v>9</v>
      </c>
      <c r="R8" s="1344"/>
      <c r="S8" s="576">
        <f t="shared" si="5"/>
        <v>799</v>
      </c>
      <c r="T8" s="1226"/>
      <c r="U8" s="261">
        <f t="shared" si="7"/>
        <v>356</v>
      </c>
      <c r="V8" s="1346"/>
      <c r="W8" s="262">
        <f t="shared" si="6"/>
        <v>0.69177489177489182</v>
      </c>
      <c r="X8" s="1200"/>
      <c r="Y8" s="263">
        <f t="shared" si="8"/>
        <v>0.69177489177489182</v>
      </c>
      <c r="Z8" s="1288"/>
      <c r="AA8" s="1308"/>
      <c r="AB8" s="425" t="s">
        <v>39</v>
      </c>
      <c r="AC8" s="432">
        <v>49</v>
      </c>
      <c r="AD8" s="249" t="s">
        <v>43</v>
      </c>
      <c r="AE8" s="248">
        <v>9</v>
      </c>
      <c r="AF8" s="509"/>
      <c r="AG8" s="510"/>
      <c r="AH8" s="798"/>
      <c r="AI8" s="796"/>
      <c r="AJ8" s="249"/>
      <c r="AK8" s="248"/>
      <c r="AL8" s="341"/>
      <c r="AM8" s="342"/>
      <c r="AN8" s="343"/>
      <c r="AO8" s="342"/>
      <c r="AP8" s="249"/>
      <c r="AQ8" s="248"/>
      <c r="AR8" s="249"/>
      <c r="AS8" s="248"/>
      <c r="AT8" s="249"/>
      <c r="AU8" s="248"/>
      <c r="AV8" s="249"/>
      <c r="AW8" s="248"/>
      <c r="AX8" s="249"/>
      <c r="AY8" s="248"/>
      <c r="AZ8" s="249"/>
      <c r="BA8" s="248"/>
      <c r="BB8" s="249"/>
      <c r="BC8" s="248"/>
      <c r="BD8" s="249"/>
      <c r="BE8" s="248"/>
      <c r="BF8" s="249"/>
      <c r="BG8" s="250"/>
      <c r="BK8" s="506"/>
      <c r="BL8" s="503" t="s">
        <v>51</v>
      </c>
      <c r="BM8" s="505"/>
      <c r="BN8" s="231"/>
    </row>
    <row r="9" spans="1:66" ht="13.15">
      <c r="A9" s="232" t="s">
        <v>52</v>
      </c>
      <c r="B9" s="273" t="s">
        <v>53</v>
      </c>
      <c r="C9" s="274" t="s">
        <v>38</v>
      </c>
      <c r="D9" s="739">
        <v>821</v>
      </c>
      <c r="E9" s="739">
        <v>829</v>
      </c>
      <c r="F9" s="564">
        <f t="shared" si="0"/>
        <v>0.7177489177489178</v>
      </c>
      <c r="G9" s="1210">
        <f>SUM(E9:E16)*54.5/1000</f>
        <v>370.6</v>
      </c>
      <c r="H9" s="275">
        <v>36</v>
      </c>
      <c r="I9" s="276">
        <v>3.5</v>
      </c>
      <c r="J9" s="273">
        <f t="shared" si="1"/>
        <v>126</v>
      </c>
      <c r="K9" s="273">
        <v>18</v>
      </c>
      <c r="L9" s="273">
        <f t="shared" si="9"/>
        <v>63</v>
      </c>
      <c r="M9" s="273">
        <f t="shared" si="10"/>
        <v>1155</v>
      </c>
      <c r="N9" s="273">
        <f>SUM(AC9)</f>
        <v>83</v>
      </c>
      <c r="O9" s="565">
        <f t="shared" si="3"/>
        <v>0.78961038961038965</v>
      </c>
      <c r="P9" s="1210">
        <f>SUM(N9:N16)*54.5/1000</f>
        <v>39.021999999999998</v>
      </c>
      <c r="Q9" s="273">
        <f>SUM(AE9:BG9)</f>
        <v>73.5</v>
      </c>
      <c r="R9" s="1268">
        <f>SUM(Q9:Q16)*54.5/1000</f>
        <v>57.606499999999997</v>
      </c>
      <c r="S9" s="574">
        <f t="shared" si="5"/>
        <v>985.5</v>
      </c>
      <c r="T9" s="1221">
        <f>SUM(S9:S16)*54.5/1000</f>
        <v>467.2285</v>
      </c>
      <c r="U9" s="286">
        <f t="shared" si="7"/>
        <v>169.5</v>
      </c>
      <c r="V9" s="1227">
        <f>SUM(U9:U16)*54.5/1000</f>
        <v>36.351500000000001</v>
      </c>
      <c r="W9" s="566">
        <f t="shared" si="6"/>
        <v>0.85324675324675325</v>
      </c>
      <c r="X9" s="1261">
        <f>(G9+P9+R9)/'Building Capability'!$D$4</f>
        <v>0.92704067460317463</v>
      </c>
      <c r="Y9" s="205">
        <f t="shared" si="8"/>
        <v>0.85324675324675325</v>
      </c>
      <c r="Z9" s="1286">
        <f>(G9+P9+R9)/'Building Capability'!$F$4</f>
        <v>0.92704067460317463</v>
      </c>
      <c r="AB9" s="426" t="s">
        <v>54</v>
      </c>
      <c r="AC9" s="433">
        <v>83</v>
      </c>
      <c r="AD9" s="1033" t="s">
        <v>55</v>
      </c>
      <c r="AE9" s="543">
        <v>10</v>
      </c>
      <c r="AF9" s="229" t="s">
        <v>56</v>
      </c>
      <c r="AG9" s="228">
        <v>36</v>
      </c>
      <c r="AH9" s="229" t="s">
        <v>43</v>
      </c>
      <c r="AI9" s="228">
        <v>27.5</v>
      </c>
      <c r="AJ9" s="462"/>
      <c r="AK9" s="466"/>
      <c r="AL9" s="229"/>
      <c r="AM9" s="228"/>
      <c r="AN9" s="229"/>
      <c r="AO9" s="228"/>
      <c r="AP9" s="229"/>
      <c r="AQ9" s="228"/>
      <c r="AR9" s="229"/>
      <c r="AS9" s="228"/>
      <c r="AT9" s="229"/>
      <c r="AU9" s="228"/>
      <c r="AV9" s="229"/>
      <c r="AW9" s="228"/>
      <c r="AX9" s="229"/>
      <c r="AY9" s="228"/>
      <c r="AZ9" s="229"/>
      <c r="BA9" s="228"/>
      <c r="BB9" s="229"/>
      <c r="BC9" s="228"/>
      <c r="BD9" s="229"/>
      <c r="BE9" s="228"/>
      <c r="BF9" s="229"/>
      <c r="BG9" s="230"/>
      <c r="BK9" s="507"/>
      <c r="BL9" s="503" t="s">
        <v>57</v>
      </c>
      <c r="BM9" s="505"/>
    </row>
    <row r="10" spans="1:66" ht="13.15">
      <c r="A10" s="253" t="s">
        <v>52</v>
      </c>
      <c r="B10" s="233" t="s">
        <v>58</v>
      </c>
      <c r="C10" s="234" t="s">
        <v>38</v>
      </c>
      <c r="D10" s="502">
        <v>837</v>
      </c>
      <c r="E10" s="502">
        <v>842</v>
      </c>
      <c r="F10" s="547">
        <f t="shared" si="0"/>
        <v>0.72900432900432899</v>
      </c>
      <c r="G10" s="1210"/>
      <c r="H10" s="235">
        <v>36</v>
      </c>
      <c r="I10" s="236">
        <v>3.5</v>
      </c>
      <c r="J10" s="233">
        <f t="shared" si="1"/>
        <v>126</v>
      </c>
      <c r="K10" s="233">
        <v>18</v>
      </c>
      <c r="L10" s="233">
        <f t="shared" si="9"/>
        <v>63</v>
      </c>
      <c r="M10" s="233">
        <f t="shared" si="10"/>
        <v>1155</v>
      </c>
      <c r="N10" s="233">
        <f t="shared" ref="N10:N16" si="11">SUM(AC10)</f>
        <v>70</v>
      </c>
      <c r="O10" s="548">
        <f t="shared" si="3"/>
        <v>0.78961038961038965</v>
      </c>
      <c r="P10" s="1210"/>
      <c r="Q10" s="233">
        <f t="shared" ref="Q10:Q16" si="12">SUM(AE10:BG10)</f>
        <v>174</v>
      </c>
      <c r="R10" s="1268"/>
      <c r="S10" s="575">
        <f t="shared" si="5"/>
        <v>1086</v>
      </c>
      <c r="T10" s="1222"/>
      <c r="U10" s="237">
        <f t="shared" si="7"/>
        <v>69</v>
      </c>
      <c r="V10" s="1228"/>
      <c r="W10" s="238">
        <f t="shared" si="6"/>
        <v>0.94025974025974024</v>
      </c>
      <c r="X10" s="1262"/>
      <c r="Y10" s="205">
        <f t="shared" si="8"/>
        <v>0.94025974025974024</v>
      </c>
      <c r="Z10" s="1287"/>
      <c r="AA10" s="254"/>
      <c r="AB10" s="427" t="s">
        <v>54</v>
      </c>
      <c r="AC10" s="431">
        <v>70</v>
      </c>
      <c r="AD10" s="240"/>
      <c r="AE10" s="541"/>
      <c r="AF10" s="240" t="s">
        <v>59</v>
      </c>
      <c r="AG10" s="541">
        <v>174</v>
      </c>
      <c r="AH10" s="240"/>
      <c r="AI10" s="541"/>
      <c r="AJ10" s="749"/>
      <c r="AK10" s="239"/>
      <c r="AL10" s="540"/>
      <c r="AM10" s="541"/>
      <c r="AN10" s="540"/>
      <c r="AO10" s="541"/>
      <c r="AP10" s="497"/>
      <c r="AQ10" s="499"/>
      <c r="AR10" s="240"/>
      <c r="AS10" s="239"/>
      <c r="AT10" s="240"/>
      <c r="AU10" s="239"/>
      <c r="AV10" s="240"/>
      <c r="AW10" s="239"/>
      <c r="AX10" s="240"/>
      <c r="AY10" s="239"/>
      <c r="AZ10" s="240"/>
      <c r="BA10" s="239"/>
      <c r="BB10" s="240"/>
      <c r="BC10" s="239"/>
      <c r="BD10" s="240"/>
      <c r="BE10" s="239"/>
      <c r="BF10" s="240"/>
      <c r="BG10" s="241"/>
      <c r="BN10" s="231"/>
    </row>
    <row r="11" spans="1:66" ht="13.15">
      <c r="A11" s="253" t="s">
        <v>52</v>
      </c>
      <c r="B11" s="233" t="s">
        <v>60</v>
      </c>
      <c r="C11" s="234" t="s">
        <v>38</v>
      </c>
      <c r="D11" s="502">
        <v>800</v>
      </c>
      <c r="E11" s="502">
        <v>807</v>
      </c>
      <c r="F11" s="547">
        <f t="shared" si="0"/>
        <v>0.69870129870129871</v>
      </c>
      <c r="G11" s="1210"/>
      <c r="H11" s="235">
        <v>36</v>
      </c>
      <c r="I11" s="236">
        <v>3.5</v>
      </c>
      <c r="J11" s="233">
        <f t="shared" si="1"/>
        <v>126</v>
      </c>
      <c r="K11" s="233">
        <v>18</v>
      </c>
      <c r="L11" s="233">
        <f t="shared" si="9"/>
        <v>63</v>
      </c>
      <c r="M11" s="233">
        <f t="shared" si="10"/>
        <v>1155</v>
      </c>
      <c r="N11" s="233">
        <f t="shared" si="11"/>
        <v>44</v>
      </c>
      <c r="O11" s="548">
        <f t="shared" si="3"/>
        <v>0.73679653679653678</v>
      </c>
      <c r="P11" s="1210"/>
      <c r="Q11" s="233">
        <f t="shared" si="12"/>
        <v>136</v>
      </c>
      <c r="R11" s="1268"/>
      <c r="S11" s="575">
        <f t="shared" si="5"/>
        <v>987</v>
      </c>
      <c r="T11" s="1222"/>
      <c r="U11" s="237">
        <f t="shared" si="7"/>
        <v>168</v>
      </c>
      <c r="V11" s="1228"/>
      <c r="W11" s="238">
        <f t="shared" si="6"/>
        <v>0.8545454545454545</v>
      </c>
      <c r="X11" s="1262"/>
      <c r="Y11" s="205">
        <f t="shared" si="8"/>
        <v>0.8545454545454545</v>
      </c>
      <c r="Z11" s="1287"/>
      <c r="AA11" s="254"/>
      <c r="AB11" s="427" t="s">
        <v>54</v>
      </c>
      <c r="AC11" s="431">
        <v>44</v>
      </c>
      <c r="AD11" s="240" t="s">
        <v>55</v>
      </c>
      <c r="AE11" s="541">
        <v>10</v>
      </c>
      <c r="AF11" s="240" t="s">
        <v>59</v>
      </c>
      <c r="AG11" s="541">
        <v>126</v>
      </c>
      <c r="AH11" s="240"/>
      <c r="AI11" s="541"/>
      <c r="AJ11" s="240"/>
      <c r="AK11" s="239"/>
      <c r="AL11" s="540"/>
      <c r="AM11" s="541"/>
      <c r="AN11" s="540"/>
      <c r="AO11" s="541"/>
      <c r="AP11" s="240"/>
      <c r="AQ11" s="239"/>
      <c r="AR11" s="240"/>
      <c r="AS11" s="239"/>
      <c r="AT11" s="240"/>
      <c r="AU11" s="239"/>
      <c r="AV11" s="240"/>
      <c r="AW11" s="239"/>
      <c r="AX11" s="240"/>
      <c r="AY11" s="239"/>
      <c r="AZ11" s="240"/>
      <c r="BA11" s="239"/>
      <c r="BB11" s="240"/>
      <c r="BC11" s="239"/>
      <c r="BD11" s="240"/>
      <c r="BE11" s="239"/>
      <c r="BF11" s="240"/>
      <c r="BG11" s="241"/>
      <c r="BK11" s="231"/>
      <c r="BL11" s="231"/>
      <c r="BM11" s="231"/>
      <c r="BN11" s="231"/>
    </row>
    <row r="12" spans="1:66" ht="13.15">
      <c r="A12" s="253" t="s">
        <v>52</v>
      </c>
      <c r="B12" s="233" t="s">
        <v>61</v>
      </c>
      <c r="C12" s="234" t="s">
        <v>38</v>
      </c>
      <c r="D12" s="237">
        <v>872</v>
      </c>
      <c r="E12" s="237">
        <v>890</v>
      </c>
      <c r="F12" s="548">
        <f t="shared" si="0"/>
        <v>0.77056277056277056</v>
      </c>
      <c r="G12" s="1211"/>
      <c r="H12" s="235">
        <v>36</v>
      </c>
      <c r="I12" s="236">
        <v>3.5</v>
      </c>
      <c r="J12" s="233">
        <f t="shared" si="1"/>
        <v>126</v>
      </c>
      <c r="K12" s="233">
        <v>18</v>
      </c>
      <c r="L12" s="233">
        <f t="shared" si="9"/>
        <v>63</v>
      </c>
      <c r="M12" s="233">
        <f t="shared" si="10"/>
        <v>1155</v>
      </c>
      <c r="N12" s="233">
        <f t="shared" si="11"/>
        <v>81</v>
      </c>
      <c r="O12" s="548">
        <f t="shared" si="3"/>
        <v>0.84069264069264071</v>
      </c>
      <c r="P12" s="1211"/>
      <c r="Q12" s="233">
        <f t="shared" si="12"/>
        <v>122.5</v>
      </c>
      <c r="R12" s="1269"/>
      <c r="S12" s="575">
        <f t="shared" si="5"/>
        <v>1093.5</v>
      </c>
      <c r="T12" s="1223"/>
      <c r="U12" s="237">
        <f t="shared" si="7"/>
        <v>61.5</v>
      </c>
      <c r="V12" s="1229"/>
      <c r="W12" s="238">
        <f t="shared" si="6"/>
        <v>0.94675324675324679</v>
      </c>
      <c r="X12" s="1262"/>
      <c r="Y12" s="205">
        <f t="shared" si="8"/>
        <v>0.94675324675324679</v>
      </c>
      <c r="Z12" s="1287"/>
      <c r="AA12" s="254"/>
      <c r="AB12" s="427" t="s">
        <v>54</v>
      </c>
      <c r="AC12" s="431">
        <v>81</v>
      </c>
      <c r="AD12" s="240" t="s">
        <v>62</v>
      </c>
      <c r="AE12" s="239">
        <v>95</v>
      </c>
      <c r="AF12" s="240" t="s">
        <v>43</v>
      </c>
      <c r="AG12" s="239">
        <v>27.5</v>
      </c>
      <c r="AH12" s="240"/>
      <c r="AI12" s="239"/>
      <c r="AJ12" s="240"/>
      <c r="AK12" s="239"/>
      <c r="AL12" s="240"/>
      <c r="AM12" s="239"/>
      <c r="AN12" s="497"/>
      <c r="AO12" s="499"/>
      <c r="AP12" s="240"/>
      <c r="AQ12" s="239"/>
      <c r="AR12" s="240"/>
      <c r="AS12" s="239"/>
      <c r="AT12" s="240"/>
      <c r="AU12" s="239"/>
      <c r="AV12" s="240"/>
      <c r="AW12" s="239"/>
      <c r="AX12" s="240"/>
      <c r="AY12" s="239"/>
      <c r="AZ12" s="240"/>
      <c r="BA12" s="239"/>
      <c r="BB12" s="240"/>
      <c r="BC12" s="239"/>
      <c r="BD12" s="240"/>
      <c r="BE12" s="239"/>
      <c r="BF12" s="240"/>
      <c r="BG12" s="241"/>
      <c r="BK12" s="231"/>
      <c r="BL12" s="231"/>
      <c r="BM12" s="231"/>
      <c r="BN12" s="231"/>
    </row>
    <row r="13" spans="1:66" ht="13.15" customHeight="1">
      <c r="A13" s="253" t="s">
        <v>52</v>
      </c>
      <c r="B13" s="233" t="s">
        <v>63</v>
      </c>
      <c r="C13" s="234" t="s">
        <v>38</v>
      </c>
      <c r="D13" s="237">
        <v>837</v>
      </c>
      <c r="E13" s="237">
        <v>853</v>
      </c>
      <c r="F13" s="548">
        <f t="shared" si="0"/>
        <v>0.73852813852813848</v>
      </c>
      <c r="G13" s="1193">
        <f>G9/'Building Capability'!$D$4</f>
        <v>0.73531746031746037</v>
      </c>
      <c r="H13" s="235">
        <v>36</v>
      </c>
      <c r="I13" s="236">
        <v>3.5</v>
      </c>
      <c r="J13" s="233">
        <f t="shared" si="1"/>
        <v>126</v>
      </c>
      <c r="K13" s="233">
        <v>18</v>
      </c>
      <c r="L13" s="233">
        <f t="shared" si="9"/>
        <v>63</v>
      </c>
      <c r="M13" s="233">
        <f t="shared" si="10"/>
        <v>1155</v>
      </c>
      <c r="N13" s="233">
        <f t="shared" si="11"/>
        <v>90</v>
      </c>
      <c r="O13" s="548">
        <f t="shared" si="3"/>
        <v>0.81645021645021643</v>
      </c>
      <c r="P13" s="1215">
        <f>P9/'Building Capability'!$D$4</f>
        <v>7.7424603174603174E-2</v>
      </c>
      <c r="Q13" s="233">
        <f>SUM(AE13:BG13)</f>
        <v>235</v>
      </c>
      <c r="R13" s="1270">
        <f>R9/'Building Capability'!$D$4</f>
        <v>0.1142986111111111</v>
      </c>
      <c r="S13" s="575">
        <f t="shared" si="5"/>
        <v>1178</v>
      </c>
      <c r="T13" s="1224">
        <f>T9/'Building Capability'!$D$4</f>
        <v>0.92704067460317463</v>
      </c>
      <c r="U13" s="237">
        <f t="shared" si="7"/>
        <v>-23</v>
      </c>
      <c r="V13" s="1193">
        <f>V9/'Building Capability'!$D$4</f>
        <v>7.2125992063492073E-2</v>
      </c>
      <c r="W13" s="238">
        <f t="shared" si="6"/>
        <v>1.0199134199134199</v>
      </c>
      <c r="X13" s="1262"/>
      <c r="Y13" s="205">
        <f t="shared" si="8"/>
        <v>1.0199134199134199</v>
      </c>
      <c r="Z13" s="1287"/>
      <c r="AA13" s="254"/>
      <c r="AB13" s="427" t="s">
        <v>54</v>
      </c>
      <c r="AC13" s="431">
        <v>90</v>
      </c>
      <c r="AD13" s="240" t="s">
        <v>62</v>
      </c>
      <c r="AE13" s="239">
        <v>95</v>
      </c>
      <c r="AF13" s="240" t="s">
        <v>59</v>
      </c>
      <c r="AG13" s="239">
        <v>104</v>
      </c>
      <c r="AH13" s="240" t="s">
        <v>56</v>
      </c>
      <c r="AI13" s="239">
        <v>36</v>
      </c>
      <c r="AJ13" s="240"/>
      <c r="AK13" s="239"/>
      <c r="AL13" s="240"/>
      <c r="AM13" s="239"/>
      <c r="AN13" s="497"/>
      <c r="AO13" s="499"/>
      <c r="AP13" s="240"/>
      <c r="AQ13" s="239"/>
      <c r="AR13" s="240"/>
      <c r="AS13" s="239"/>
      <c r="AT13" s="240"/>
      <c r="AU13" s="239"/>
      <c r="AV13" s="240"/>
      <c r="AW13" s="239"/>
      <c r="AX13" s="240"/>
      <c r="AY13" s="239"/>
      <c r="AZ13" s="240"/>
      <c r="BA13" s="239"/>
      <c r="BB13" s="240"/>
      <c r="BC13" s="239"/>
      <c r="BD13" s="240"/>
      <c r="BE13" s="239"/>
      <c r="BF13" s="240"/>
      <c r="BG13" s="241"/>
      <c r="BK13" s="231"/>
      <c r="BL13" s="231"/>
      <c r="BM13" s="231"/>
      <c r="BN13" s="231"/>
    </row>
    <row r="14" spans="1:66" ht="13.15" customHeight="1">
      <c r="A14" s="253" t="s">
        <v>52</v>
      </c>
      <c r="B14" s="233" t="s">
        <v>64</v>
      </c>
      <c r="C14" s="255" t="s">
        <v>38</v>
      </c>
      <c r="D14" s="237">
        <v>872</v>
      </c>
      <c r="E14" s="237">
        <v>878</v>
      </c>
      <c r="F14" s="548">
        <f t="shared" si="0"/>
        <v>0.76017316017316017</v>
      </c>
      <c r="G14" s="1194"/>
      <c r="H14" s="235">
        <v>36</v>
      </c>
      <c r="I14" s="236">
        <v>3.5</v>
      </c>
      <c r="J14" s="233">
        <f t="shared" si="1"/>
        <v>126</v>
      </c>
      <c r="K14" s="233">
        <v>18</v>
      </c>
      <c r="L14" s="233">
        <f t="shared" si="9"/>
        <v>63</v>
      </c>
      <c r="M14" s="233">
        <f t="shared" si="10"/>
        <v>1155</v>
      </c>
      <c r="N14" s="233">
        <f t="shared" si="11"/>
        <v>120</v>
      </c>
      <c r="O14" s="548">
        <f t="shared" si="3"/>
        <v>0.8640692640692641</v>
      </c>
      <c r="P14" s="1216"/>
      <c r="Q14" s="233">
        <f t="shared" si="12"/>
        <v>103</v>
      </c>
      <c r="R14" s="1271"/>
      <c r="S14" s="575">
        <f t="shared" si="5"/>
        <v>1101</v>
      </c>
      <c r="T14" s="1225"/>
      <c r="U14" s="237">
        <f t="shared" si="7"/>
        <v>54</v>
      </c>
      <c r="V14" s="1194"/>
      <c r="W14" s="238">
        <f t="shared" si="6"/>
        <v>0.95324675324675323</v>
      </c>
      <c r="X14" s="1262"/>
      <c r="Z14" s="1287"/>
      <c r="AA14" s="254"/>
      <c r="AB14" s="427" t="s">
        <v>54</v>
      </c>
      <c r="AC14" s="431">
        <v>120</v>
      </c>
      <c r="AD14" s="240"/>
      <c r="AE14" s="541"/>
      <c r="AF14" s="240" t="s">
        <v>59</v>
      </c>
      <c r="AG14" s="541">
        <v>103</v>
      </c>
      <c r="AH14" s="240"/>
      <c r="AI14" s="541"/>
      <c r="AJ14" s="240"/>
      <c r="AK14" s="239"/>
      <c r="AL14" s="240"/>
      <c r="AM14" s="239"/>
      <c r="AN14" s="497"/>
      <c r="AO14" s="499"/>
      <c r="AP14" s="240"/>
      <c r="AQ14" s="239"/>
      <c r="AR14" s="240"/>
      <c r="AS14" s="239"/>
      <c r="AT14" s="240"/>
      <c r="AU14" s="239"/>
      <c r="AV14" s="240"/>
      <c r="AW14" s="239"/>
      <c r="AX14" s="240"/>
      <c r="AY14" s="239"/>
      <c r="AZ14" s="240"/>
      <c r="BA14" s="239"/>
      <c r="BB14" s="240"/>
      <c r="BC14" s="239"/>
      <c r="BD14" s="240"/>
      <c r="BE14" s="239"/>
      <c r="BF14" s="240"/>
      <c r="BG14" s="241"/>
      <c r="BK14" s="231"/>
      <c r="BL14" s="231"/>
      <c r="BM14" s="231"/>
      <c r="BN14" s="231"/>
    </row>
    <row r="15" spans="1:66" ht="13.15" customHeight="1">
      <c r="A15" s="253" t="s">
        <v>52</v>
      </c>
      <c r="B15" s="233" t="s">
        <v>65</v>
      </c>
      <c r="C15" s="234" t="s">
        <v>38</v>
      </c>
      <c r="D15" s="237">
        <v>834</v>
      </c>
      <c r="E15" s="237">
        <v>835</v>
      </c>
      <c r="F15" s="548">
        <f t="shared" si="0"/>
        <v>0.72294372294372289</v>
      </c>
      <c r="G15" s="1194"/>
      <c r="H15" s="235">
        <v>36</v>
      </c>
      <c r="I15" s="236">
        <v>3.5</v>
      </c>
      <c r="J15" s="233">
        <f t="shared" si="1"/>
        <v>126</v>
      </c>
      <c r="K15" s="233">
        <v>18</v>
      </c>
      <c r="L15" s="233">
        <f t="shared" si="9"/>
        <v>63</v>
      </c>
      <c r="M15" s="233">
        <f t="shared" si="10"/>
        <v>1155</v>
      </c>
      <c r="N15" s="233">
        <f t="shared" si="11"/>
        <v>127</v>
      </c>
      <c r="O15" s="548">
        <f t="shared" si="3"/>
        <v>0.83290043290043292</v>
      </c>
      <c r="P15" s="1216"/>
      <c r="Q15" s="233">
        <f t="shared" si="12"/>
        <v>87</v>
      </c>
      <c r="R15" s="1271"/>
      <c r="S15" s="575">
        <f t="shared" si="5"/>
        <v>1049</v>
      </c>
      <c r="T15" s="1225"/>
      <c r="U15" s="237">
        <f t="shared" si="7"/>
        <v>106</v>
      </c>
      <c r="V15" s="1194"/>
      <c r="W15" s="238">
        <f t="shared" si="6"/>
        <v>0.90822510822510827</v>
      </c>
      <c r="X15" s="1262"/>
      <c r="Y15" s="205">
        <f t="shared" si="8"/>
        <v>0.90822510822510827</v>
      </c>
      <c r="Z15" s="1287"/>
      <c r="AA15" s="254"/>
      <c r="AB15" s="427" t="s">
        <v>54</v>
      </c>
      <c r="AC15" s="431">
        <v>127</v>
      </c>
      <c r="AD15" s="240"/>
      <c r="AE15" s="239"/>
      <c r="AF15" s="240" t="s">
        <v>59</v>
      </c>
      <c r="AG15" s="239">
        <v>87</v>
      </c>
      <c r="AH15" s="467"/>
      <c r="AI15" s="468"/>
      <c r="AJ15" s="240"/>
      <c r="AK15" s="239"/>
      <c r="AL15" s="240"/>
      <c r="AM15" s="239"/>
      <c r="AN15" s="497"/>
      <c r="AO15" s="499"/>
      <c r="AP15" s="240"/>
      <c r="AQ15" s="239"/>
      <c r="AR15" s="240"/>
      <c r="AS15" s="239"/>
      <c r="AT15" s="240"/>
      <c r="AU15" s="239"/>
      <c r="AV15" s="240"/>
      <c r="AW15" s="239"/>
      <c r="AX15" s="240"/>
      <c r="AY15" s="239"/>
      <c r="AZ15" s="240"/>
      <c r="BA15" s="239"/>
      <c r="BB15" s="240"/>
      <c r="BC15" s="239"/>
      <c r="BD15" s="240"/>
      <c r="BE15" s="239"/>
      <c r="BF15" s="240"/>
      <c r="BG15" s="241"/>
      <c r="BK15" s="231"/>
      <c r="BL15" s="231"/>
      <c r="BM15" s="231"/>
      <c r="BN15" s="231"/>
    </row>
    <row r="16" spans="1:66" ht="13.9" customHeight="1" thickBot="1">
      <c r="A16" s="256" t="s">
        <v>52</v>
      </c>
      <c r="B16" s="260" t="s">
        <v>66</v>
      </c>
      <c r="C16" s="257" t="s">
        <v>38</v>
      </c>
      <c r="D16" s="261">
        <v>862</v>
      </c>
      <c r="E16" s="261">
        <v>866</v>
      </c>
      <c r="F16" s="549">
        <f t="shared" si="0"/>
        <v>0.74978354978354977</v>
      </c>
      <c r="G16" s="1195"/>
      <c r="H16" s="258">
        <v>36</v>
      </c>
      <c r="I16" s="259">
        <v>3.5</v>
      </c>
      <c r="J16" s="260">
        <f t="shared" si="1"/>
        <v>126</v>
      </c>
      <c r="K16" s="260">
        <v>18</v>
      </c>
      <c r="L16" s="260">
        <f t="shared" si="9"/>
        <v>63</v>
      </c>
      <c r="M16" s="260">
        <f t="shared" si="10"/>
        <v>1155</v>
      </c>
      <c r="N16" s="260">
        <f t="shared" si="11"/>
        <v>101</v>
      </c>
      <c r="O16" s="549">
        <f t="shared" si="3"/>
        <v>0.83722943722943721</v>
      </c>
      <c r="P16" s="1217"/>
      <c r="Q16" s="260">
        <f t="shared" si="12"/>
        <v>126</v>
      </c>
      <c r="R16" s="1340"/>
      <c r="S16" s="576">
        <f t="shared" si="5"/>
        <v>1093</v>
      </c>
      <c r="T16" s="1226"/>
      <c r="U16" s="261">
        <f t="shared" si="7"/>
        <v>62</v>
      </c>
      <c r="V16" s="1195"/>
      <c r="W16" s="262">
        <f t="shared" si="6"/>
        <v>0.94632034632034634</v>
      </c>
      <c r="X16" s="1263"/>
      <c r="Y16" s="263">
        <f t="shared" si="8"/>
        <v>0.94632034632034634</v>
      </c>
      <c r="Z16" s="1288"/>
      <c r="AA16" s="254"/>
      <c r="AB16" s="427" t="s">
        <v>54</v>
      </c>
      <c r="AC16" s="432">
        <v>101</v>
      </c>
      <c r="AD16" s="509"/>
      <c r="AE16" s="510"/>
      <c r="AF16" s="249" t="s">
        <v>59</v>
      </c>
      <c r="AG16" s="248">
        <v>126</v>
      </c>
      <c r="AH16" s="490"/>
      <c r="AI16" s="491"/>
      <c r="AJ16" s="249"/>
      <c r="AK16" s="248"/>
      <c r="AL16" s="249"/>
      <c r="AM16" s="248"/>
      <c r="AN16" s="509"/>
      <c r="AO16" s="510"/>
      <c r="AP16" s="249"/>
      <c r="AQ16" s="248"/>
      <c r="AR16" s="249"/>
      <c r="AS16" s="248"/>
      <c r="AT16" s="249"/>
      <c r="AU16" s="248"/>
      <c r="AV16" s="249"/>
      <c r="AW16" s="248"/>
      <c r="AX16" s="249"/>
      <c r="AY16" s="248"/>
      <c r="AZ16" s="249"/>
      <c r="BA16" s="248"/>
      <c r="BB16" s="249"/>
      <c r="BC16" s="248"/>
      <c r="BD16" s="249"/>
      <c r="BE16" s="248"/>
      <c r="BF16" s="249"/>
      <c r="BG16" s="250"/>
      <c r="BK16" s="231"/>
      <c r="BL16" s="231"/>
      <c r="BM16" s="231"/>
      <c r="BN16" s="231"/>
    </row>
    <row r="17" spans="1:241" ht="13.15">
      <c r="A17" s="232" t="s">
        <v>67</v>
      </c>
      <c r="B17" s="273" t="s">
        <v>68</v>
      </c>
      <c r="C17" s="274" t="s">
        <v>38</v>
      </c>
      <c r="D17" s="286">
        <v>391</v>
      </c>
      <c r="E17" s="286">
        <v>393</v>
      </c>
      <c r="F17" s="563">
        <f t="shared" si="0"/>
        <v>0.34025974025974026</v>
      </c>
      <c r="G17" s="1203">
        <f>SUM(E17:E21)*54.5/1000</f>
        <v>127.203</v>
      </c>
      <c r="H17" s="275">
        <v>36</v>
      </c>
      <c r="I17" s="276">
        <v>3.5</v>
      </c>
      <c r="J17" s="286">
        <f t="shared" ref="J17:J46" si="13">INT(H17*I17)</f>
        <v>126</v>
      </c>
      <c r="K17" s="273">
        <v>18</v>
      </c>
      <c r="L17" s="273">
        <f t="shared" si="9"/>
        <v>63</v>
      </c>
      <c r="M17" s="273">
        <f t="shared" si="10"/>
        <v>1155</v>
      </c>
      <c r="N17" s="273">
        <f t="shared" ref="N17:N21" si="14">SUM(AC17)</f>
        <v>0</v>
      </c>
      <c r="O17" s="570">
        <f t="shared" si="3"/>
        <v>0.34025974025974026</v>
      </c>
      <c r="P17" s="1212">
        <f>SUM(N17:N21)*54.5/1000</f>
        <v>0</v>
      </c>
      <c r="Q17" s="572">
        <f t="shared" ref="Q17:Q21" si="15">SUM(AE17:BG17)</f>
        <v>15</v>
      </c>
      <c r="R17" s="1277">
        <f>SUM(Q17:Q21)*54.5/1000</f>
        <v>8.0660000000000007</v>
      </c>
      <c r="S17" s="574">
        <f t="shared" si="5"/>
        <v>408</v>
      </c>
      <c r="T17" s="1221">
        <f>SUM(S17:S21)*54.5/1000</f>
        <v>135.26900000000001</v>
      </c>
      <c r="U17" s="286">
        <f t="shared" si="7"/>
        <v>747</v>
      </c>
      <c r="V17" s="1227">
        <f>SUM(U17:U21)*54.5/1000</f>
        <v>179.46850000000001</v>
      </c>
      <c r="W17" s="277">
        <f t="shared" si="6"/>
        <v>0.35324675324675325</v>
      </c>
      <c r="X17" s="1198">
        <f>(G17+P17+R17)/'Building Capability'!$D$5</f>
        <v>0.42942539682539682</v>
      </c>
      <c r="Y17" s="205">
        <f t="shared" si="8"/>
        <v>0.35324675324675325</v>
      </c>
      <c r="Z17" s="1286">
        <f>(G17+P17+R17)/'Building Capability'!$F$5</f>
        <v>0.42942539682539682</v>
      </c>
      <c r="AB17" s="426"/>
      <c r="AC17" s="433"/>
      <c r="AD17" s="542" t="s">
        <v>69</v>
      </c>
      <c r="AE17" s="543">
        <v>15</v>
      </c>
      <c r="AF17" s="229"/>
      <c r="AG17" s="228"/>
      <c r="AH17" s="229"/>
      <c r="AI17" s="228"/>
      <c r="AJ17" s="542"/>
      <c r="AK17" s="543"/>
      <c r="AL17" s="229"/>
      <c r="AM17" s="228"/>
      <c r="AN17" s="229"/>
      <c r="AO17" s="228"/>
      <c r="AP17" s="229"/>
      <c r="AQ17" s="228"/>
      <c r="AR17" s="229"/>
      <c r="AS17" s="228"/>
      <c r="AT17" s="229"/>
      <c r="AU17" s="228"/>
      <c r="AV17" s="229"/>
      <c r="AW17" s="228"/>
      <c r="AX17" s="229"/>
      <c r="AY17" s="228"/>
      <c r="AZ17" s="229"/>
      <c r="BA17" s="228"/>
      <c r="BB17" s="229"/>
      <c r="BC17" s="228"/>
      <c r="BD17" s="229"/>
      <c r="BE17" s="228"/>
      <c r="BF17" s="229"/>
      <c r="BG17" s="230"/>
      <c r="BK17" s="231"/>
      <c r="BL17" s="231"/>
      <c r="BM17" s="231"/>
      <c r="BN17" s="231"/>
    </row>
    <row r="18" spans="1:241" ht="13.15">
      <c r="A18" s="253" t="s">
        <v>67</v>
      </c>
      <c r="B18" s="233" t="s">
        <v>70</v>
      </c>
      <c r="C18" s="234" t="s">
        <v>38</v>
      </c>
      <c r="D18" s="237">
        <v>501</v>
      </c>
      <c r="E18" s="237">
        <v>501</v>
      </c>
      <c r="F18" s="552">
        <f t="shared" si="0"/>
        <v>0.43376623376623374</v>
      </c>
      <c r="G18" s="1204"/>
      <c r="H18" s="235">
        <v>36</v>
      </c>
      <c r="I18" s="236">
        <v>3.5</v>
      </c>
      <c r="J18" s="237">
        <f t="shared" si="13"/>
        <v>126</v>
      </c>
      <c r="K18" s="233">
        <v>18</v>
      </c>
      <c r="L18" s="233">
        <f t="shared" si="9"/>
        <v>63</v>
      </c>
      <c r="M18" s="233">
        <f t="shared" si="10"/>
        <v>1155</v>
      </c>
      <c r="N18" s="233">
        <f t="shared" si="14"/>
        <v>0</v>
      </c>
      <c r="O18" s="548">
        <f t="shared" si="3"/>
        <v>0.43376623376623374</v>
      </c>
      <c r="P18" s="1213"/>
      <c r="Q18" s="449">
        <f t="shared" si="15"/>
        <v>15</v>
      </c>
      <c r="R18" s="1278"/>
      <c r="S18" s="575">
        <f t="shared" si="5"/>
        <v>516</v>
      </c>
      <c r="T18" s="1222"/>
      <c r="U18" s="237">
        <f t="shared" si="7"/>
        <v>639</v>
      </c>
      <c r="V18" s="1228"/>
      <c r="W18" s="238">
        <f t="shared" si="6"/>
        <v>0.44675324675324674</v>
      </c>
      <c r="X18" s="1199"/>
      <c r="Y18" s="205">
        <f t="shared" si="8"/>
        <v>0.44675324675324674</v>
      </c>
      <c r="Z18" s="1287"/>
      <c r="AB18" s="424"/>
      <c r="AC18" s="431"/>
      <c r="AD18" s="240" t="s">
        <v>69</v>
      </c>
      <c r="AE18" s="239">
        <v>15</v>
      </c>
      <c r="AF18" s="497"/>
      <c r="AG18" s="499"/>
      <c r="AH18" s="240"/>
      <c r="AI18" s="239"/>
      <c r="AJ18" s="240"/>
      <c r="AK18" s="239"/>
      <c r="AL18" s="240"/>
      <c r="AM18" s="239"/>
      <c r="AN18" s="240"/>
      <c r="AO18" s="239"/>
      <c r="AP18" s="240"/>
      <c r="AQ18" s="239"/>
      <c r="AR18" s="240"/>
      <c r="AS18" s="239"/>
      <c r="AT18" s="240"/>
      <c r="AU18" s="239"/>
      <c r="AV18" s="240"/>
      <c r="AW18" s="239"/>
      <c r="AX18" s="240"/>
      <c r="AY18" s="239"/>
      <c r="AZ18" s="240"/>
      <c r="BA18" s="239"/>
      <c r="BB18" s="240"/>
      <c r="BC18" s="239"/>
      <c r="BD18" s="240"/>
      <c r="BE18" s="239"/>
      <c r="BF18" s="240"/>
      <c r="BG18" s="241"/>
      <c r="BK18" s="231"/>
      <c r="BL18" s="231"/>
      <c r="BM18" s="231"/>
      <c r="BN18" s="231"/>
    </row>
    <row r="19" spans="1:241" ht="13.15">
      <c r="A19" s="253" t="s">
        <v>67</v>
      </c>
      <c r="B19" s="233" t="s">
        <v>71</v>
      </c>
      <c r="C19" s="234" t="s">
        <v>38</v>
      </c>
      <c r="D19" s="237">
        <v>607</v>
      </c>
      <c r="E19" s="237">
        <v>610</v>
      </c>
      <c r="F19" s="552">
        <f t="shared" si="0"/>
        <v>0.52813852813852813</v>
      </c>
      <c r="G19" s="1205"/>
      <c r="H19" s="235">
        <v>36</v>
      </c>
      <c r="I19" s="236">
        <v>3.5</v>
      </c>
      <c r="J19" s="237">
        <f t="shared" si="13"/>
        <v>126</v>
      </c>
      <c r="K19" s="233">
        <v>18</v>
      </c>
      <c r="L19" s="233">
        <f t="shared" si="9"/>
        <v>63</v>
      </c>
      <c r="M19" s="233">
        <f t="shared" si="10"/>
        <v>1155</v>
      </c>
      <c r="N19" s="233">
        <f t="shared" si="14"/>
        <v>0</v>
      </c>
      <c r="O19" s="548">
        <f t="shared" si="3"/>
        <v>0.52813852813852813</v>
      </c>
      <c r="P19" s="1213"/>
      <c r="Q19" s="449">
        <f t="shared" si="15"/>
        <v>15</v>
      </c>
      <c r="R19" s="1278"/>
      <c r="S19" s="575">
        <f t="shared" si="5"/>
        <v>625</v>
      </c>
      <c r="T19" s="1223"/>
      <c r="U19" s="237">
        <f t="shared" si="7"/>
        <v>530</v>
      </c>
      <c r="V19" s="1229"/>
      <c r="W19" s="238">
        <f t="shared" si="6"/>
        <v>0.54112554112554112</v>
      </c>
      <c r="X19" s="1199"/>
      <c r="Y19" s="205">
        <f t="shared" si="8"/>
        <v>0.54112554112554112</v>
      </c>
      <c r="Z19" s="1287"/>
      <c r="AB19" s="424"/>
      <c r="AC19" s="431"/>
      <c r="AD19" s="240" t="s">
        <v>69</v>
      </c>
      <c r="AE19" s="239">
        <v>15</v>
      </c>
      <c r="AF19" s="240"/>
      <c r="AG19" s="239"/>
      <c r="AH19" s="240"/>
      <c r="AI19" s="239"/>
      <c r="AJ19" s="240"/>
      <c r="AK19" s="239"/>
      <c r="AL19" s="240"/>
      <c r="AM19" s="239"/>
      <c r="AN19" s="240"/>
      <c r="AO19" s="239"/>
      <c r="AP19" s="240"/>
      <c r="AQ19" s="239"/>
      <c r="AR19" s="240"/>
      <c r="AS19" s="239"/>
      <c r="AT19" s="240"/>
      <c r="AU19" s="239"/>
      <c r="AV19" s="240"/>
      <c r="AW19" s="239"/>
      <c r="AX19" s="240"/>
      <c r="AY19" s="239"/>
      <c r="AZ19" s="240"/>
      <c r="BA19" s="239"/>
      <c r="BB19" s="240"/>
      <c r="BC19" s="239"/>
      <c r="BD19" s="240"/>
      <c r="BE19" s="239"/>
      <c r="BF19" s="240"/>
      <c r="BG19" s="241"/>
      <c r="BK19" s="231"/>
      <c r="BL19" s="231"/>
      <c r="BM19" s="231"/>
      <c r="BN19" s="231"/>
    </row>
    <row r="20" spans="1:241" ht="13.15">
      <c r="A20" s="253" t="s">
        <v>67</v>
      </c>
      <c r="B20" s="233" t="s">
        <v>72</v>
      </c>
      <c r="C20" s="234" t="s">
        <v>38</v>
      </c>
      <c r="D20" s="237">
        <v>472</v>
      </c>
      <c r="E20" s="237">
        <v>475</v>
      </c>
      <c r="F20" s="552">
        <f t="shared" si="0"/>
        <v>0.41125541125541126</v>
      </c>
      <c r="G20" s="1201">
        <f>G17/'Building Capability'!$D$5</f>
        <v>0.40381904761904763</v>
      </c>
      <c r="H20" s="235">
        <v>36</v>
      </c>
      <c r="I20" s="236">
        <v>3.5</v>
      </c>
      <c r="J20" s="237">
        <f t="shared" si="13"/>
        <v>126</v>
      </c>
      <c r="K20" s="233">
        <v>18</v>
      </c>
      <c r="L20" s="233">
        <f t="shared" si="9"/>
        <v>63</v>
      </c>
      <c r="M20" s="233">
        <f t="shared" si="10"/>
        <v>1155</v>
      </c>
      <c r="N20" s="233">
        <f t="shared" si="14"/>
        <v>0</v>
      </c>
      <c r="O20" s="548">
        <f t="shared" si="3"/>
        <v>0.41125541125541126</v>
      </c>
      <c r="P20" s="1296">
        <f>P17/'Building Capability'!$D$5</f>
        <v>0</v>
      </c>
      <c r="Q20" s="449">
        <f t="shared" si="15"/>
        <v>59</v>
      </c>
      <c r="R20" s="1279">
        <f>R17/'Building Capability'!$D$5</f>
        <v>2.5606349206349209E-2</v>
      </c>
      <c r="S20" s="575">
        <f t="shared" si="5"/>
        <v>534</v>
      </c>
      <c r="T20" s="1224">
        <f>T17/'Building Capability'!$D$5</f>
        <v>0.42942539682539682</v>
      </c>
      <c r="U20" s="237">
        <f t="shared" si="7"/>
        <v>621</v>
      </c>
      <c r="V20" s="1193">
        <f>V17/'Building Capability'!$D$5</f>
        <v>0.56974126984126983</v>
      </c>
      <c r="W20" s="238">
        <f t="shared" si="6"/>
        <v>0.46233766233766233</v>
      </c>
      <c r="X20" s="1199"/>
      <c r="Y20" s="205">
        <f t="shared" si="8"/>
        <v>0.46233766233766233</v>
      </c>
      <c r="Z20" s="1287"/>
      <c r="AB20" s="424"/>
      <c r="AC20" s="431"/>
      <c r="AD20" s="497" t="s">
        <v>73</v>
      </c>
      <c r="AE20" s="499">
        <v>44</v>
      </c>
      <c r="AF20" s="467" t="s">
        <v>69</v>
      </c>
      <c r="AG20" s="468">
        <v>15</v>
      </c>
      <c r="AH20" s="240"/>
      <c r="AI20" s="239"/>
      <c r="AJ20" s="240"/>
      <c r="AK20" s="239"/>
      <c r="AL20" s="240"/>
      <c r="AM20" s="239"/>
      <c r="AN20" s="240"/>
      <c r="AO20" s="239"/>
      <c r="AP20" s="240"/>
      <c r="AQ20" s="239"/>
      <c r="AR20" s="240"/>
      <c r="AS20" s="239"/>
      <c r="AT20" s="240"/>
      <c r="AU20" s="239"/>
      <c r="AV20" s="240"/>
      <c r="AW20" s="239"/>
      <c r="AX20" s="240"/>
      <c r="AY20" s="239"/>
      <c r="AZ20" s="240"/>
      <c r="BA20" s="239"/>
      <c r="BB20" s="240"/>
      <c r="BC20" s="239"/>
      <c r="BD20" s="240"/>
      <c r="BE20" s="239"/>
      <c r="BF20" s="240"/>
      <c r="BG20" s="241"/>
      <c r="BK20" s="231"/>
      <c r="BL20" s="231"/>
      <c r="BM20" s="231"/>
      <c r="BN20" s="231"/>
    </row>
    <row r="21" spans="1:241" ht="13.9" customHeight="1" thickBot="1">
      <c r="A21" s="264" t="s">
        <v>67</v>
      </c>
      <c r="B21" s="218" t="s">
        <v>74</v>
      </c>
      <c r="C21" s="244" t="s">
        <v>38</v>
      </c>
      <c r="D21" s="1095">
        <v>350</v>
      </c>
      <c r="E21" s="1095">
        <v>355</v>
      </c>
      <c r="F21" s="1061">
        <f t="shared" si="0"/>
        <v>0.30735930735930733</v>
      </c>
      <c r="G21" s="1202"/>
      <c r="H21" s="245">
        <v>36</v>
      </c>
      <c r="I21" s="246">
        <v>3.5</v>
      </c>
      <c r="J21" s="217">
        <f t="shared" si="13"/>
        <v>126</v>
      </c>
      <c r="K21" s="218">
        <v>18</v>
      </c>
      <c r="L21" s="218">
        <f t="shared" si="9"/>
        <v>63</v>
      </c>
      <c r="M21" s="218">
        <f t="shared" si="10"/>
        <v>1155</v>
      </c>
      <c r="N21" s="218">
        <f t="shared" si="14"/>
        <v>0</v>
      </c>
      <c r="O21" s="571">
        <f t="shared" si="3"/>
        <v>0.30735930735930733</v>
      </c>
      <c r="P21" s="1330"/>
      <c r="Q21" s="573">
        <f t="shared" si="15"/>
        <v>44</v>
      </c>
      <c r="R21" s="1280"/>
      <c r="S21" s="576">
        <f t="shared" si="5"/>
        <v>399</v>
      </c>
      <c r="T21" s="1226"/>
      <c r="U21" s="217">
        <f t="shared" si="7"/>
        <v>756</v>
      </c>
      <c r="V21" s="1195"/>
      <c r="W21" s="247">
        <f t="shared" si="6"/>
        <v>0.34545454545454546</v>
      </c>
      <c r="X21" s="1200"/>
      <c r="Y21" s="263">
        <f t="shared" si="8"/>
        <v>0.34545454545454546</v>
      </c>
      <c r="Z21" s="1288"/>
      <c r="AB21" s="425"/>
      <c r="AC21" s="432"/>
      <c r="AD21" s="509" t="s">
        <v>73</v>
      </c>
      <c r="AE21" s="510">
        <v>44</v>
      </c>
      <c r="AF21" s="240"/>
      <c r="AG21" s="248"/>
      <c r="AH21" s="240"/>
      <c r="AI21" s="248"/>
      <c r="AJ21" s="249"/>
      <c r="AK21" s="248"/>
      <c r="AL21" s="249"/>
      <c r="AM21" s="248"/>
      <c r="AN21" s="249"/>
      <c r="AO21" s="248"/>
      <c r="AP21" s="249"/>
      <c r="AQ21" s="248"/>
      <c r="AR21" s="249"/>
      <c r="AS21" s="248"/>
      <c r="AT21" s="249"/>
      <c r="AU21" s="248"/>
      <c r="AV21" s="249"/>
      <c r="AW21" s="248"/>
      <c r="AX21" s="249"/>
      <c r="AY21" s="248"/>
      <c r="AZ21" s="249"/>
      <c r="BA21" s="248"/>
      <c r="BB21" s="249"/>
      <c r="BC21" s="248"/>
      <c r="BD21" s="249"/>
      <c r="BE21" s="248"/>
      <c r="BF21" s="249"/>
      <c r="BG21" s="250"/>
      <c r="BK21" s="231"/>
      <c r="BL21" s="231"/>
      <c r="BM21" s="231"/>
      <c r="BN21" s="231"/>
    </row>
    <row r="22" spans="1:241" ht="13.15">
      <c r="A22" s="251" t="s">
        <v>75</v>
      </c>
      <c r="B22" s="222" t="s">
        <v>76</v>
      </c>
      <c r="C22" s="223" t="s">
        <v>38</v>
      </c>
      <c r="D22" s="815">
        <v>844</v>
      </c>
      <c r="E22" s="815">
        <v>852</v>
      </c>
      <c r="F22" s="551">
        <f t="shared" si="0"/>
        <v>0.73766233766233769</v>
      </c>
      <c r="G22" s="1209">
        <f>SUM(E22:E27)*54.5/1000</f>
        <v>290.1035</v>
      </c>
      <c r="H22" s="484">
        <v>36</v>
      </c>
      <c r="I22" s="225">
        <v>3.5</v>
      </c>
      <c r="J22" s="222">
        <f t="shared" si="13"/>
        <v>126</v>
      </c>
      <c r="K22" s="222">
        <v>18</v>
      </c>
      <c r="L22" s="222">
        <f t="shared" si="9"/>
        <v>63</v>
      </c>
      <c r="M22" s="222">
        <f t="shared" si="10"/>
        <v>1155</v>
      </c>
      <c r="N22" s="222">
        <f>SUM(AC22)</f>
        <v>193</v>
      </c>
      <c r="O22" s="550">
        <f t="shared" si="3"/>
        <v>0.90476190476190477</v>
      </c>
      <c r="P22" s="1209">
        <f>SUM(N22:N27)*54.5/1000</f>
        <v>65.127499999999998</v>
      </c>
      <c r="Q22" s="222">
        <f>SUM(AE22:BG22)</f>
        <v>39.5</v>
      </c>
      <c r="R22" s="1267">
        <f>SUM(Q22:Q27)*54.5/1000</f>
        <v>6.3765000000000001</v>
      </c>
      <c r="S22" s="574">
        <f t="shared" si="5"/>
        <v>1084.5</v>
      </c>
      <c r="T22" s="1221">
        <f>SUM(S22:S27)*54.5/1000</f>
        <v>361.60750000000002</v>
      </c>
      <c r="U22" s="226">
        <f t="shared" si="7"/>
        <v>70.5</v>
      </c>
      <c r="V22" s="1227">
        <f>SUM(U22:U27)*54.5/1000</f>
        <v>16.077500000000001</v>
      </c>
      <c r="W22" s="227">
        <f t="shared" si="6"/>
        <v>0.938961038961039</v>
      </c>
      <c r="X22" s="1198">
        <f>(G22+P22+R22)/'Building Capability'!$D$6</f>
        <v>0.95663359788359792</v>
      </c>
      <c r="Y22" s="252">
        <f t="shared" si="8"/>
        <v>0.938961038961039</v>
      </c>
      <c r="Z22" s="1299">
        <f>(G22+P22+R22)/'Building Capability'!$F$6</f>
        <v>0.95663359788359792</v>
      </c>
      <c r="AA22" s="1299" t="e">
        <f>(G22+P22)/'Building Capability'!$G$6</f>
        <v>#DIV/0!</v>
      </c>
      <c r="AB22" s="426" t="s">
        <v>77</v>
      </c>
      <c r="AC22" s="433">
        <v>193</v>
      </c>
      <c r="AD22" s="229" t="s">
        <v>78</v>
      </c>
      <c r="AE22" s="228">
        <v>15</v>
      </c>
      <c r="AF22" s="229" t="s">
        <v>79</v>
      </c>
      <c r="AG22" s="228">
        <v>4.5</v>
      </c>
      <c r="AH22" s="229" t="s">
        <v>80</v>
      </c>
      <c r="AI22" s="228">
        <v>20</v>
      </c>
      <c r="AJ22" s="229"/>
      <c r="AK22" s="228"/>
      <c r="AL22" s="229"/>
      <c r="AM22" s="228"/>
      <c r="AN22" s="229"/>
      <c r="AO22" s="228"/>
      <c r="AP22" s="229"/>
      <c r="AQ22" s="228"/>
      <c r="AR22" s="240"/>
      <c r="AS22" s="228"/>
      <c r="AT22" s="229"/>
      <c r="AU22" s="228"/>
      <c r="AV22" s="229"/>
      <c r="AW22" s="228"/>
      <c r="AX22" s="229"/>
      <c r="AY22" s="228"/>
      <c r="AZ22" s="229"/>
      <c r="BA22" s="228"/>
      <c r="BB22" s="229"/>
      <c r="BC22" s="228"/>
      <c r="BD22" s="229"/>
      <c r="BE22" s="228"/>
      <c r="BF22" s="229"/>
      <c r="BG22" s="230"/>
      <c r="BK22" s="231"/>
      <c r="BL22" s="231"/>
      <c r="BM22" s="231"/>
      <c r="BN22" s="231"/>
    </row>
    <row r="23" spans="1:241" ht="13.15">
      <c r="A23" s="253" t="s">
        <v>75</v>
      </c>
      <c r="B23" s="233" t="s">
        <v>81</v>
      </c>
      <c r="C23" s="234" t="s">
        <v>38</v>
      </c>
      <c r="D23" s="502">
        <v>918</v>
      </c>
      <c r="E23" s="1105">
        <v>912</v>
      </c>
      <c r="F23" s="553">
        <f t="shared" si="0"/>
        <v>0.78961038961038965</v>
      </c>
      <c r="G23" s="1210"/>
      <c r="H23" s="485">
        <v>36</v>
      </c>
      <c r="I23" s="236">
        <v>3.5</v>
      </c>
      <c r="J23" s="233">
        <f t="shared" si="13"/>
        <v>126</v>
      </c>
      <c r="K23" s="233">
        <v>18</v>
      </c>
      <c r="L23" s="233">
        <f t="shared" si="9"/>
        <v>63</v>
      </c>
      <c r="M23" s="233">
        <f t="shared" si="10"/>
        <v>1155</v>
      </c>
      <c r="N23" s="233">
        <f t="shared" ref="N23:N27" si="16">SUM(AC23)</f>
        <v>189</v>
      </c>
      <c r="O23" s="548">
        <f t="shared" si="3"/>
        <v>0.95324675324675323</v>
      </c>
      <c r="P23" s="1210"/>
      <c r="Q23" s="233">
        <f t="shared" ref="Q23:Q27" si="17">SUM(AE23:BG23)</f>
        <v>4.5</v>
      </c>
      <c r="R23" s="1268"/>
      <c r="S23" s="575">
        <f t="shared" si="5"/>
        <v>1105.5</v>
      </c>
      <c r="T23" s="1222"/>
      <c r="U23" s="237">
        <f t="shared" si="7"/>
        <v>49.5</v>
      </c>
      <c r="V23" s="1228"/>
      <c r="W23" s="494">
        <f t="shared" si="6"/>
        <v>0.95714285714285718</v>
      </c>
      <c r="X23" s="1199"/>
      <c r="Y23" s="205">
        <f t="shared" si="8"/>
        <v>0.95714285714285718</v>
      </c>
      <c r="Z23" s="1300"/>
      <c r="AA23" s="1300"/>
      <c r="AB23" s="424" t="s">
        <v>54</v>
      </c>
      <c r="AC23" s="431">
        <v>189</v>
      </c>
      <c r="AD23" s="240"/>
      <c r="AE23" s="239"/>
      <c r="AF23" s="240" t="s">
        <v>79</v>
      </c>
      <c r="AG23" s="541">
        <v>4.5</v>
      </c>
      <c r="AH23" s="240"/>
      <c r="AI23" s="239"/>
      <c r="AJ23" s="240"/>
      <c r="AK23" s="239"/>
      <c r="AL23" s="240"/>
      <c r="AM23" s="239"/>
      <c r="AN23" s="240"/>
      <c r="AO23" s="239"/>
      <c r="AP23" s="240"/>
      <c r="AQ23" s="239"/>
      <c r="AR23" s="240"/>
      <c r="AS23" s="239"/>
      <c r="AT23" s="240"/>
      <c r="AU23" s="239"/>
      <c r="AV23" s="240"/>
      <c r="AW23" s="239"/>
      <c r="AX23" s="240"/>
      <c r="AY23" s="239"/>
      <c r="AZ23" s="240"/>
      <c r="BA23" s="239"/>
      <c r="BB23" s="240"/>
      <c r="BC23" s="239"/>
      <c r="BD23" s="240"/>
      <c r="BE23" s="239"/>
      <c r="BF23" s="240"/>
      <c r="BG23" s="241"/>
      <c r="BK23" s="231"/>
      <c r="BL23" s="231"/>
      <c r="BM23" s="231"/>
      <c r="BN23" s="231"/>
    </row>
    <row r="24" spans="1:241" ht="12.6" customHeight="1">
      <c r="A24" s="253" t="s">
        <v>75</v>
      </c>
      <c r="B24" s="233" t="s">
        <v>82</v>
      </c>
      <c r="C24" s="234" t="s">
        <v>38</v>
      </c>
      <c r="D24" s="1060">
        <v>875</v>
      </c>
      <c r="E24" s="1060">
        <v>881</v>
      </c>
      <c r="F24" s="1087">
        <f t="shared" si="0"/>
        <v>0.76277056277056277</v>
      </c>
      <c r="G24" s="1342"/>
      <c r="H24" s="485">
        <v>36</v>
      </c>
      <c r="I24" s="236">
        <v>3.5</v>
      </c>
      <c r="J24" s="233">
        <f t="shared" si="13"/>
        <v>126</v>
      </c>
      <c r="K24" s="233">
        <v>18</v>
      </c>
      <c r="L24" s="233">
        <f t="shared" si="9"/>
        <v>63</v>
      </c>
      <c r="M24" s="233">
        <f t="shared" si="10"/>
        <v>1155</v>
      </c>
      <c r="N24" s="233">
        <f t="shared" si="16"/>
        <v>185</v>
      </c>
      <c r="O24" s="548">
        <f t="shared" si="3"/>
        <v>0.92294372294372296</v>
      </c>
      <c r="P24" s="1211"/>
      <c r="Q24" s="233">
        <f t="shared" si="17"/>
        <v>24.5</v>
      </c>
      <c r="R24" s="1269"/>
      <c r="S24" s="575">
        <f t="shared" si="5"/>
        <v>1090.5</v>
      </c>
      <c r="T24" s="1223"/>
      <c r="U24" s="237">
        <f t="shared" si="7"/>
        <v>64.5</v>
      </c>
      <c r="V24" s="1229"/>
      <c r="W24" s="238">
        <f t="shared" si="6"/>
        <v>0.94415584415584419</v>
      </c>
      <c r="X24" s="1199"/>
      <c r="Y24" s="205">
        <f t="shared" si="8"/>
        <v>0.94415584415584419</v>
      </c>
      <c r="Z24" s="1300"/>
      <c r="AA24" s="1300"/>
      <c r="AB24" s="424" t="s">
        <v>54</v>
      </c>
      <c r="AC24" s="431">
        <v>185</v>
      </c>
      <c r="AD24" s="240"/>
      <c r="AE24" s="239"/>
      <c r="AF24" s="240" t="s">
        <v>79</v>
      </c>
      <c r="AG24" s="541">
        <v>4.5</v>
      </c>
      <c r="AH24" s="240" t="s">
        <v>80</v>
      </c>
      <c r="AI24" s="239">
        <v>20</v>
      </c>
      <c r="AJ24" s="240"/>
      <c r="AK24" s="239"/>
      <c r="AL24" s="240"/>
      <c r="AM24" s="239"/>
      <c r="AN24" s="240"/>
      <c r="AO24" s="239"/>
      <c r="AP24" s="240"/>
      <c r="AQ24" s="239"/>
      <c r="AR24" s="240"/>
      <c r="AS24" s="239"/>
      <c r="AT24" s="240"/>
      <c r="AU24" s="239"/>
      <c r="AV24" s="240"/>
      <c r="AW24" s="239"/>
      <c r="AX24" s="240"/>
      <c r="AY24" s="239"/>
      <c r="AZ24" s="240"/>
      <c r="BA24" s="239"/>
      <c r="BB24" s="240"/>
      <c r="BC24" s="239"/>
      <c r="BD24" s="240"/>
      <c r="BE24" s="239"/>
      <c r="BF24" s="240"/>
      <c r="BG24" s="241"/>
      <c r="BK24" s="231"/>
      <c r="BL24" s="231"/>
      <c r="BM24" s="231"/>
      <c r="BN24" s="231"/>
    </row>
    <row r="25" spans="1:241" ht="13.15">
      <c r="A25" s="264" t="s">
        <v>75</v>
      </c>
      <c r="B25" s="218" t="s">
        <v>83</v>
      </c>
      <c r="C25" s="234" t="s">
        <v>38</v>
      </c>
      <c r="D25" s="502">
        <v>830</v>
      </c>
      <c r="E25" s="237">
        <v>830</v>
      </c>
      <c r="F25" s="563">
        <f t="shared" si="0"/>
        <v>0.7186147186147186</v>
      </c>
      <c r="G25" s="1181">
        <f>G22/'Building Capability'!$D$6</f>
        <v>0.76746957671957672</v>
      </c>
      <c r="H25" s="485">
        <v>36</v>
      </c>
      <c r="I25" s="246">
        <v>3.5</v>
      </c>
      <c r="J25" s="233">
        <f t="shared" si="13"/>
        <v>126</v>
      </c>
      <c r="K25" s="233">
        <v>18</v>
      </c>
      <c r="L25" s="233">
        <f t="shared" si="9"/>
        <v>63</v>
      </c>
      <c r="M25" s="233">
        <f t="shared" si="10"/>
        <v>1155</v>
      </c>
      <c r="N25" s="233">
        <f t="shared" si="16"/>
        <v>163</v>
      </c>
      <c r="O25" s="548">
        <f t="shared" si="3"/>
        <v>0.85974025974025969</v>
      </c>
      <c r="P25" s="1215">
        <f>P22/'Building Capability'!$D$6</f>
        <v>0.17229497354497353</v>
      </c>
      <c r="Q25" s="233">
        <f t="shared" si="17"/>
        <v>39.5</v>
      </c>
      <c r="R25" s="1270">
        <f>R22/'Building Capability'!$D$6</f>
        <v>1.686904761904762E-2</v>
      </c>
      <c r="S25" s="575">
        <f t="shared" si="5"/>
        <v>1032.5</v>
      </c>
      <c r="T25" s="1224">
        <f>T22/'Building Capability'!$D$6</f>
        <v>0.95663359788359792</v>
      </c>
      <c r="U25" s="217">
        <f t="shared" si="7"/>
        <v>122.5</v>
      </c>
      <c r="V25" s="1193">
        <f>V22/'Building Capability'!$D$6</f>
        <v>4.2533068783068784E-2</v>
      </c>
      <c r="W25" s="247">
        <f t="shared" si="6"/>
        <v>0.89393939393939392</v>
      </c>
      <c r="X25" s="1199"/>
      <c r="Y25" s="205">
        <f t="shared" si="8"/>
        <v>0.89393939393939392</v>
      </c>
      <c r="Z25" s="1300"/>
      <c r="AA25" s="1300"/>
      <c r="AB25" s="424" t="s">
        <v>54</v>
      </c>
      <c r="AC25" s="431">
        <v>163</v>
      </c>
      <c r="AD25" s="240" t="s">
        <v>78</v>
      </c>
      <c r="AE25" s="239">
        <v>15</v>
      </c>
      <c r="AF25" s="240" t="s">
        <v>79</v>
      </c>
      <c r="AG25" s="239">
        <v>4.5</v>
      </c>
      <c r="AH25" s="240" t="s">
        <v>80</v>
      </c>
      <c r="AI25" s="239">
        <v>20</v>
      </c>
      <c r="AJ25" s="240"/>
      <c r="AK25" s="239"/>
      <c r="AL25" s="240"/>
      <c r="AM25" s="239"/>
      <c r="AN25" s="240"/>
      <c r="AO25" s="239"/>
      <c r="AP25" s="240"/>
      <c r="AQ25" s="239"/>
      <c r="AR25" s="240"/>
      <c r="AS25" s="239"/>
      <c r="AT25" s="240"/>
      <c r="AU25" s="239"/>
      <c r="AV25" s="240"/>
      <c r="AW25" s="239"/>
      <c r="AX25" s="240"/>
      <c r="AY25" s="239"/>
      <c r="AZ25" s="240"/>
      <c r="BA25" s="239"/>
      <c r="BB25" s="240"/>
      <c r="BC25" s="239"/>
      <c r="BD25" s="240"/>
      <c r="BE25" s="239"/>
      <c r="BF25" s="240"/>
      <c r="BG25" s="241"/>
      <c r="BK25" s="231"/>
      <c r="BL25" s="231"/>
      <c r="BM25" s="231"/>
      <c r="BN25" s="231"/>
    </row>
    <row r="26" spans="1:241" ht="12.6" customHeight="1">
      <c r="A26" s="264" t="s">
        <v>75</v>
      </c>
      <c r="B26" s="218" t="s">
        <v>84</v>
      </c>
      <c r="C26" s="483" t="s">
        <v>38</v>
      </c>
      <c r="D26" s="817">
        <v>923</v>
      </c>
      <c r="E26" s="817">
        <v>965</v>
      </c>
      <c r="F26" s="555">
        <f t="shared" si="0"/>
        <v>0.83549783549783552</v>
      </c>
      <c r="G26" s="1182"/>
      <c r="H26" s="486">
        <v>36</v>
      </c>
      <c r="I26" s="246">
        <v>3.5</v>
      </c>
      <c r="J26" s="339">
        <f t="shared" si="13"/>
        <v>126</v>
      </c>
      <c r="K26" s="339">
        <v>18</v>
      </c>
      <c r="L26" s="339">
        <f t="shared" si="9"/>
        <v>63</v>
      </c>
      <c r="M26" s="339">
        <f t="shared" si="10"/>
        <v>1155</v>
      </c>
      <c r="N26" s="218">
        <f t="shared" si="16"/>
        <v>189</v>
      </c>
      <c r="O26" s="548">
        <f t="shared" si="3"/>
        <v>0.9991341991341991</v>
      </c>
      <c r="P26" s="1216"/>
      <c r="Q26" s="218">
        <f t="shared" si="17"/>
        <v>4.5</v>
      </c>
      <c r="R26" s="1271"/>
      <c r="S26" s="575">
        <f t="shared" si="5"/>
        <v>1158.5</v>
      </c>
      <c r="T26" s="1225"/>
      <c r="U26" s="217">
        <f t="shared" si="7"/>
        <v>-3.5</v>
      </c>
      <c r="V26" s="1194"/>
      <c r="W26" s="247">
        <f t="shared" si="6"/>
        <v>1.0030303030303029</v>
      </c>
      <c r="X26" s="1199"/>
      <c r="Z26" s="1300"/>
      <c r="AA26" s="1300"/>
      <c r="AB26" s="424" t="s">
        <v>54</v>
      </c>
      <c r="AC26" s="431">
        <v>189</v>
      </c>
      <c r="AD26" s="240"/>
      <c r="AE26" s="239"/>
      <c r="AF26" s="240" t="s">
        <v>79</v>
      </c>
      <c r="AG26" s="239">
        <v>4.5</v>
      </c>
      <c r="AH26" s="240"/>
      <c r="AI26" s="239"/>
      <c r="AJ26" s="240"/>
      <c r="AK26" s="239"/>
      <c r="AL26" s="240"/>
      <c r="AM26" s="239"/>
      <c r="AN26" s="240"/>
      <c r="AO26" s="239"/>
      <c r="AP26" s="240"/>
      <c r="AQ26" s="239"/>
      <c r="AR26" s="240"/>
      <c r="AS26" s="239"/>
      <c r="AT26" s="240"/>
      <c r="AU26" s="239"/>
      <c r="AV26" s="240"/>
      <c r="AW26" s="239"/>
      <c r="AX26" s="240"/>
      <c r="AY26" s="239"/>
      <c r="AZ26" s="240"/>
      <c r="BA26" s="239"/>
      <c r="BB26" s="240"/>
      <c r="BC26" s="239"/>
      <c r="BD26" s="240"/>
      <c r="BE26" s="239"/>
      <c r="BF26" s="240"/>
      <c r="BG26" s="241"/>
      <c r="BK26" s="231"/>
      <c r="BL26" s="231"/>
      <c r="BM26" s="231"/>
      <c r="BN26" s="231"/>
    </row>
    <row r="27" spans="1:241" ht="13.9" thickBot="1">
      <c r="A27" s="256" t="s">
        <v>75</v>
      </c>
      <c r="B27" s="260" t="s">
        <v>85</v>
      </c>
      <c r="C27" s="269" t="s">
        <v>38</v>
      </c>
      <c r="D27" s="261">
        <v>878</v>
      </c>
      <c r="E27" s="261">
        <v>883</v>
      </c>
      <c r="F27" s="556">
        <f t="shared" si="0"/>
        <v>0.76450216450216446</v>
      </c>
      <c r="G27" s="1183"/>
      <c r="H27" s="258">
        <v>36</v>
      </c>
      <c r="I27" s="259">
        <v>3.5</v>
      </c>
      <c r="J27" s="260">
        <f t="shared" si="13"/>
        <v>126</v>
      </c>
      <c r="K27" s="260">
        <v>18</v>
      </c>
      <c r="L27" s="260">
        <f t="shared" si="9"/>
        <v>63</v>
      </c>
      <c r="M27" s="260">
        <f t="shared" si="10"/>
        <v>1155</v>
      </c>
      <c r="N27" s="260">
        <f t="shared" si="16"/>
        <v>276</v>
      </c>
      <c r="O27" s="549">
        <f t="shared" si="3"/>
        <v>1.0034632034632034</v>
      </c>
      <c r="P27" s="1217"/>
      <c r="Q27" s="260">
        <f t="shared" si="17"/>
        <v>4.5</v>
      </c>
      <c r="R27" s="1340"/>
      <c r="S27" s="576">
        <f t="shared" si="5"/>
        <v>1163.5</v>
      </c>
      <c r="T27" s="1226"/>
      <c r="U27" s="261">
        <f t="shared" si="7"/>
        <v>-8.5</v>
      </c>
      <c r="V27" s="1194"/>
      <c r="W27" s="262">
        <f t="shared" si="6"/>
        <v>1.0073593073593075</v>
      </c>
      <c r="X27" s="1200"/>
      <c r="Z27" s="1301"/>
      <c r="AA27" s="1301"/>
      <c r="AB27" s="425" t="s">
        <v>54</v>
      </c>
      <c r="AC27" s="432">
        <v>276</v>
      </c>
      <c r="AD27" s="490"/>
      <c r="AE27" s="491"/>
      <c r="AF27" s="797" t="s">
        <v>79</v>
      </c>
      <c r="AG27" s="1023">
        <v>4.5</v>
      </c>
      <c r="AH27" s="490"/>
      <c r="AI27" s="491"/>
      <c r="AJ27" s="249"/>
      <c r="AK27" s="248"/>
      <c r="AL27" s="249"/>
      <c r="AM27" s="248"/>
      <c r="AN27" s="249"/>
      <c r="AO27" s="248"/>
      <c r="AP27" s="249"/>
      <c r="AQ27" s="248"/>
      <c r="AR27" s="249"/>
      <c r="AS27" s="248"/>
      <c r="AT27" s="249"/>
      <c r="AU27" s="248"/>
      <c r="AV27" s="249"/>
      <c r="AW27" s="248"/>
      <c r="AX27" s="249"/>
      <c r="AY27" s="248"/>
      <c r="AZ27" s="249"/>
      <c r="BA27" s="248"/>
      <c r="BB27" s="249"/>
      <c r="BC27" s="248"/>
      <c r="BD27" s="249"/>
      <c r="BE27" s="248"/>
      <c r="BF27" s="249"/>
      <c r="BG27" s="250"/>
      <c r="BK27" s="231"/>
      <c r="BL27" s="231"/>
      <c r="BM27" s="231"/>
      <c r="BN27" s="231"/>
    </row>
    <row r="28" spans="1:241" s="265" customFormat="1" ht="13.15">
      <c r="A28" s="232" t="s">
        <v>86</v>
      </c>
      <c r="B28" s="273" t="s">
        <v>87</v>
      </c>
      <c r="C28" s="274" t="s">
        <v>38</v>
      </c>
      <c r="D28" s="286">
        <v>435</v>
      </c>
      <c r="E28" s="286">
        <v>420</v>
      </c>
      <c r="F28" s="557">
        <f t="shared" si="0"/>
        <v>0.36363636363636365</v>
      </c>
      <c r="G28" s="1203">
        <f>SUM(E28:E31)*54.5/1000</f>
        <v>82.567499999999995</v>
      </c>
      <c r="H28" s="275">
        <v>36</v>
      </c>
      <c r="I28" s="276">
        <v>3.5</v>
      </c>
      <c r="J28" s="273">
        <f t="shared" si="13"/>
        <v>126</v>
      </c>
      <c r="K28" s="273">
        <v>18</v>
      </c>
      <c r="L28" s="273">
        <f t="shared" si="9"/>
        <v>63</v>
      </c>
      <c r="M28" s="273">
        <f t="shared" si="10"/>
        <v>1155</v>
      </c>
      <c r="N28" s="273">
        <f t="shared" ref="N28:N38" si="18">SUM(AC28)</f>
        <v>0</v>
      </c>
      <c r="O28" s="570">
        <f t="shared" si="3"/>
        <v>0.36363636363636365</v>
      </c>
      <c r="P28" s="1331">
        <f>SUM(N28:N31)*54.5/1000</f>
        <v>0</v>
      </c>
      <c r="Q28" s="572">
        <f t="shared" ref="Q28:Q38" si="19">SUM(AE28:BG28)</f>
        <v>0</v>
      </c>
      <c r="R28" s="1272">
        <f>SUM(Q28:Q31)*54.4/1000</f>
        <v>0</v>
      </c>
      <c r="S28" s="574">
        <f t="shared" si="5"/>
        <v>420</v>
      </c>
      <c r="T28" s="1221">
        <f>SUM(S28:S31)*54.5/1000</f>
        <v>82.567499999999995</v>
      </c>
      <c r="U28" s="286">
        <f t="shared" si="7"/>
        <v>735</v>
      </c>
      <c r="V28" s="1227">
        <f>SUM(U28:U31)*54.5/1000</f>
        <v>169.2225</v>
      </c>
      <c r="W28" s="291">
        <f t="shared" si="6"/>
        <v>0.36363636363636365</v>
      </c>
      <c r="X28" s="1264">
        <f>(G28+P28+R28)/'Building Capability'!$D$7</f>
        <v>0.32764880952380948</v>
      </c>
      <c r="Y28" s="205">
        <f t="shared" si="8"/>
        <v>0.36363636363636365</v>
      </c>
      <c r="Z28" s="1178">
        <f>(G28+P28+R28)/'Building Capability'!$F$7</f>
        <v>0.275225</v>
      </c>
      <c r="AA28" s="205"/>
      <c r="AB28" s="424"/>
      <c r="AC28" s="431"/>
      <c r="AD28" s="240"/>
      <c r="AE28" s="239"/>
      <c r="AF28" s="240"/>
      <c r="AG28" s="239"/>
      <c r="AH28" s="240"/>
      <c r="AI28" s="239"/>
      <c r="AJ28" s="240"/>
      <c r="AK28" s="239"/>
      <c r="AL28" s="240"/>
      <c r="AM28" s="239"/>
      <c r="AN28" s="240"/>
      <c r="AO28" s="239"/>
      <c r="AP28" s="240"/>
      <c r="AQ28" s="239"/>
      <c r="AR28" s="240"/>
      <c r="AS28" s="239"/>
      <c r="AT28" s="240"/>
      <c r="AU28" s="239"/>
      <c r="AV28" s="240"/>
      <c r="AW28" s="239"/>
      <c r="AX28" s="240"/>
      <c r="AY28" s="239"/>
      <c r="AZ28" s="240"/>
      <c r="BA28" s="239"/>
      <c r="BB28" s="240"/>
      <c r="BC28" s="239"/>
      <c r="BD28" s="240"/>
      <c r="BE28" s="239"/>
      <c r="BF28" s="240"/>
      <c r="BG28" s="241"/>
      <c r="BH28" s="205"/>
      <c r="BI28" s="205"/>
      <c r="BJ28" s="205"/>
      <c r="BK28" s="231"/>
      <c r="BL28" s="231"/>
      <c r="BM28" s="231"/>
      <c r="BN28" s="231"/>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row>
    <row r="29" spans="1:241" ht="13.15">
      <c r="A29" s="253" t="s">
        <v>86</v>
      </c>
      <c r="B29" s="233" t="s">
        <v>88</v>
      </c>
      <c r="C29" s="234" t="s">
        <v>38</v>
      </c>
      <c r="D29" s="1105">
        <v>371</v>
      </c>
      <c r="E29" s="237">
        <v>347</v>
      </c>
      <c r="F29" s="552">
        <f t="shared" si="0"/>
        <v>0.30043290043290044</v>
      </c>
      <c r="G29" s="1205"/>
      <c r="H29" s="235">
        <v>36</v>
      </c>
      <c r="I29" s="236">
        <v>3.5</v>
      </c>
      <c r="J29" s="233">
        <f t="shared" si="13"/>
        <v>126</v>
      </c>
      <c r="K29" s="233">
        <v>18</v>
      </c>
      <c r="L29" s="233">
        <f t="shared" si="9"/>
        <v>63</v>
      </c>
      <c r="M29" s="233">
        <f t="shared" si="10"/>
        <v>1155</v>
      </c>
      <c r="N29" s="233">
        <f t="shared" si="18"/>
        <v>0</v>
      </c>
      <c r="O29" s="548">
        <f t="shared" si="3"/>
        <v>0.30043290043290044</v>
      </c>
      <c r="P29" s="1332"/>
      <c r="Q29" s="449">
        <f t="shared" si="19"/>
        <v>0</v>
      </c>
      <c r="R29" s="1274"/>
      <c r="S29" s="575">
        <f t="shared" si="5"/>
        <v>347</v>
      </c>
      <c r="T29" s="1223"/>
      <c r="U29" s="237">
        <f t="shared" si="7"/>
        <v>808</v>
      </c>
      <c r="V29" s="1229"/>
      <c r="W29" s="238">
        <f t="shared" si="6"/>
        <v>0.30043290043290044</v>
      </c>
      <c r="X29" s="1265"/>
      <c r="Y29" s="205">
        <f t="shared" si="8"/>
        <v>0.30043290043290044</v>
      </c>
      <c r="Z29" s="1179"/>
      <c r="AB29" s="424"/>
      <c r="AC29" s="431"/>
      <c r="AD29" s="497"/>
      <c r="AE29" s="499"/>
      <c r="AF29" s="240"/>
      <c r="AG29" s="239"/>
      <c r="AH29" s="240"/>
      <c r="AI29" s="239"/>
      <c r="AJ29" s="240"/>
      <c r="AK29" s="239"/>
      <c r="AL29" s="240"/>
      <c r="AM29" s="239"/>
      <c r="AN29" s="240"/>
      <c r="AO29" s="239"/>
      <c r="AP29" s="240"/>
      <c r="AQ29" s="239"/>
      <c r="AR29" s="240"/>
      <c r="AS29" s="239"/>
      <c r="AT29" s="240"/>
      <c r="AU29" s="239"/>
      <c r="AV29" s="240"/>
      <c r="AW29" s="239"/>
      <c r="AX29" s="240"/>
      <c r="AY29" s="239"/>
      <c r="AZ29" s="240"/>
      <c r="BA29" s="239"/>
      <c r="BB29" s="240"/>
      <c r="BC29" s="239"/>
      <c r="BD29" s="240"/>
      <c r="BE29" s="239"/>
      <c r="BF29" s="240"/>
      <c r="BG29" s="241"/>
      <c r="BK29" s="231"/>
      <c r="BL29" s="231"/>
      <c r="BM29" s="231"/>
      <c r="BN29" s="231"/>
    </row>
    <row r="30" spans="1:241" ht="10.5" customHeight="1">
      <c r="A30" s="253" t="s">
        <v>86</v>
      </c>
      <c r="B30" s="233" t="s">
        <v>89</v>
      </c>
      <c r="C30" s="234" t="s">
        <v>38</v>
      </c>
      <c r="D30" s="237">
        <v>447</v>
      </c>
      <c r="E30" s="237">
        <v>436</v>
      </c>
      <c r="F30" s="552">
        <f t="shared" si="0"/>
        <v>0.37748917748917749</v>
      </c>
      <c r="G30" s="1201">
        <f>G28/'Building Capability'!$D$7</f>
        <v>0.32764880952380948</v>
      </c>
      <c r="H30" s="235">
        <v>36</v>
      </c>
      <c r="I30" s="236">
        <v>3.5</v>
      </c>
      <c r="J30" s="233">
        <f t="shared" si="13"/>
        <v>126</v>
      </c>
      <c r="K30" s="233">
        <v>18</v>
      </c>
      <c r="L30" s="233">
        <f t="shared" si="9"/>
        <v>63</v>
      </c>
      <c r="M30" s="233">
        <f t="shared" si="10"/>
        <v>1155</v>
      </c>
      <c r="N30" s="233">
        <f t="shared" si="18"/>
        <v>0</v>
      </c>
      <c r="O30" s="548">
        <f t="shared" si="3"/>
        <v>0.37748917748917749</v>
      </c>
      <c r="P30" s="1193">
        <f>P28/'Building Capability'!$D$7</f>
        <v>0</v>
      </c>
      <c r="Q30" s="449">
        <f t="shared" si="19"/>
        <v>0</v>
      </c>
      <c r="R30" s="1230">
        <f>R27/'Building Capability'!$D$7</f>
        <v>0</v>
      </c>
      <c r="S30" s="575">
        <f t="shared" si="5"/>
        <v>436</v>
      </c>
      <c r="T30" s="1224">
        <f>T28/'Building Capability'!$D$7</f>
        <v>0.32764880952380948</v>
      </c>
      <c r="U30" s="237">
        <f t="shared" si="7"/>
        <v>719</v>
      </c>
      <c r="V30" s="1193">
        <f>V28/'Building Capability'!$D$7</f>
        <v>0.67151785714285717</v>
      </c>
      <c r="W30" s="238">
        <f t="shared" si="6"/>
        <v>0.37748917748917749</v>
      </c>
      <c r="X30" s="1265"/>
      <c r="Y30" s="205">
        <f t="shared" si="8"/>
        <v>0.37748917748917749</v>
      </c>
      <c r="Z30" s="1179"/>
      <c r="AA30" s="254"/>
      <c r="AB30" s="427"/>
      <c r="AC30" s="431"/>
      <c r="AD30" s="240"/>
      <c r="AE30" s="239"/>
      <c r="AF30" s="240"/>
      <c r="AG30" s="239"/>
      <c r="AH30" s="240"/>
      <c r="AI30" s="239"/>
      <c r="AJ30" s="240"/>
      <c r="AK30" s="239"/>
      <c r="AL30" s="240"/>
      <c r="AM30" s="239"/>
      <c r="AN30" s="240"/>
      <c r="AO30" s="239"/>
      <c r="AP30" s="240"/>
      <c r="AQ30" s="239"/>
      <c r="AR30" s="240"/>
      <c r="AS30" s="239"/>
      <c r="AT30" s="240"/>
      <c r="AU30" s="239"/>
      <c r="AV30" s="240"/>
      <c r="AW30" s="239"/>
      <c r="AX30" s="240"/>
      <c r="AY30" s="239"/>
      <c r="AZ30" s="240"/>
      <c r="BA30" s="239"/>
      <c r="BB30" s="240"/>
      <c r="BC30" s="239"/>
      <c r="BD30" s="240"/>
      <c r="BE30" s="239"/>
      <c r="BF30" s="240"/>
      <c r="BG30" s="241"/>
      <c r="BK30" s="231"/>
      <c r="BL30" s="231"/>
      <c r="BM30" s="231"/>
      <c r="BN30" s="231"/>
    </row>
    <row r="31" spans="1:241" ht="13.9" thickBot="1">
      <c r="A31" s="266" t="s">
        <v>86</v>
      </c>
      <c r="B31" s="357" t="s">
        <v>90</v>
      </c>
      <c r="C31" s="257" t="s">
        <v>38</v>
      </c>
      <c r="D31" s="261">
        <v>320</v>
      </c>
      <c r="E31" s="261">
        <v>312</v>
      </c>
      <c r="F31" s="558">
        <f t="shared" si="0"/>
        <v>0.27012987012987011</v>
      </c>
      <c r="G31" s="1202"/>
      <c r="H31" s="258">
        <v>36</v>
      </c>
      <c r="I31" s="259">
        <v>3.5</v>
      </c>
      <c r="J31" s="260">
        <f t="shared" si="13"/>
        <v>126</v>
      </c>
      <c r="K31" s="260">
        <v>18</v>
      </c>
      <c r="L31" s="260">
        <f t="shared" si="9"/>
        <v>63</v>
      </c>
      <c r="M31" s="260">
        <f t="shared" si="10"/>
        <v>1155</v>
      </c>
      <c r="N31" s="260">
        <f t="shared" si="18"/>
        <v>0</v>
      </c>
      <c r="O31" s="549">
        <f t="shared" si="3"/>
        <v>0.27012987012987011</v>
      </c>
      <c r="P31" s="1195"/>
      <c r="Q31" s="568">
        <f t="shared" si="19"/>
        <v>0</v>
      </c>
      <c r="R31" s="1297"/>
      <c r="S31" s="576">
        <f t="shared" si="5"/>
        <v>312</v>
      </c>
      <c r="T31" s="1226"/>
      <c r="U31" s="261">
        <f t="shared" si="7"/>
        <v>843</v>
      </c>
      <c r="V31" s="1195"/>
      <c r="W31" s="267">
        <f t="shared" si="6"/>
        <v>0.27012987012987011</v>
      </c>
      <c r="X31" s="1266"/>
      <c r="Y31" s="263">
        <f t="shared" si="8"/>
        <v>0.27012987012987011</v>
      </c>
      <c r="Z31" s="1180"/>
      <c r="AB31" s="425"/>
      <c r="AC31" s="432"/>
      <c r="AD31" s="797"/>
      <c r="AE31" s="796"/>
      <c r="AF31" s="249"/>
      <c r="AG31" s="248"/>
      <c r="AH31" s="249"/>
      <c r="AI31" s="248"/>
      <c r="AJ31" s="249"/>
      <c r="AK31" s="248"/>
      <c r="AL31" s="249"/>
      <c r="AM31" s="248"/>
      <c r="AN31" s="249"/>
      <c r="AO31" s="248"/>
      <c r="AP31" s="249"/>
      <c r="AQ31" s="248"/>
      <c r="AR31" s="249"/>
      <c r="AS31" s="248"/>
      <c r="AT31" s="249"/>
      <c r="AU31" s="248"/>
      <c r="AV31" s="249"/>
      <c r="AW31" s="248"/>
      <c r="AX31" s="249"/>
      <c r="AY31" s="248"/>
      <c r="AZ31" s="249"/>
      <c r="BA31" s="248"/>
      <c r="BB31" s="249"/>
      <c r="BC31" s="248"/>
      <c r="BD31" s="249"/>
      <c r="BE31" s="248"/>
      <c r="BF31" s="249"/>
      <c r="BG31" s="250"/>
      <c r="BK31" s="231"/>
      <c r="BL31" s="231"/>
      <c r="BM31" s="231"/>
      <c r="BN31" s="231"/>
    </row>
    <row r="32" spans="1:241" ht="13.15">
      <c r="A32" s="251" t="s">
        <v>91</v>
      </c>
      <c r="B32" s="222" t="s">
        <v>92</v>
      </c>
      <c r="C32" s="223" t="s">
        <v>38</v>
      </c>
      <c r="D32" s="815">
        <v>637</v>
      </c>
      <c r="E32" s="815">
        <v>646</v>
      </c>
      <c r="F32" s="551">
        <f t="shared" si="0"/>
        <v>0.55930735930735931</v>
      </c>
      <c r="G32" s="1212">
        <f>SUM(E32:E38)*54.5/1000</f>
        <v>260.51</v>
      </c>
      <c r="H32" s="224">
        <v>36</v>
      </c>
      <c r="I32" s="225">
        <v>3.5</v>
      </c>
      <c r="J32" s="226">
        <f t="shared" si="13"/>
        <v>126</v>
      </c>
      <c r="K32" s="222">
        <v>18</v>
      </c>
      <c r="L32" s="222">
        <f t="shared" si="9"/>
        <v>63</v>
      </c>
      <c r="M32" s="222">
        <f t="shared" si="10"/>
        <v>1155</v>
      </c>
      <c r="N32" s="222">
        <f t="shared" si="18"/>
        <v>177</v>
      </c>
      <c r="O32" s="550">
        <f t="shared" si="3"/>
        <v>0.71255411255411261</v>
      </c>
      <c r="P32" s="1212">
        <f>SUM(N32:N38)*54.5/1000</f>
        <v>120.336</v>
      </c>
      <c r="Q32" s="567">
        <f t="shared" si="19"/>
        <v>16.700000000000003</v>
      </c>
      <c r="R32" s="1277">
        <f>SUM(Q32:Q38)*54.5/1000</f>
        <v>6.0604000000000005</v>
      </c>
      <c r="S32" s="574">
        <f t="shared" si="5"/>
        <v>839.7</v>
      </c>
      <c r="T32" s="1221">
        <f>SUM(S32:S38)*54.5/1000</f>
        <v>386.90639999999996</v>
      </c>
      <c r="U32" s="226">
        <f t="shared" si="7"/>
        <v>315.29999999999995</v>
      </c>
      <c r="V32" s="1227">
        <f>SUM(U32:U38)*54.5/1000</f>
        <v>77.815099999999987</v>
      </c>
      <c r="W32" s="773">
        <f t="shared" si="6"/>
        <v>0.727012987012987</v>
      </c>
      <c r="X32" s="1176">
        <f>(G32+P32+R32)/'Building Capability'!$D$8</f>
        <v>0.8320567741935484</v>
      </c>
      <c r="Y32" s="252">
        <f t="shared" si="8"/>
        <v>0.727012987012987</v>
      </c>
      <c r="Z32" s="1178">
        <f>(G32+P32+R32)/'Building Capability'!$F$8</f>
        <v>0.8320567741935484</v>
      </c>
      <c r="AA32" s="1307" t="e">
        <f>(G32+P32)/'Building Capability'!$G$8</f>
        <v>#DIV/0!</v>
      </c>
      <c r="AB32" s="426" t="s">
        <v>54</v>
      </c>
      <c r="AC32" s="433">
        <v>177</v>
      </c>
      <c r="AD32" s="838"/>
      <c r="AE32" s="941"/>
      <c r="AF32" s="921" t="s">
        <v>93</v>
      </c>
      <c r="AG32" s="922">
        <v>10.3</v>
      </c>
      <c r="AH32" s="921" t="s">
        <v>94</v>
      </c>
      <c r="AI32" s="922">
        <v>6.4</v>
      </c>
      <c r="AJ32" s="921"/>
      <c r="AK32" s="922"/>
      <c r="AL32" s="921"/>
      <c r="AM32" s="922"/>
      <c r="AN32" s="921"/>
      <c r="AO32" s="734"/>
      <c r="AP32" s="1037"/>
      <c r="AQ32" s="1022"/>
      <c r="AR32" s="240"/>
      <c r="AS32" s="228"/>
      <c r="AT32" s="229"/>
      <c r="AU32" s="228"/>
      <c r="AV32" s="229"/>
      <c r="AW32" s="228"/>
      <c r="AX32" s="229"/>
      <c r="AY32" s="228"/>
      <c r="AZ32" s="229"/>
      <c r="BA32" s="228"/>
      <c r="BB32" s="229"/>
      <c r="BC32" s="228"/>
      <c r="BD32" s="229"/>
      <c r="BE32" s="228"/>
      <c r="BF32" s="229"/>
      <c r="BG32" s="230"/>
      <c r="BK32" s="231"/>
      <c r="BL32" s="231"/>
      <c r="BM32" s="231"/>
      <c r="BN32" s="231"/>
    </row>
    <row r="33" spans="1:66" ht="13.15">
      <c r="A33" s="253" t="s">
        <v>91</v>
      </c>
      <c r="B33" s="233" t="s">
        <v>95</v>
      </c>
      <c r="C33" s="234" t="s">
        <v>38</v>
      </c>
      <c r="D33" s="816">
        <v>761</v>
      </c>
      <c r="E33" s="816">
        <v>765</v>
      </c>
      <c r="F33" s="554">
        <f t="shared" si="0"/>
        <v>0.66233766233766234</v>
      </c>
      <c r="G33" s="1213"/>
      <c r="H33" s="235">
        <v>36</v>
      </c>
      <c r="I33" s="236">
        <v>3.5</v>
      </c>
      <c r="J33" s="237">
        <f t="shared" si="13"/>
        <v>126</v>
      </c>
      <c r="K33" s="233">
        <v>18</v>
      </c>
      <c r="L33" s="233">
        <f t="shared" si="9"/>
        <v>63</v>
      </c>
      <c r="M33" s="233">
        <f t="shared" si="10"/>
        <v>1155</v>
      </c>
      <c r="N33" s="233">
        <f t="shared" si="18"/>
        <v>179</v>
      </c>
      <c r="O33" s="548">
        <f t="shared" si="3"/>
        <v>0.81731601731601733</v>
      </c>
      <c r="P33" s="1213"/>
      <c r="Q33" s="449">
        <f t="shared" si="19"/>
        <v>16.700000000000003</v>
      </c>
      <c r="R33" s="1278"/>
      <c r="S33" s="575">
        <f t="shared" si="5"/>
        <v>960.7</v>
      </c>
      <c r="T33" s="1222"/>
      <c r="U33" s="237">
        <f t="shared" si="7"/>
        <v>194.29999999999995</v>
      </c>
      <c r="V33" s="1228"/>
      <c r="W33" s="774">
        <f t="shared" si="6"/>
        <v>0.83177489177489183</v>
      </c>
      <c r="X33" s="1176"/>
      <c r="Y33" s="205">
        <f t="shared" si="8"/>
        <v>0.83177489177489183</v>
      </c>
      <c r="Z33" s="1179"/>
      <c r="AA33" s="1287"/>
      <c r="AB33" s="424" t="s">
        <v>54</v>
      </c>
      <c r="AC33" s="431">
        <v>179</v>
      </c>
      <c r="AD33" s="838"/>
      <c r="AE33" s="839"/>
      <c r="AF33" s="921" t="s">
        <v>93</v>
      </c>
      <c r="AG33" s="922">
        <v>10.3</v>
      </c>
      <c r="AH33" s="921" t="s">
        <v>94</v>
      </c>
      <c r="AI33" s="922">
        <v>6.4</v>
      </c>
      <c r="AJ33" s="921"/>
      <c r="AK33" s="922"/>
      <c r="AL33" s="921"/>
      <c r="AM33" s="922"/>
      <c r="AN33" s="921"/>
      <c r="AO33" s="734"/>
      <c r="AP33" s="921"/>
      <c r="AQ33" s="922"/>
      <c r="AR33" s="240"/>
      <c r="AS33" s="239"/>
      <c r="AT33" s="240"/>
      <c r="AU33" s="239"/>
      <c r="AV33" s="240"/>
      <c r="AW33" s="239"/>
      <c r="AX33" s="240"/>
      <c r="AY33" s="239"/>
      <c r="AZ33" s="240"/>
      <c r="BA33" s="239"/>
      <c r="BB33" s="240"/>
      <c r="BC33" s="239"/>
      <c r="BD33" s="240"/>
      <c r="BE33" s="239"/>
      <c r="BF33" s="240"/>
      <c r="BG33" s="241"/>
      <c r="BK33" s="231"/>
      <c r="BL33" s="231"/>
      <c r="BM33" s="231"/>
      <c r="BN33" s="231"/>
    </row>
    <row r="34" spans="1:66" ht="12.6" customHeight="1">
      <c r="A34" s="253" t="s">
        <v>91</v>
      </c>
      <c r="B34" s="233" t="s">
        <v>96</v>
      </c>
      <c r="C34" s="234" t="s">
        <v>38</v>
      </c>
      <c r="D34" s="502">
        <v>713</v>
      </c>
      <c r="E34" s="502">
        <v>716</v>
      </c>
      <c r="F34" s="552">
        <f t="shared" si="0"/>
        <v>0.61991341991341986</v>
      </c>
      <c r="G34" s="1213"/>
      <c r="H34" s="235">
        <v>36</v>
      </c>
      <c r="I34" s="236">
        <v>3.5</v>
      </c>
      <c r="J34" s="237">
        <f t="shared" si="13"/>
        <v>126</v>
      </c>
      <c r="K34" s="233">
        <v>18</v>
      </c>
      <c r="L34" s="233">
        <f t="shared" si="9"/>
        <v>63</v>
      </c>
      <c r="M34" s="233">
        <f t="shared" si="10"/>
        <v>1155</v>
      </c>
      <c r="N34" s="233">
        <f t="shared" si="18"/>
        <v>234</v>
      </c>
      <c r="O34" s="548">
        <f t="shared" si="3"/>
        <v>0.82251082251082253</v>
      </c>
      <c r="P34" s="1213"/>
      <c r="Q34" s="449">
        <f t="shared" si="19"/>
        <v>16.700000000000003</v>
      </c>
      <c r="R34" s="1278"/>
      <c r="S34" s="575">
        <f t="shared" si="5"/>
        <v>966.7</v>
      </c>
      <c r="T34" s="1223"/>
      <c r="U34" s="237">
        <f t="shared" si="7"/>
        <v>188.29999999999995</v>
      </c>
      <c r="V34" s="1229"/>
      <c r="W34" s="774">
        <f t="shared" si="6"/>
        <v>0.83696969696969703</v>
      </c>
      <c r="X34" s="1176"/>
      <c r="Y34" s="205">
        <f t="shared" si="8"/>
        <v>0.83696969696969703</v>
      </c>
      <c r="Z34" s="1179"/>
      <c r="AA34" s="1287"/>
      <c r="AB34" s="424" t="s">
        <v>54</v>
      </c>
      <c r="AC34" s="431">
        <v>234</v>
      </c>
      <c r="AD34" s="921" t="s">
        <v>97</v>
      </c>
      <c r="AE34" s="922"/>
      <c r="AF34" s="921" t="s">
        <v>93</v>
      </c>
      <c r="AG34" s="922">
        <v>10.3</v>
      </c>
      <c r="AH34" s="921" t="s">
        <v>94</v>
      </c>
      <c r="AI34" s="922">
        <v>6.4</v>
      </c>
      <c r="AJ34" s="921"/>
      <c r="AK34" s="922"/>
      <c r="AL34" s="921"/>
      <c r="AM34" s="922"/>
      <c r="AN34" s="921"/>
      <c r="AO34" s="734"/>
      <c r="AP34" s="749"/>
      <c r="AQ34" s="1020"/>
      <c r="AR34" s="240"/>
      <c r="AS34" s="239"/>
      <c r="AT34" s="240"/>
      <c r="AU34" s="239"/>
      <c r="AV34" s="240"/>
      <c r="AW34" s="239"/>
      <c r="AX34" s="240"/>
      <c r="AY34" s="239"/>
      <c r="AZ34" s="240"/>
      <c r="BA34" s="239"/>
      <c r="BB34" s="240"/>
      <c r="BC34" s="239"/>
      <c r="BD34" s="240"/>
      <c r="BE34" s="239"/>
      <c r="BF34" s="240"/>
      <c r="BG34" s="241"/>
      <c r="BK34" s="231"/>
      <c r="BL34" s="231"/>
      <c r="BM34" s="231"/>
      <c r="BN34" s="231"/>
    </row>
    <row r="35" spans="1:66" ht="15" customHeight="1">
      <c r="A35" s="264" t="s">
        <v>91</v>
      </c>
      <c r="B35" s="218" t="s">
        <v>98</v>
      </c>
      <c r="C35" s="268" t="s">
        <v>38</v>
      </c>
      <c r="D35" s="217">
        <v>707</v>
      </c>
      <c r="E35" s="217">
        <v>711</v>
      </c>
      <c r="F35" s="546">
        <f t="shared" si="0"/>
        <v>0.61558441558441557</v>
      </c>
      <c r="G35" s="1181">
        <f>G32/'Building Capability'!$D$8</f>
        <v>0.56023655913978487</v>
      </c>
      <c r="H35" s="245">
        <v>36</v>
      </c>
      <c r="I35" s="246">
        <v>3.5</v>
      </c>
      <c r="J35" s="217">
        <f t="shared" si="13"/>
        <v>126</v>
      </c>
      <c r="K35" s="218">
        <v>18</v>
      </c>
      <c r="L35" s="218">
        <f t="shared" si="9"/>
        <v>63</v>
      </c>
      <c r="M35" s="218">
        <f t="shared" si="10"/>
        <v>1155</v>
      </c>
      <c r="N35" s="233">
        <f t="shared" si="18"/>
        <v>249</v>
      </c>
      <c r="O35" s="571">
        <f t="shared" si="3"/>
        <v>0.83116883116883122</v>
      </c>
      <c r="P35" s="1184">
        <f>P32/'Building Capability'!$D$8</f>
        <v>0.25878709677419354</v>
      </c>
      <c r="Q35" s="573">
        <f t="shared" si="19"/>
        <v>16.700000000000003</v>
      </c>
      <c r="R35" s="1187">
        <f>R32/'Building Capability'!$D$8</f>
        <v>1.3033118279569893E-2</v>
      </c>
      <c r="S35" s="575">
        <f t="shared" si="5"/>
        <v>976.7</v>
      </c>
      <c r="T35" s="1190">
        <f>T32/'Building Capability'!$D$8</f>
        <v>0.83205677419354829</v>
      </c>
      <c r="U35" s="237">
        <f t="shared" si="7"/>
        <v>178.29999999999995</v>
      </c>
      <c r="V35" s="1193">
        <f>V32/'Building Capability'!$D$8</f>
        <v>0.16734430107526879</v>
      </c>
      <c r="W35" s="774">
        <f t="shared" si="6"/>
        <v>0.84562770562770562</v>
      </c>
      <c r="X35" s="1176"/>
      <c r="Y35" s="205">
        <f t="shared" si="8"/>
        <v>0.84562770562770562</v>
      </c>
      <c r="Z35" s="1179"/>
      <c r="AA35" s="1313"/>
      <c r="AB35" s="424" t="s">
        <v>54</v>
      </c>
      <c r="AC35" s="431">
        <v>249</v>
      </c>
      <c r="AD35" s="921" t="s">
        <v>97</v>
      </c>
      <c r="AE35" s="922"/>
      <c r="AF35" s="921" t="s">
        <v>93</v>
      </c>
      <c r="AG35" s="922">
        <v>10.3</v>
      </c>
      <c r="AH35" s="921" t="s">
        <v>94</v>
      </c>
      <c r="AI35" s="922">
        <v>6.4</v>
      </c>
      <c r="AJ35" s="921"/>
      <c r="AK35" s="922"/>
      <c r="AL35" s="921"/>
      <c r="AM35" s="922"/>
      <c r="AN35" s="609"/>
      <c r="AO35" s="736"/>
      <c r="AP35" s="749"/>
      <c r="AQ35" s="1020"/>
      <c r="AR35" s="240"/>
      <c r="AS35" s="239"/>
      <c r="AT35" s="240"/>
      <c r="AU35" s="239"/>
      <c r="AV35" s="240"/>
      <c r="AW35" s="239"/>
      <c r="AX35" s="240"/>
      <c r="AY35" s="239"/>
      <c r="AZ35" s="240"/>
      <c r="BA35" s="239"/>
      <c r="BB35" s="240"/>
      <c r="BC35" s="239"/>
      <c r="BD35" s="240"/>
      <c r="BE35" s="239"/>
      <c r="BF35" s="240"/>
      <c r="BG35" s="241"/>
      <c r="BK35" s="231"/>
      <c r="BL35" s="231"/>
      <c r="BM35" s="231"/>
      <c r="BN35" s="231"/>
    </row>
    <row r="36" spans="1:66" ht="13.15">
      <c r="A36" s="875" t="s">
        <v>91</v>
      </c>
      <c r="B36" s="876" t="s">
        <v>99</v>
      </c>
      <c r="C36" s="877" t="s">
        <v>38</v>
      </c>
      <c r="D36" s="878">
        <v>696</v>
      </c>
      <c r="E36" s="878">
        <v>707</v>
      </c>
      <c r="F36" s="879">
        <f t="shared" ref="F36:F67" si="20">E36/M36</f>
        <v>0.61212121212121207</v>
      </c>
      <c r="G36" s="1182"/>
      <c r="H36" s="880">
        <v>36</v>
      </c>
      <c r="I36" s="881">
        <v>3.5</v>
      </c>
      <c r="J36" s="878">
        <f t="shared" si="13"/>
        <v>126</v>
      </c>
      <c r="K36" s="876">
        <v>18</v>
      </c>
      <c r="L36" s="876">
        <f t="shared" si="9"/>
        <v>63</v>
      </c>
      <c r="M36" s="876">
        <f t="shared" si="10"/>
        <v>1155</v>
      </c>
      <c r="N36" s="876">
        <f t="shared" si="18"/>
        <v>224</v>
      </c>
      <c r="O36" s="882">
        <f t="shared" ref="O36:O67" si="21">(E36+N36)/M36</f>
        <v>0.80606060606060603</v>
      </c>
      <c r="P36" s="1185"/>
      <c r="Q36" s="789">
        <f t="shared" si="19"/>
        <v>0</v>
      </c>
      <c r="R36" s="1188"/>
      <c r="S36" s="910">
        <f t="shared" ref="S36:S67" si="22">SUM(E36+N36+Q36)</f>
        <v>931</v>
      </c>
      <c r="T36" s="1191"/>
      <c r="U36" s="878">
        <f t="shared" si="7"/>
        <v>224</v>
      </c>
      <c r="V36" s="1194"/>
      <c r="W36" s="775">
        <f t="shared" ref="W36:W75" si="23">S36/M36</f>
        <v>0.80606060606060603</v>
      </c>
      <c r="X36" s="1176"/>
      <c r="Y36" s="263">
        <f t="shared" si="8"/>
        <v>0.80606060606060603</v>
      </c>
      <c r="Z36" s="1179"/>
      <c r="AA36" s="1288"/>
      <c r="AB36" s="424" t="s">
        <v>54</v>
      </c>
      <c r="AC36" s="431">
        <v>224</v>
      </c>
      <c r="AD36" s="838"/>
      <c r="AE36" s="839"/>
      <c r="AF36" s="838"/>
      <c r="AG36" s="839"/>
      <c r="AH36" s="838"/>
      <c r="AI36" s="839"/>
      <c r="AJ36" s="609"/>
      <c r="AK36" s="610"/>
      <c r="AL36" s="609"/>
      <c r="AM36" s="736"/>
      <c r="AN36" s="609"/>
      <c r="AO36" s="610"/>
      <c r="AP36" s="240"/>
      <c r="AQ36" s="239"/>
      <c r="AR36" s="240"/>
      <c r="AS36" s="239"/>
      <c r="AT36" s="240"/>
      <c r="AU36" s="239"/>
      <c r="AV36" s="240"/>
      <c r="AW36" s="239"/>
      <c r="AX36" s="240"/>
      <c r="AY36" s="239"/>
      <c r="AZ36" s="240"/>
      <c r="BA36" s="239"/>
      <c r="BB36" s="240"/>
      <c r="BC36" s="239"/>
      <c r="BD36" s="240"/>
      <c r="BE36" s="239"/>
      <c r="BF36" s="240"/>
      <c r="BG36" s="241"/>
      <c r="BK36" s="231"/>
      <c r="BL36" s="231"/>
      <c r="BM36" s="231"/>
      <c r="BN36" s="231"/>
    </row>
    <row r="37" spans="1:66" ht="13.5" customHeight="1">
      <c r="A37" s="874" t="s">
        <v>91</v>
      </c>
      <c r="B37" s="273" t="s">
        <v>100</v>
      </c>
      <c r="C37" s="956" t="s">
        <v>101</v>
      </c>
      <c r="D37" s="1049">
        <v>639</v>
      </c>
      <c r="E37" s="1172">
        <v>638</v>
      </c>
      <c r="F37" s="557">
        <f t="shared" si="20"/>
        <v>0.46366279069767441</v>
      </c>
      <c r="G37" s="1182"/>
      <c r="H37" s="1010">
        <v>51</v>
      </c>
      <c r="I37" s="1011">
        <v>3</v>
      </c>
      <c r="J37" s="1012">
        <f>INT(H37*I37)</f>
        <v>153</v>
      </c>
      <c r="K37" s="1010">
        <v>26</v>
      </c>
      <c r="L37" s="1021">
        <f t="shared" si="9"/>
        <v>75</v>
      </c>
      <c r="M37" s="1013">
        <f t="shared" si="10"/>
        <v>1376</v>
      </c>
      <c r="N37" s="1013">
        <f t="shared" si="18"/>
        <v>549</v>
      </c>
      <c r="O37" s="872">
        <f t="shared" si="21"/>
        <v>0.86264534883720934</v>
      </c>
      <c r="P37" s="1185"/>
      <c r="Q37" s="1017">
        <f t="shared" si="19"/>
        <v>22.2</v>
      </c>
      <c r="R37" s="1188"/>
      <c r="S37" s="1018">
        <f t="shared" si="22"/>
        <v>1209.2</v>
      </c>
      <c r="T37" s="1191"/>
      <c r="U37" s="1019">
        <f t="shared" si="7"/>
        <v>166.79999999999995</v>
      </c>
      <c r="V37" s="1194"/>
      <c r="W37" s="884">
        <f t="shared" si="23"/>
        <v>0.87877906976744191</v>
      </c>
      <c r="X37" s="1176"/>
      <c r="Z37" s="1179"/>
      <c r="AA37" s="873"/>
      <c r="AB37" s="424" t="s">
        <v>54</v>
      </c>
      <c r="AC37" s="431">
        <v>549</v>
      </c>
      <c r="AD37" s="540" t="s">
        <v>102</v>
      </c>
      <c r="AE37" s="541">
        <v>22.2</v>
      </c>
      <c r="AF37" s="921"/>
      <c r="AG37" s="1057"/>
      <c r="AH37" s="1007"/>
      <c r="AI37" s="922"/>
      <c r="AJ37" s="921"/>
      <c r="AK37" s="1057"/>
      <c r="AL37" s="240"/>
      <c r="AM37" s="239"/>
      <c r="AN37" s="609"/>
      <c r="AO37" s="734"/>
      <c r="AP37" s="240"/>
      <c r="AQ37" s="239"/>
      <c r="AR37" s="240"/>
      <c r="AS37" s="239"/>
      <c r="AT37" s="240"/>
      <c r="AU37" s="239"/>
      <c r="AV37" s="240"/>
      <c r="AW37" s="239"/>
      <c r="AX37" s="240"/>
      <c r="AY37" s="239"/>
      <c r="AZ37" s="240"/>
      <c r="BA37" s="239"/>
      <c r="BB37" s="240"/>
      <c r="BC37" s="239"/>
      <c r="BD37" s="240"/>
      <c r="BE37" s="239"/>
      <c r="BF37" s="240"/>
      <c r="BG37" s="241"/>
      <c r="BK37" s="231"/>
      <c r="BL37" s="231"/>
      <c r="BM37" s="231"/>
      <c r="BN37" s="231"/>
    </row>
    <row r="38" spans="1:66" ht="16.5" customHeight="1">
      <c r="A38" s="867" t="s">
        <v>91</v>
      </c>
      <c r="B38" s="868" t="s">
        <v>103</v>
      </c>
      <c r="C38" s="957" t="s">
        <v>101</v>
      </c>
      <c r="D38" s="1050">
        <v>597</v>
      </c>
      <c r="E38" s="1173">
        <v>597</v>
      </c>
      <c r="F38" s="869">
        <f t="shared" si="20"/>
        <v>0.43386627906976744</v>
      </c>
      <c r="G38" s="1183"/>
      <c r="H38" s="1014">
        <v>51</v>
      </c>
      <c r="I38" s="1015">
        <v>3</v>
      </c>
      <c r="J38" s="1016">
        <f>INT(H38*I38)</f>
        <v>153</v>
      </c>
      <c r="K38" s="1014">
        <v>26</v>
      </c>
      <c r="L38" s="1021">
        <f t="shared" si="9"/>
        <v>75</v>
      </c>
      <c r="M38" s="1014">
        <f t="shared" si="10"/>
        <v>1376</v>
      </c>
      <c r="N38" s="1014">
        <f t="shared" si="18"/>
        <v>596</v>
      </c>
      <c r="O38" s="870">
        <f t="shared" si="21"/>
        <v>0.86700581395348841</v>
      </c>
      <c r="P38" s="1186"/>
      <c r="Q38" s="1017">
        <f t="shared" si="19"/>
        <v>22.2</v>
      </c>
      <c r="R38" s="1189"/>
      <c r="S38" s="1018">
        <f t="shared" si="22"/>
        <v>1215.2</v>
      </c>
      <c r="T38" s="1192"/>
      <c r="U38" s="1019">
        <f t="shared" si="7"/>
        <v>160.79999999999995</v>
      </c>
      <c r="V38" s="1195"/>
      <c r="W38" s="885">
        <f t="shared" si="23"/>
        <v>0.88313953488372099</v>
      </c>
      <c r="X38" s="1177"/>
      <c r="Z38" s="1180"/>
      <c r="AA38" s="873"/>
      <c r="AB38" s="424" t="s">
        <v>54</v>
      </c>
      <c r="AC38" s="431">
        <v>596</v>
      </c>
      <c r="AD38" s="249" t="s">
        <v>102</v>
      </c>
      <c r="AE38" s="248">
        <v>22.2</v>
      </c>
      <c r="AF38" s="921"/>
      <c r="AG38" s="1057"/>
      <c r="AH38" s="921"/>
      <c r="AI38" s="922"/>
      <c r="AJ38" s="921"/>
      <c r="AK38" s="1057"/>
      <c r="AL38" s="240"/>
      <c r="AM38" s="239"/>
      <c r="AN38" s="609"/>
      <c r="AO38" s="734"/>
      <c r="AP38" s="240"/>
      <c r="AQ38" s="239"/>
      <c r="AR38" s="240"/>
      <c r="AS38" s="239"/>
      <c r="AT38" s="240"/>
      <c r="AU38" s="239"/>
      <c r="AV38" s="240"/>
      <c r="AW38" s="239"/>
      <c r="AX38" s="240"/>
      <c r="AY38" s="239"/>
      <c r="AZ38" s="240"/>
      <c r="BA38" s="239"/>
      <c r="BB38" s="240"/>
      <c r="BC38" s="239"/>
      <c r="BD38" s="240"/>
      <c r="BE38" s="239"/>
      <c r="BF38" s="240"/>
      <c r="BG38" s="241"/>
      <c r="BK38" s="231"/>
      <c r="BL38" s="231"/>
      <c r="BM38" s="231"/>
      <c r="BN38" s="231"/>
    </row>
    <row r="39" spans="1:66" ht="13.15">
      <c r="A39" s="251" t="s">
        <v>104</v>
      </c>
      <c r="B39" s="222" t="s">
        <v>105</v>
      </c>
      <c r="C39" s="223" t="s">
        <v>106</v>
      </c>
      <c r="D39" s="1104">
        <v>766</v>
      </c>
      <c r="E39" s="226">
        <v>744</v>
      </c>
      <c r="F39" s="559">
        <f t="shared" si="20"/>
        <v>0.64415584415584415</v>
      </c>
      <c r="G39" s="1209">
        <f>SUM(E39:E46)*54.5/1000</f>
        <v>285.798</v>
      </c>
      <c r="H39" s="224">
        <v>44</v>
      </c>
      <c r="I39" s="225">
        <v>3</v>
      </c>
      <c r="J39" s="222">
        <f t="shared" si="13"/>
        <v>132</v>
      </c>
      <c r="K39" s="222">
        <v>23</v>
      </c>
      <c r="L39" s="222">
        <f t="shared" si="9"/>
        <v>63</v>
      </c>
      <c r="M39" s="222">
        <f t="shared" si="10"/>
        <v>1155</v>
      </c>
      <c r="N39" s="222">
        <f t="shared" ref="N39:N44" si="24">SUM(AC39)</f>
        <v>20</v>
      </c>
      <c r="O39" s="550">
        <f t="shared" si="21"/>
        <v>0.66147186147186143</v>
      </c>
      <c r="P39" s="1209">
        <f>SUM(N39:N46)*54.5/1000</f>
        <v>67.307500000000005</v>
      </c>
      <c r="Q39" s="569">
        <f>SUM(AE39:BG39)</f>
        <v>54</v>
      </c>
      <c r="R39" s="1272">
        <f>SUM(Q39:Q46)*54.5/1000</f>
        <v>20.388449999999999</v>
      </c>
      <c r="S39" s="574">
        <f t="shared" si="22"/>
        <v>818</v>
      </c>
      <c r="T39" s="1221">
        <f>SUM(S39:S46)*54.5/1000</f>
        <v>373.49394999999993</v>
      </c>
      <c r="U39" s="226">
        <f t="shared" si="7"/>
        <v>337</v>
      </c>
      <c r="V39" s="1227">
        <f>SUM(U39:U46)*54.5/1000</f>
        <v>88.121049999999983</v>
      </c>
      <c r="W39" s="883">
        <f t="shared" si="23"/>
        <v>0.7082251082251082</v>
      </c>
      <c r="X39" s="1176">
        <f>(G39+P39+R39)/'Building Capability'!$D$9</f>
        <v>0.80842846320346318</v>
      </c>
      <c r="Y39" s="252">
        <f t="shared" si="8"/>
        <v>0.7082251082251082</v>
      </c>
      <c r="Z39" s="1299">
        <f>(G39+P39+R39)/'Building Capability'!$F$9</f>
        <v>0.80842846320346318</v>
      </c>
      <c r="AA39" s="1309" t="e">
        <f>((G39+P39)+SUM('Inverter Loading'!#REF!:'Inverter Loading'!#REF!))/'Building Capability'!$G$9</f>
        <v>#REF!</v>
      </c>
      <c r="AB39" s="426" t="s">
        <v>54</v>
      </c>
      <c r="AC39" s="434">
        <v>20</v>
      </c>
      <c r="AD39" s="498" t="s">
        <v>107</v>
      </c>
      <c r="AE39" s="500">
        <v>20</v>
      </c>
      <c r="AF39" s="1078" t="s">
        <v>108</v>
      </c>
      <c r="AG39" s="1079">
        <v>24</v>
      </c>
      <c r="AH39" s="1078" t="s">
        <v>109</v>
      </c>
      <c r="AI39" s="1079">
        <v>10</v>
      </c>
      <c r="AJ39" s="1078"/>
      <c r="AK39" s="1079"/>
      <c r="AL39" s="1045"/>
      <c r="AM39" s="1044"/>
      <c r="AN39" s="611"/>
      <c r="AO39" s="737"/>
      <c r="AP39" s="1037"/>
      <c r="AQ39" s="1022"/>
      <c r="AR39" s="611"/>
      <c r="AS39" s="612"/>
      <c r="AT39" s="611"/>
      <c r="AU39" s="612"/>
      <c r="AV39" s="611"/>
      <c r="AW39" s="612"/>
      <c r="AX39" s="611" t="s">
        <v>110</v>
      </c>
      <c r="AY39" s="228"/>
      <c r="AZ39" s="229"/>
      <c r="BA39" s="228"/>
      <c r="BB39" s="229"/>
      <c r="BC39" s="228"/>
      <c r="BD39" s="229"/>
      <c r="BE39" s="228"/>
      <c r="BF39" s="229"/>
      <c r="BG39" s="230"/>
      <c r="BK39" s="231"/>
      <c r="BL39" s="231"/>
      <c r="BM39" s="231"/>
      <c r="BN39" s="231"/>
    </row>
    <row r="40" spans="1:66" ht="14.85" customHeight="1">
      <c r="A40" s="253" t="s">
        <v>104</v>
      </c>
      <c r="B40" s="233" t="s">
        <v>111</v>
      </c>
      <c r="C40" s="234" t="s">
        <v>106</v>
      </c>
      <c r="D40" s="1092">
        <v>785</v>
      </c>
      <c r="E40" s="237">
        <v>766</v>
      </c>
      <c r="F40" s="554">
        <f t="shared" si="20"/>
        <v>0.66320346320346324</v>
      </c>
      <c r="G40" s="1210"/>
      <c r="H40" s="235">
        <v>44</v>
      </c>
      <c r="I40" s="236">
        <v>3</v>
      </c>
      <c r="J40" s="233">
        <f t="shared" si="13"/>
        <v>132</v>
      </c>
      <c r="K40" s="233">
        <v>23</v>
      </c>
      <c r="L40" s="233">
        <f t="shared" si="9"/>
        <v>63</v>
      </c>
      <c r="M40" s="233">
        <f t="shared" si="10"/>
        <v>1155</v>
      </c>
      <c r="N40" s="233">
        <f t="shared" si="24"/>
        <v>56</v>
      </c>
      <c r="O40" s="548">
        <f t="shared" si="21"/>
        <v>0.7116883116883117</v>
      </c>
      <c r="P40" s="1210"/>
      <c r="Q40" s="449">
        <f t="shared" ref="Q40:Q55" si="25">SUM(AE40:BG40)</f>
        <v>47</v>
      </c>
      <c r="R40" s="1273"/>
      <c r="S40" s="575">
        <f t="shared" si="22"/>
        <v>869</v>
      </c>
      <c r="T40" s="1222"/>
      <c r="U40" s="237">
        <f t="shared" si="7"/>
        <v>286</v>
      </c>
      <c r="V40" s="1228"/>
      <c r="W40" s="774">
        <f t="shared" si="23"/>
        <v>0.75238095238095237</v>
      </c>
      <c r="X40" s="1176"/>
      <c r="Y40" s="205">
        <f t="shared" si="8"/>
        <v>0.75238095238095237</v>
      </c>
      <c r="Z40" s="1300"/>
      <c r="AA40" s="1310"/>
      <c r="AB40" s="424" t="s">
        <v>54</v>
      </c>
      <c r="AC40" s="830">
        <v>56</v>
      </c>
      <c r="AD40" s="838" t="s">
        <v>107</v>
      </c>
      <c r="AE40" s="839">
        <v>19</v>
      </c>
      <c r="AF40" s="609" t="s">
        <v>43</v>
      </c>
      <c r="AG40" s="736">
        <v>18</v>
      </c>
      <c r="AH40" s="1080" t="s">
        <v>109</v>
      </c>
      <c r="AI40" s="1081">
        <v>10</v>
      </c>
      <c r="AJ40" s="1080"/>
      <c r="AK40" s="1081"/>
      <c r="AL40" s="609"/>
      <c r="AM40" s="734"/>
      <c r="AN40" s="609"/>
      <c r="AO40" s="734"/>
      <c r="AP40" s="921"/>
      <c r="AQ40" s="922"/>
      <c r="AR40" s="609"/>
      <c r="AS40" s="610"/>
      <c r="AT40" s="609"/>
      <c r="AU40" s="610"/>
      <c r="AV40" s="609"/>
      <c r="AW40" s="610"/>
      <c r="AX40" s="609" t="s">
        <v>110</v>
      </c>
      <c r="AY40" s="239"/>
      <c r="AZ40" s="240"/>
      <c r="BA40" s="239"/>
      <c r="BB40" s="240"/>
      <c r="BC40" s="239"/>
      <c r="BD40" s="240"/>
      <c r="BE40" s="239"/>
      <c r="BF40" s="240"/>
      <c r="BG40" s="241"/>
      <c r="BK40" s="231"/>
      <c r="BL40" s="231"/>
      <c r="BM40" s="231"/>
      <c r="BN40" s="231"/>
    </row>
    <row r="41" spans="1:66" ht="14.85" customHeight="1">
      <c r="A41" s="253" t="s">
        <v>104</v>
      </c>
      <c r="B41" s="233" t="s">
        <v>112</v>
      </c>
      <c r="C41" s="234" t="s">
        <v>106</v>
      </c>
      <c r="D41" s="1092">
        <v>858</v>
      </c>
      <c r="E41" s="237">
        <v>785</v>
      </c>
      <c r="F41" s="545">
        <f t="shared" si="20"/>
        <v>0.67965367965367962</v>
      </c>
      <c r="G41" s="1211"/>
      <c r="H41" s="235">
        <v>44</v>
      </c>
      <c r="I41" s="236">
        <v>3</v>
      </c>
      <c r="J41" s="233">
        <f t="shared" si="13"/>
        <v>132</v>
      </c>
      <c r="K41" s="233">
        <v>23</v>
      </c>
      <c r="L41" s="233">
        <f t="shared" si="9"/>
        <v>63</v>
      </c>
      <c r="M41" s="233">
        <f t="shared" si="10"/>
        <v>1155</v>
      </c>
      <c r="N41" s="233">
        <f t="shared" si="24"/>
        <v>151</v>
      </c>
      <c r="O41" s="548">
        <f t="shared" si="21"/>
        <v>0.81038961038961044</v>
      </c>
      <c r="P41" s="1211"/>
      <c r="Q41" s="449">
        <f>SUM(AE41:BG41)</f>
        <v>28</v>
      </c>
      <c r="R41" s="1274"/>
      <c r="S41" s="575">
        <f t="shared" si="22"/>
        <v>964</v>
      </c>
      <c r="T41" s="1223"/>
      <c r="U41" s="237">
        <f t="shared" si="7"/>
        <v>191</v>
      </c>
      <c r="V41" s="1229"/>
      <c r="W41" s="774">
        <f t="shared" si="23"/>
        <v>0.83463203463203461</v>
      </c>
      <c r="X41" s="1176"/>
      <c r="Y41" s="205">
        <f t="shared" si="8"/>
        <v>0.83463203463203461</v>
      </c>
      <c r="Z41" s="1300"/>
      <c r="AA41" s="1310"/>
      <c r="AB41" s="424" t="s">
        <v>54</v>
      </c>
      <c r="AC41" s="830">
        <v>151</v>
      </c>
      <c r="AD41" s="609"/>
      <c r="AE41" s="734"/>
      <c r="AF41" s="609" t="s">
        <v>43</v>
      </c>
      <c r="AG41" s="734">
        <v>18</v>
      </c>
      <c r="AH41" s="609" t="s">
        <v>109</v>
      </c>
      <c r="AI41" s="736">
        <v>10</v>
      </c>
      <c r="AJ41" s="1080"/>
      <c r="AK41" s="1081"/>
      <c r="AL41" s="609"/>
      <c r="AM41" s="734"/>
      <c r="AN41" s="609"/>
      <c r="AO41" s="734"/>
      <c r="AP41" s="921"/>
      <c r="AQ41" s="922"/>
      <c r="AR41" s="609"/>
      <c r="AS41" s="610"/>
      <c r="AT41" s="609"/>
      <c r="AU41" s="610"/>
      <c r="AV41" s="609"/>
      <c r="AW41" s="610"/>
      <c r="AX41" s="609" t="s">
        <v>110</v>
      </c>
      <c r="AY41" s="239"/>
      <c r="AZ41" s="240"/>
      <c r="BA41" s="239"/>
      <c r="BB41" s="240"/>
      <c r="BC41" s="239"/>
      <c r="BD41" s="240"/>
      <c r="BE41" s="239"/>
      <c r="BF41" s="240"/>
      <c r="BG41" s="241"/>
      <c r="BK41" s="231"/>
      <c r="BL41" s="231"/>
      <c r="BM41" s="231"/>
      <c r="BN41" s="231"/>
    </row>
    <row r="42" spans="1:66" ht="14.1" customHeight="1">
      <c r="A42" s="253" t="s">
        <v>104</v>
      </c>
      <c r="B42" s="233" t="s">
        <v>113</v>
      </c>
      <c r="C42" s="234" t="s">
        <v>106</v>
      </c>
      <c r="D42" s="1092">
        <v>797</v>
      </c>
      <c r="E42" s="237">
        <v>768</v>
      </c>
      <c r="F42" s="554">
        <f t="shared" si="20"/>
        <v>0.66493506493506493</v>
      </c>
      <c r="G42" s="1218">
        <f>G39/'Building Capability'!$D$9</f>
        <v>0.61861038961038961</v>
      </c>
      <c r="H42" s="235">
        <v>44</v>
      </c>
      <c r="I42" s="236">
        <v>3</v>
      </c>
      <c r="J42" s="233">
        <f t="shared" si="13"/>
        <v>132</v>
      </c>
      <c r="K42" s="233">
        <v>23</v>
      </c>
      <c r="L42" s="233">
        <f t="shared" si="9"/>
        <v>63</v>
      </c>
      <c r="M42" s="233">
        <f t="shared" si="10"/>
        <v>1155</v>
      </c>
      <c r="N42" s="233">
        <f t="shared" si="24"/>
        <v>159</v>
      </c>
      <c r="O42" s="548">
        <f t="shared" si="21"/>
        <v>0.80259740259740264</v>
      </c>
      <c r="P42" s="1282">
        <f>P39/'Building Capability'!$D$9</f>
        <v>0.14568722943722945</v>
      </c>
      <c r="Q42" s="449">
        <f>SUM(AE42:BG42)</f>
        <v>10</v>
      </c>
      <c r="R42" s="1232">
        <f>R39/'Building Capability'!$D$9</f>
        <v>4.4130844155844152E-2</v>
      </c>
      <c r="S42" s="911">
        <f t="shared" si="22"/>
        <v>937</v>
      </c>
      <c r="T42" s="1224">
        <f>T39/'Building Capability'!$D$9</f>
        <v>0.80842846320346307</v>
      </c>
      <c r="U42" s="237">
        <f t="shared" si="7"/>
        <v>218</v>
      </c>
      <c r="V42" s="1230">
        <f>V39/'Building Capability'!$D$9</f>
        <v>0.19073820346320342</v>
      </c>
      <c r="W42" s="774">
        <f t="shared" si="23"/>
        <v>0.81125541125541123</v>
      </c>
      <c r="X42" s="1176"/>
      <c r="Y42" s="205">
        <f t="shared" si="8"/>
        <v>0.81125541125541123</v>
      </c>
      <c r="Z42" s="1300"/>
      <c r="AA42" s="1310"/>
      <c r="AB42" s="424" t="s">
        <v>54</v>
      </c>
      <c r="AC42" s="830">
        <v>159</v>
      </c>
      <c r="AD42" s="921" t="s">
        <v>109</v>
      </c>
      <c r="AE42" s="922">
        <v>10</v>
      </c>
      <c r="AF42" s="921"/>
      <c r="AG42" s="922"/>
      <c r="AH42" s="609"/>
      <c r="AI42" s="736"/>
      <c r="AJ42" s="1080"/>
      <c r="AK42" s="1081"/>
      <c r="AL42" s="609"/>
      <c r="AM42" s="734"/>
      <c r="AN42" s="609"/>
      <c r="AO42" s="734"/>
      <c r="AP42" s="921"/>
      <c r="AQ42" s="922"/>
      <c r="AR42" s="609"/>
      <c r="AS42" s="610"/>
      <c r="AT42" s="609"/>
      <c r="AU42" s="610"/>
      <c r="AV42" s="609"/>
      <c r="AW42" s="610"/>
      <c r="AX42" s="609" t="s">
        <v>110</v>
      </c>
      <c r="AY42" s="239"/>
      <c r="AZ42" s="240"/>
      <c r="BA42" s="239"/>
      <c r="BB42" s="240"/>
      <c r="BC42" s="239"/>
      <c r="BD42" s="240"/>
      <c r="BE42" s="239"/>
      <c r="BF42" s="240"/>
      <c r="BG42" s="241"/>
      <c r="BK42" s="231"/>
      <c r="BL42" s="231"/>
      <c r="BM42" s="231"/>
      <c r="BN42" s="231"/>
    </row>
    <row r="43" spans="1:66" ht="12" customHeight="1">
      <c r="A43" s="253" t="s">
        <v>104</v>
      </c>
      <c r="B43" s="233" t="s">
        <v>114</v>
      </c>
      <c r="C43" s="234" t="s">
        <v>106</v>
      </c>
      <c r="D43" s="1092">
        <v>799</v>
      </c>
      <c r="E43" s="237">
        <v>786</v>
      </c>
      <c r="F43" s="554">
        <f t="shared" si="20"/>
        <v>0.68051948051948052</v>
      </c>
      <c r="G43" s="1219"/>
      <c r="H43" s="235">
        <v>44</v>
      </c>
      <c r="I43" s="236">
        <v>3</v>
      </c>
      <c r="J43" s="233">
        <f t="shared" si="13"/>
        <v>132</v>
      </c>
      <c r="K43" s="233">
        <v>23</v>
      </c>
      <c r="L43" s="233">
        <f t="shared" si="9"/>
        <v>63</v>
      </c>
      <c r="M43" s="233">
        <f t="shared" si="10"/>
        <v>1155</v>
      </c>
      <c r="N43" s="233">
        <f t="shared" si="24"/>
        <v>104</v>
      </c>
      <c r="O43" s="548">
        <f t="shared" si="21"/>
        <v>0.77056277056277056</v>
      </c>
      <c r="P43" s="1283"/>
      <c r="Q43" s="449">
        <f t="shared" si="25"/>
        <v>10</v>
      </c>
      <c r="R43" s="1333"/>
      <c r="S43" s="911">
        <f t="shared" si="22"/>
        <v>900</v>
      </c>
      <c r="T43" s="1225"/>
      <c r="U43" s="237">
        <f t="shared" si="7"/>
        <v>255</v>
      </c>
      <c r="V43" s="1231"/>
      <c r="W43" s="774">
        <f t="shared" si="23"/>
        <v>0.77922077922077926</v>
      </c>
      <c r="X43" s="1176"/>
      <c r="Y43" s="205">
        <f t="shared" si="8"/>
        <v>0.77922077922077926</v>
      </c>
      <c r="Z43" s="1300"/>
      <c r="AA43" s="1311"/>
      <c r="AB43" s="424" t="s">
        <v>54</v>
      </c>
      <c r="AC43" s="830">
        <v>104</v>
      </c>
      <c r="AD43" s="921" t="s">
        <v>109</v>
      </c>
      <c r="AE43" s="922">
        <v>10</v>
      </c>
      <c r="AF43" s="921"/>
      <c r="AG43" s="922"/>
      <c r="AH43" s="609"/>
      <c r="AI43" s="736"/>
      <c r="AJ43" s="1080"/>
      <c r="AK43" s="1081"/>
      <c r="AL43" s="609"/>
      <c r="AM43" s="734"/>
      <c r="AN43" s="609"/>
      <c r="AO43" s="734"/>
      <c r="AP43" s="921"/>
      <c r="AQ43" s="922"/>
      <c r="AR43" s="609"/>
      <c r="AS43" s="610"/>
      <c r="AT43" s="609"/>
      <c r="AU43" s="610"/>
      <c r="AV43" s="609"/>
      <c r="AW43" s="610"/>
      <c r="AX43" s="609" t="s">
        <v>110</v>
      </c>
      <c r="AY43" s="239"/>
      <c r="AZ43" s="240"/>
      <c r="BA43" s="239"/>
      <c r="BB43" s="240"/>
      <c r="BC43" s="239"/>
      <c r="BD43" s="240"/>
      <c r="BE43" s="239"/>
      <c r="BF43" s="240"/>
      <c r="BG43" s="241"/>
      <c r="BK43" s="231"/>
      <c r="BL43" s="231"/>
      <c r="BM43" s="231"/>
      <c r="BN43" s="231"/>
    </row>
    <row r="44" spans="1:66" ht="14.85" customHeight="1" thickBot="1">
      <c r="A44" s="253" t="s">
        <v>104</v>
      </c>
      <c r="B44" s="233" t="s">
        <v>115</v>
      </c>
      <c r="C44" s="234" t="s">
        <v>106</v>
      </c>
      <c r="D44" s="1092">
        <v>844</v>
      </c>
      <c r="E44" s="237">
        <v>825</v>
      </c>
      <c r="F44" s="554">
        <f t="shared" si="20"/>
        <v>0.7142857142857143</v>
      </c>
      <c r="G44" s="1219"/>
      <c r="H44" s="235">
        <v>44</v>
      </c>
      <c r="I44" s="236">
        <v>3</v>
      </c>
      <c r="J44" s="233">
        <f t="shared" si="13"/>
        <v>132</v>
      </c>
      <c r="K44" s="233">
        <v>23</v>
      </c>
      <c r="L44" s="233">
        <f t="shared" si="9"/>
        <v>63</v>
      </c>
      <c r="M44" s="233">
        <f t="shared" si="10"/>
        <v>1155</v>
      </c>
      <c r="N44" s="233">
        <f t="shared" si="24"/>
        <v>187</v>
      </c>
      <c r="O44" s="548">
        <f t="shared" si="21"/>
        <v>0.87619047619047619</v>
      </c>
      <c r="P44" s="1283"/>
      <c r="Q44" s="449">
        <f>SUM(AE44:BG44)</f>
        <v>10</v>
      </c>
      <c r="R44" s="1333"/>
      <c r="S44" s="911">
        <f t="shared" si="22"/>
        <v>1022</v>
      </c>
      <c r="T44" s="1225"/>
      <c r="U44" s="237">
        <f t="shared" si="7"/>
        <v>133</v>
      </c>
      <c r="V44" s="1231"/>
      <c r="W44" s="774">
        <f t="shared" si="23"/>
        <v>0.88484848484848488</v>
      </c>
      <c r="X44" s="1176"/>
      <c r="Y44" s="263">
        <f t="shared" si="8"/>
        <v>0.88484848484848488</v>
      </c>
      <c r="Z44" s="1300"/>
      <c r="AA44" s="1312"/>
      <c r="AB44" s="424" t="s">
        <v>54</v>
      </c>
      <c r="AC44" s="830">
        <v>187</v>
      </c>
      <c r="AD44" s="921" t="s">
        <v>109</v>
      </c>
      <c r="AE44" s="922">
        <v>10</v>
      </c>
      <c r="AF44" s="921"/>
      <c r="AG44" s="922"/>
      <c r="AH44" s="609"/>
      <c r="AI44" s="736"/>
      <c r="AJ44" s="1080"/>
      <c r="AK44" s="1081"/>
      <c r="AL44" s="609"/>
      <c r="AM44" s="734"/>
      <c r="AN44" s="609"/>
      <c r="AO44" s="734"/>
      <c r="AP44" s="921"/>
      <c r="AQ44" s="922"/>
      <c r="AR44" s="609"/>
      <c r="AS44" s="610"/>
      <c r="AT44" s="609"/>
      <c r="AU44" s="610"/>
      <c r="AV44" s="609"/>
      <c r="AW44" s="610"/>
      <c r="AX44" s="609" t="s">
        <v>110</v>
      </c>
      <c r="AY44" s="239"/>
      <c r="AZ44" s="240"/>
      <c r="BA44" s="239"/>
      <c r="BB44" s="240"/>
      <c r="BC44" s="239"/>
      <c r="BD44" s="240"/>
      <c r="BE44" s="239"/>
      <c r="BF44" s="240"/>
      <c r="BG44" s="241"/>
      <c r="BK44" s="231"/>
      <c r="BL44" s="231"/>
      <c r="BM44" s="231"/>
      <c r="BN44" s="231"/>
    </row>
    <row r="45" spans="1:66" ht="13.35" customHeight="1" thickBot="1">
      <c r="A45" s="840" t="s">
        <v>104</v>
      </c>
      <c r="B45" s="832" t="s">
        <v>116</v>
      </c>
      <c r="C45" s="954" t="s">
        <v>101</v>
      </c>
      <c r="D45" s="664">
        <v>286</v>
      </c>
      <c r="E45" s="664">
        <v>285</v>
      </c>
      <c r="F45" s="833">
        <f t="shared" si="20"/>
        <v>0.37012987012987014</v>
      </c>
      <c r="G45" s="1219"/>
      <c r="H45" s="837">
        <v>29</v>
      </c>
      <c r="I45" s="852">
        <v>3</v>
      </c>
      <c r="J45" s="837">
        <f t="shared" si="13"/>
        <v>87</v>
      </c>
      <c r="K45" s="837">
        <v>15</v>
      </c>
      <c r="L45" s="233">
        <f t="shared" si="9"/>
        <v>42</v>
      </c>
      <c r="M45" s="664">
        <f t="shared" si="10"/>
        <v>770</v>
      </c>
      <c r="N45" s="664">
        <f t="shared" ref="N45:N46" si="26">SUM(AC45)</f>
        <v>279</v>
      </c>
      <c r="O45" s="834">
        <f t="shared" si="21"/>
        <v>0.73246753246753249</v>
      </c>
      <c r="P45" s="1283"/>
      <c r="Q45" s="835">
        <f t="shared" ref="Q45:Q46" si="27">SUM(AE45:BG45)</f>
        <v>107.39999999999999</v>
      </c>
      <c r="R45" s="1333"/>
      <c r="S45" s="912">
        <f t="shared" si="22"/>
        <v>671.4</v>
      </c>
      <c r="T45" s="1225"/>
      <c r="U45" s="861">
        <f t="shared" ref="U45:U46" si="28">SUM(M45-S45)</f>
        <v>98.600000000000023</v>
      </c>
      <c r="V45" s="1231"/>
      <c r="W45" s="670">
        <f t="shared" si="23"/>
        <v>0.87194805194805192</v>
      </c>
      <c r="X45" s="1176"/>
      <c r="Y45" s="263">
        <f t="shared" si="8"/>
        <v>0.87194805194805192</v>
      </c>
      <c r="Z45" s="1300"/>
      <c r="AA45" s="804"/>
      <c r="AB45" s="683" t="s">
        <v>117</v>
      </c>
      <c r="AC45" s="908">
        <v>279</v>
      </c>
      <c r="AD45" s="838" t="s">
        <v>118</v>
      </c>
      <c r="AE45" s="941">
        <v>95.1</v>
      </c>
      <c r="AF45" s="838" t="s">
        <v>119</v>
      </c>
      <c r="AG45" s="839">
        <v>12.3</v>
      </c>
      <c r="AH45" s="609"/>
      <c r="AI45" s="610"/>
      <c r="AJ45" s="1080" t="s">
        <v>110</v>
      </c>
      <c r="AK45" s="1082" t="s">
        <v>110</v>
      </c>
      <c r="AL45" s="609" t="s">
        <v>110</v>
      </c>
      <c r="AM45" s="610" t="s">
        <v>110</v>
      </c>
      <c r="AN45" s="609" t="s">
        <v>110</v>
      </c>
      <c r="AO45" s="610" t="s">
        <v>110</v>
      </c>
      <c r="AP45" s="609"/>
      <c r="AQ45" s="610"/>
      <c r="AR45" s="609" t="s">
        <v>110</v>
      </c>
      <c r="AS45" s="610" t="s">
        <v>110</v>
      </c>
      <c r="AT45" s="609" t="s">
        <v>110</v>
      </c>
      <c r="AU45" s="610" t="s">
        <v>110</v>
      </c>
      <c r="AV45" s="609" t="s">
        <v>110</v>
      </c>
      <c r="AW45" s="610" t="s">
        <v>110</v>
      </c>
      <c r="AX45" s="609" t="s">
        <v>110</v>
      </c>
      <c r="AY45" s="610" t="s">
        <v>110</v>
      </c>
      <c r="AZ45" s="609" t="s">
        <v>110</v>
      </c>
      <c r="BA45" s="610" t="s">
        <v>110</v>
      </c>
      <c r="BB45" s="609" t="s">
        <v>110</v>
      </c>
      <c r="BC45" s="610" t="s">
        <v>110</v>
      </c>
      <c r="BD45" s="609" t="s">
        <v>110</v>
      </c>
      <c r="BE45" s="610" t="s">
        <v>110</v>
      </c>
      <c r="BF45" s="609" t="s">
        <v>110</v>
      </c>
      <c r="BG45" s="684" t="s">
        <v>110</v>
      </c>
      <c r="BK45" s="231"/>
      <c r="BL45" s="231"/>
      <c r="BM45" s="231"/>
      <c r="BN45" s="231"/>
    </row>
    <row r="46" spans="1:66" ht="13.35" customHeight="1" thickBot="1">
      <c r="A46" s="841" t="s">
        <v>104</v>
      </c>
      <c r="B46" s="842" t="s">
        <v>120</v>
      </c>
      <c r="C46" s="955" t="s">
        <v>101</v>
      </c>
      <c r="D46" s="843">
        <v>282</v>
      </c>
      <c r="E46" s="843">
        <v>285</v>
      </c>
      <c r="F46" s="844">
        <f t="shared" si="20"/>
        <v>0.37012987012987014</v>
      </c>
      <c r="G46" s="1220"/>
      <c r="H46" s="845">
        <v>29</v>
      </c>
      <c r="I46" s="853">
        <v>3</v>
      </c>
      <c r="J46" s="845">
        <f t="shared" si="13"/>
        <v>87</v>
      </c>
      <c r="K46" s="845">
        <v>15</v>
      </c>
      <c r="L46" s="851">
        <f t="shared" si="9"/>
        <v>42</v>
      </c>
      <c r="M46" s="843">
        <f t="shared" si="10"/>
        <v>770</v>
      </c>
      <c r="N46" s="843">
        <f t="shared" si="26"/>
        <v>279</v>
      </c>
      <c r="O46" s="846">
        <f t="shared" si="21"/>
        <v>0.73246753246753249</v>
      </c>
      <c r="P46" s="1284"/>
      <c r="Q46" s="847">
        <f t="shared" si="27"/>
        <v>107.69999999999999</v>
      </c>
      <c r="R46" s="1334"/>
      <c r="S46" s="913">
        <f t="shared" si="22"/>
        <v>671.7</v>
      </c>
      <c r="T46" s="1226"/>
      <c r="U46" s="862">
        <f t="shared" si="28"/>
        <v>98.299999999999955</v>
      </c>
      <c r="V46" s="1297"/>
      <c r="W46" s="871">
        <f t="shared" si="23"/>
        <v>0.87233766233766241</v>
      </c>
      <c r="X46" s="1177"/>
      <c r="Y46" s="263">
        <f t="shared" si="8"/>
        <v>0.87233766233766241</v>
      </c>
      <c r="Z46" s="1301"/>
      <c r="AA46" s="804"/>
      <c r="AB46" s="685" t="s">
        <v>117</v>
      </c>
      <c r="AC46" s="909">
        <v>279</v>
      </c>
      <c r="AD46" s="1046" t="s">
        <v>118</v>
      </c>
      <c r="AE46" s="1047">
        <v>95.1</v>
      </c>
      <c r="AF46" s="1046" t="s">
        <v>119</v>
      </c>
      <c r="AG46" s="1048">
        <v>12.6</v>
      </c>
      <c r="AH46" s="613"/>
      <c r="AI46" s="614"/>
      <c r="AJ46" s="1083" t="s">
        <v>110</v>
      </c>
      <c r="AK46" s="1084" t="s">
        <v>110</v>
      </c>
      <c r="AL46" s="613" t="s">
        <v>110</v>
      </c>
      <c r="AM46" s="614" t="s">
        <v>110</v>
      </c>
      <c r="AN46" s="613" t="s">
        <v>110</v>
      </c>
      <c r="AO46" s="614" t="s">
        <v>110</v>
      </c>
      <c r="AP46" s="613" t="s">
        <v>110</v>
      </c>
      <c r="AQ46" s="614" t="s">
        <v>110</v>
      </c>
      <c r="AR46" s="613" t="s">
        <v>110</v>
      </c>
      <c r="AS46" s="614" t="s">
        <v>110</v>
      </c>
      <c r="AT46" s="613" t="s">
        <v>110</v>
      </c>
      <c r="AU46" s="614" t="s">
        <v>110</v>
      </c>
      <c r="AV46" s="613" t="s">
        <v>110</v>
      </c>
      <c r="AW46" s="614" t="s">
        <v>110</v>
      </c>
      <c r="AX46" s="613" t="s">
        <v>110</v>
      </c>
      <c r="AY46" s="614" t="s">
        <v>110</v>
      </c>
      <c r="AZ46" s="613" t="s">
        <v>110</v>
      </c>
      <c r="BA46" s="614" t="s">
        <v>110</v>
      </c>
      <c r="BB46" s="613" t="s">
        <v>110</v>
      </c>
      <c r="BC46" s="614" t="s">
        <v>110</v>
      </c>
      <c r="BD46" s="613" t="s">
        <v>110</v>
      </c>
      <c r="BE46" s="614" t="s">
        <v>110</v>
      </c>
      <c r="BF46" s="613" t="s">
        <v>110</v>
      </c>
      <c r="BG46" s="686" t="s">
        <v>110</v>
      </c>
      <c r="BK46" s="231"/>
      <c r="BL46" s="231"/>
      <c r="BM46" s="231"/>
      <c r="BN46" s="231"/>
    </row>
    <row r="47" spans="1:66" ht="13.15">
      <c r="A47" s="232" t="s">
        <v>121</v>
      </c>
      <c r="B47" s="273" t="s">
        <v>122</v>
      </c>
      <c r="C47" s="274" t="s">
        <v>38</v>
      </c>
      <c r="D47" s="1051">
        <v>248</v>
      </c>
      <c r="E47" s="286">
        <v>243</v>
      </c>
      <c r="F47" s="563">
        <f t="shared" si="20"/>
        <v>0.31558441558441558</v>
      </c>
      <c r="G47" s="1210">
        <f>SUM(E47:E55)*54.5/1000</f>
        <v>126.985</v>
      </c>
      <c r="H47" s="275">
        <v>24</v>
      </c>
      <c r="I47" s="276">
        <v>3.5</v>
      </c>
      <c r="J47" s="273">
        <f t="shared" ref="J47:J93" si="29">INT(H47*I47)</f>
        <v>84</v>
      </c>
      <c r="K47" s="273">
        <v>12</v>
      </c>
      <c r="L47" s="273">
        <f t="shared" si="9"/>
        <v>42</v>
      </c>
      <c r="M47" s="273">
        <f t="shared" si="10"/>
        <v>770</v>
      </c>
      <c r="N47" s="273">
        <f t="shared" ref="N47:N55" si="30">SUM(AC47)</f>
        <v>0</v>
      </c>
      <c r="O47" s="570">
        <f t="shared" si="21"/>
        <v>0.31558441558441558</v>
      </c>
      <c r="P47" s="1210">
        <f>SUM(N47:N55)*54.5/1000</f>
        <v>0</v>
      </c>
      <c r="Q47" s="572">
        <f t="shared" si="25"/>
        <v>0</v>
      </c>
      <c r="R47" s="1268">
        <f>SUM(Q47:Q55)*54.5/1000</f>
        <v>0</v>
      </c>
      <c r="S47" s="937">
        <f t="shared" si="22"/>
        <v>243</v>
      </c>
      <c r="T47" s="1221">
        <f>SUM(S47:S55)*54.5/1000</f>
        <v>126.985</v>
      </c>
      <c r="U47" s="226">
        <f t="shared" si="7"/>
        <v>527</v>
      </c>
      <c r="V47" s="1227">
        <f>SUM(U47:U55)*54.5/1000</f>
        <v>270.75599999999997</v>
      </c>
      <c r="W47" s="227">
        <f t="shared" si="23"/>
        <v>0.31558441558441558</v>
      </c>
      <c r="X47" s="1199">
        <f>(G47+P47+R47)/'Building Capability'!$D$10</f>
        <v>0.31905778894472364</v>
      </c>
      <c r="Y47" s="252">
        <f t="shared" si="8"/>
        <v>0.31558441558441558</v>
      </c>
      <c r="Z47" s="1178">
        <f>(G47+P47+R47)/'Building Capability'!$F$10</f>
        <v>0.2629089026915114</v>
      </c>
      <c r="AB47" s="424"/>
      <c r="AC47" s="431"/>
      <c r="AD47" s="240"/>
      <c r="AE47" s="239"/>
      <c r="AF47" s="240"/>
      <c r="AG47" s="239"/>
      <c r="AH47" s="240"/>
      <c r="AI47" s="239"/>
      <c r="AJ47" s="240"/>
      <c r="AK47" s="239"/>
      <c r="AL47" s="240"/>
      <c r="AM47" s="239"/>
      <c r="AN47" s="240"/>
      <c r="AO47" s="239"/>
      <c r="AP47" s="240"/>
      <c r="AQ47" s="239"/>
      <c r="AR47" s="240"/>
      <c r="AS47" s="239"/>
      <c r="AT47" s="240"/>
      <c r="AU47" s="239"/>
      <c r="AV47" s="240"/>
      <c r="AW47" s="239"/>
      <c r="AX47" s="240"/>
      <c r="AY47" s="239"/>
      <c r="AZ47" s="240"/>
      <c r="BA47" s="239"/>
      <c r="BB47" s="240"/>
      <c r="BC47" s="239"/>
      <c r="BD47" s="240"/>
      <c r="BE47" s="239"/>
      <c r="BF47" s="240"/>
      <c r="BG47" s="241"/>
      <c r="BK47" s="231"/>
      <c r="BL47" s="231"/>
      <c r="BM47" s="231"/>
      <c r="BN47" s="231"/>
    </row>
    <row r="48" spans="1:66" ht="13.15">
      <c r="A48" s="253" t="s">
        <v>121</v>
      </c>
      <c r="B48" s="233" t="s">
        <v>123</v>
      </c>
      <c r="C48" s="234" t="s">
        <v>38</v>
      </c>
      <c r="D48" s="237">
        <v>353</v>
      </c>
      <c r="E48" s="237">
        <v>328</v>
      </c>
      <c r="F48" s="552">
        <f t="shared" si="20"/>
        <v>0.34381551362683438</v>
      </c>
      <c r="G48" s="1210"/>
      <c r="H48" s="235">
        <v>30</v>
      </c>
      <c r="I48" s="236">
        <v>3.5</v>
      </c>
      <c r="J48" s="233">
        <f t="shared" si="29"/>
        <v>105</v>
      </c>
      <c r="K48" s="233">
        <v>15</v>
      </c>
      <c r="L48" s="233">
        <f t="shared" si="9"/>
        <v>52</v>
      </c>
      <c r="M48" s="233">
        <f t="shared" si="10"/>
        <v>954</v>
      </c>
      <c r="N48" s="233">
        <f t="shared" si="30"/>
        <v>0</v>
      </c>
      <c r="O48" s="548">
        <f t="shared" si="21"/>
        <v>0.34381551362683438</v>
      </c>
      <c r="P48" s="1210"/>
      <c r="Q48" s="449">
        <f t="shared" si="25"/>
        <v>0</v>
      </c>
      <c r="R48" s="1268"/>
      <c r="S48" s="575">
        <f t="shared" si="22"/>
        <v>328</v>
      </c>
      <c r="T48" s="1222"/>
      <c r="U48" s="237">
        <f t="shared" si="7"/>
        <v>626</v>
      </c>
      <c r="V48" s="1228"/>
      <c r="W48" s="238">
        <f t="shared" si="23"/>
        <v>0.34381551362683438</v>
      </c>
      <c r="X48" s="1199"/>
      <c r="Y48" s="205">
        <f t="shared" si="8"/>
        <v>0.34381551362683438</v>
      </c>
      <c r="Z48" s="1179"/>
      <c r="AA48" s="254"/>
      <c r="AB48" s="427"/>
      <c r="AC48" s="431"/>
      <c r="AD48" s="240"/>
      <c r="AE48" s="239"/>
      <c r="AF48" s="240"/>
      <c r="AG48" s="239"/>
      <c r="AH48" s="240"/>
      <c r="AI48" s="239"/>
      <c r="AJ48" s="240"/>
      <c r="AK48" s="239"/>
      <c r="AL48" s="240"/>
      <c r="AM48" s="239"/>
      <c r="AN48" s="240"/>
      <c r="AO48" s="239"/>
      <c r="AP48" s="240"/>
      <c r="AQ48" s="239"/>
      <c r="AR48" s="240"/>
      <c r="AS48" s="239"/>
      <c r="AT48" s="240"/>
      <c r="AU48" s="239"/>
      <c r="AV48" s="240"/>
      <c r="AW48" s="239"/>
      <c r="AX48" s="240"/>
      <c r="AY48" s="239"/>
      <c r="AZ48" s="240"/>
      <c r="BA48" s="239"/>
      <c r="BB48" s="240"/>
      <c r="BC48" s="239"/>
      <c r="BD48" s="240"/>
      <c r="BE48" s="239"/>
      <c r="BF48" s="240"/>
      <c r="BG48" s="241"/>
      <c r="BK48" s="231"/>
      <c r="BL48" s="231"/>
      <c r="BM48" s="231"/>
      <c r="BN48" s="231"/>
    </row>
    <row r="49" spans="1:66" ht="13.15">
      <c r="A49" s="253" t="s">
        <v>121</v>
      </c>
      <c r="B49" s="233" t="s">
        <v>124</v>
      </c>
      <c r="C49" s="234" t="s">
        <v>38</v>
      </c>
      <c r="D49" s="1092">
        <v>100</v>
      </c>
      <c r="E49" s="237">
        <v>100</v>
      </c>
      <c r="F49" s="552">
        <f t="shared" si="20"/>
        <v>0.25974025974025972</v>
      </c>
      <c r="G49" s="1210"/>
      <c r="H49" s="235">
        <v>12</v>
      </c>
      <c r="I49" s="236">
        <v>3.5</v>
      </c>
      <c r="J49" s="233">
        <f t="shared" si="29"/>
        <v>42</v>
      </c>
      <c r="K49" s="233">
        <v>6</v>
      </c>
      <c r="L49" s="233">
        <f t="shared" si="9"/>
        <v>21</v>
      </c>
      <c r="M49" s="233">
        <f t="shared" si="10"/>
        <v>385</v>
      </c>
      <c r="N49" s="233">
        <f t="shared" si="30"/>
        <v>0</v>
      </c>
      <c r="O49" s="548">
        <f t="shared" si="21"/>
        <v>0.25974025974025972</v>
      </c>
      <c r="P49" s="1210"/>
      <c r="Q49" s="449">
        <f t="shared" si="25"/>
        <v>0</v>
      </c>
      <c r="R49" s="1268"/>
      <c r="S49" s="575">
        <f t="shared" si="22"/>
        <v>100</v>
      </c>
      <c r="T49" s="1222"/>
      <c r="U49" s="237">
        <f t="shared" si="7"/>
        <v>285</v>
      </c>
      <c r="V49" s="1228"/>
      <c r="W49" s="238">
        <f t="shared" si="23"/>
        <v>0.25974025974025972</v>
      </c>
      <c r="X49" s="1199"/>
      <c r="Y49" s="205">
        <f t="shared" si="8"/>
        <v>0.25974025974025972</v>
      </c>
      <c r="Z49" s="1179"/>
      <c r="AB49" s="424"/>
      <c r="AC49" s="431"/>
      <c r="AD49" s="240"/>
      <c r="AE49" s="239"/>
      <c r="AF49" s="240"/>
      <c r="AG49" s="239"/>
      <c r="AH49" s="240"/>
      <c r="AI49" s="239"/>
      <c r="AJ49" s="240"/>
      <c r="AK49" s="239"/>
      <c r="AL49" s="240"/>
      <c r="AM49" s="239"/>
      <c r="AN49" s="240"/>
      <c r="AO49" s="239"/>
      <c r="AP49" s="240"/>
      <c r="AQ49" s="239"/>
      <c r="AR49" s="240"/>
      <c r="AS49" s="239"/>
      <c r="AT49" s="240"/>
      <c r="AU49" s="239"/>
      <c r="AV49" s="240"/>
      <c r="AW49" s="239"/>
      <c r="AX49" s="240"/>
      <c r="AY49" s="239"/>
      <c r="AZ49" s="240"/>
      <c r="BA49" s="239"/>
      <c r="BB49" s="240"/>
      <c r="BC49" s="239"/>
      <c r="BD49" s="240"/>
      <c r="BE49" s="239"/>
      <c r="BF49" s="240"/>
      <c r="BG49" s="241"/>
      <c r="BK49" s="231"/>
      <c r="BL49" s="231"/>
      <c r="BM49" s="231"/>
      <c r="BN49" s="231"/>
    </row>
    <row r="50" spans="1:66" ht="13.15">
      <c r="A50" s="253" t="s">
        <v>121</v>
      </c>
      <c r="B50" s="233" t="s">
        <v>125</v>
      </c>
      <c r="C50" s="234" t="s">
        <v>38</v>
      </c>
      <c r="D50" s="502">
        <v>532</v>
      </c>
      <c r="E50" s="237">
        <v>539</v>
      </c>
      <c r="F50" s="552">
        <f t="shared" si="20"/>
        <v>0.46666666666666667</v>
      </c>
      <c r="G50" s="1210"/>
      <c r="H50" s="235">
        <v>36</v>
      </c>
      <c r="I50" s="236">
        <v>3.5</v>
      </c>
      <c r="J50" s="233">
        <f t="shared" si="29"/>
        <v>126</v>
      </c>
      <c r="K50" s="233">
        <v>18</v>
      </c>
      <c r="L50" s="233">
        <f t="shared" si="9"/>
        <v>63</v>
      </c>
      <c r="M50" s="233">
        <f t="shared" si="10"/>
        <v>1155</v>
      </c>
      <c r="N50" s="233">
        <f t="shared" si="30"/>
        <v>0</v>
      </c>
      <c r="O50" s="548">
        <f t="shared" si="21"/>
        <v>0.46666666666666667</v>
      </c>
      <c r="P50" s="1210"/>
      <c r="Q50" s="449">
        <f t="shared" si="25"/>
        <v>0</v>
      </c>
      <c r="R50" s="1268"/>
      <c r="S50" s="575">
        <f t="shared" si="22"/>
        <v>539</v>
      </c>
      <c r="T50" s="1222"/>
      <c r="U50" s="237">
        <f t="shared" si="7"/>
        <v>616</v>
      </c>
      <c r="V50" s="1228"/>
      <c r="W50" s="238">
        <f t="shared" si="23"/>
        <v>0.46666666666666667</v>
      </c>
      <c r="X50" s="1199"/>
      <c r="Y50" s="205">
        <f t="shared" si="8"/>
        <v>0.46666666666666667</v>
      </c>
      <c r="Z50" s="1179"/>
      <c r="AB50" s="424"/>
      <c r="AC50" s="431"/>
      <c r="AD50" s="540"/>
      <c r="AE50" s="541"/>
      <c r="AF50" s="540"/>
      <c r="AG50" s="541"/>
      <c r="AH50" s="240"/>
      <c r="AI50" s="239"/>
      <c r="AJ50" s="240"/>
      <c r="AK50" s="239"/>
      <c r="AL50" s="240"/>
      <c r="AM50" s="239"/>
      <c r="AN50" s="240"/>
      <c r="AO50" s="239"/>
      <c r="AP50" s="240"/>
      <c r="AQ50" s="239"/>
      <c r="AR50" s="240"/>
      <c r="AS50" s="239"/>
      <c r="AT50" s="240"/>
      <c r="AU50" s="239"/>
      <c r="AV50" s="240"/>
      <c r="AW50" s="239"/>
      <c r="AX50" s="240"/>
      <c r="AY50" s="239"/>
      <c r="AZ50" s="240"/>
      <c r="BA50" s="239"/>
      <c r="BB50" s="240"/>
      <c r="BC50" s="239"/>
      <c r="BD50" s="240"/>
      <c r="BE50" s="239"/>
      <c r="BF50" s="240"/>
      <c r="BG50" s="241"/>
      <c r="BK50" s="231"/>
      <c r="BL50" s="231"/>
      <c r="BM50" s="231"/>
      <c r="BN50" s="231"/>
    </row>
    <row r="51" spans="1:66" ht="13.15">
      <c r="A51" s="253" t="s">
        <v>121</v>
      </c>
      <c r="B51" s="233" t="s">
        <v>126</v>
      </c>
      <c r="C51" s="234" t="s">
        <v>38</v>
      </c>
      <c r="D51" s="502">
        <v>240</v>
      </c>
      <c r="E51" s="237">
        <v>252</v>
      </c>
      <c r="F51" s="552">
        <f t="shared" si="20"/>
        <v>0.21818181818181817</v>
      </c>
      <c r="G51" s="1211"/>
      <c r="H51" s="235">
        <v>36</v>
      </c>
      <c r="I51" s="236">
        <v>3.5</v>
      </c>
      <c r="J51" s="233">
        <f t="shared" si="29"/>
        <v>126</v>
      </c>
      <c r="K51" s="233">
        <v>18</v>
      </c>
      <c r="L51" s="233">
        <f t="shared" si="9"/>
        <v>63</v>
      </c>
      <c r="M51" s="233">
        <f t="shared" si="10"/>
        <v>1155</v>
      </c>
      <c r="N51" s="233">
        <f t="shared" si="30"/>
        <v>0</v>
      </c>
      <c r="O51" s="548">
        <f t="shared" si="21"/>
        <v>0.21818181818181817</v>
      </c>
      <c r="P51" s="1211"/>
      <c r="Q51" s="449">
        <f t="shared" si="25"/>
        <v>0</v>
      </c>
      <c r="R51" s="1269"/>
      <c r="S51" s="575">
        <f t="shared" si="22"/>
        <v>252</v>
      </c>
      <c r="T51" s="1223"/>
      <c r="U51" s="237">
        <f t="shared" si="7"/>
        <v>903</v>
      </c>
      <c r="V51" s="1229"/>
      <c r="W51" s="238">
        <f t="shared" si="23"/>
        <v>0.21818181818181817</v>
      </c>
      <c r="X51" s="1199"/>
      <c r="Y51" s="205">
        <f t="shared" si="8"/>
        <v>0.21818181818181817</v>
      </c>
      <c r="Z51" s="1179"/>
      <c r="AB51" s="424"/>
      <c r="AC51" s="431"/>
      <c r="AD51" s="240"/>
      <c r="AE51" s="239"/>
      <c r="AF51" s="240"/>
      <c r="AG51" s="239"/>
      <c r="AH51" s="240"/>
      <c r="AI51" s="239"/>
      <c r="AJ51" s="240"/>
      <c r="AK51" s="239"/>
      <c r="AL51" s="240"/>
      <c r="AM51" s="239"/>
      <c r="AN51" s="240"/>
      <c r="AO51" s="239"/>
      <c r="AP51" s="240"/>
      <c r="AQ51" s="239"/>
      <c r="AR51" s="240"/>
      <c r="AS51" s="239"/>
      <c r="AT51" s="240"/>
      <c r="AU51" s="239"/>
      <c r="AV51" s="240"/>
      <c r="AW51" s="239"/>
      <c r="AX51" s="240"/>
      <c r="AY51" s="239"/>
      <c r="AZ51" s="240"/>
      <c r="BA51" s="239"/>
      <c r="BB51" s="240"/>
      <c r="BC51" s="239"/>
      <c r="BD51" s="240"/>
      <c r="BE51" s="239"/>
      <c r="BF51" s="240"/>
      <c r="BG51" s="241"/>
      <c r="BN51" s="231"/>
    </row>
    <row r="52" spans="1:66" ht="13.15">
      <c r="A52" s="253" t="s">
        <v>121</v>
      </c>
      <c r="B52" s="233" t="s">
        <v>127</v>
      </c>
      <c r="C52" s="234" t="s">
        <v>38</v>
      </c>
      <c r="D52" s="237">
        <v>484</v>
      </c>
      <c r="E52" s="237">
        <v>460</v>
      </c>
      <c r="F52" s="545">
        <f t="shared" si="20"/>
        <v>0.48218029350104824</v>
      </c>
      <c r="G52" s="1181">
        <f>G47/'Building Capability'!$D$10</f>
        <v>0.31905778894472364</v>
      </c>
      <c r="H52" s="235">
        <v>30</v>
      </c>
      <c r="I52" s="236">
        <v>3.5</v>
      </c>
      <c r="J52" s="233">
        <f t="shared" si="29"/>
        <v>105</v>
      </c>
      <c r="K52" s="233">
        <v>15</v>
      </c>
      <c r="L52" s="233">
        <f t="shared" si="9"/>
        <v>52</v>
      </c>
      <c r="M52" s="233">
        <f t="shared" si="10"/>
        <v>954</v>
      </c>
      <c r="N52" s="233">
        <f t="shared" si="30"/>
        <v>0</v>
      </c>
      <c r="O52" s="548">
        <f t="shared" si="21"/>
        <v>0.48218029350104824</v>
      </c>
      <c r="P52" s="1215">
        <f>P47/'Building Capability'!$D$10</f>
        <v>0</v>
      </c>
      <c r="Q52" s="449">
        <f t="shared" si="25"/>
        <v>0</v>
      </c>
      <c r="R52" s="1270">
        <f>R47/'Building Capability'!$D$10</f>
        <v>0</v>
      </c>
      <c r="S52" s="575">
        <f t="shared" si="22"/>
        <v>460</v>
      </c>
      <c r="T52" s="1224">
        <f>T47/'Building Capability'!$D$10</f>
        <v>0.31905778894472364</v>
      </c>
      <c r="U52" s="237">
        <f t="shared" si="7"/>
        <v>494</v>
      </c>
      <c r="V52" s="1230">
        <f>V47/'Building Capability'!$D$10</f>
        <v>0.68029145728643214</v>
      </c>
      <c r="W52" s="238">
        <f t="shared" si="23"/>
        <v>0.48218029350104824</v>
      </c>
      <c r="X52" s="1199"/>
      <c r="Y52" s="205">
        <f t="shared" si="8"/>
        <v>0.48218029350104824</v>
      </c>
      <c r="Z52" s="1179"/>
      <c r="AB52" s="424"/>
      <c r="AC52" s="431"/>
      <c r="AD52" s="240"/>
      <c r="AE52" s="239"/>
      <c r="AF52" s="240"/>
      <c r="AG52" s="239"/>
      <c r="AH52" s="240"/>
      <c r="AI52" s="239"/>
      <c r="AJ52" s="240"/>
      <c r="AK52" s="239"/>
      <c r="AL52" s="240"/>
      <c r="AM52" s="239"/>
      <c r="AN52" s="240"/>
      <c r="AO52" s="239"/>
      <c r="AP52" s="240"/>
      <c r="AQ52" s="239"/>
      <c r="AR52" s="240"/>
      <c r="AS52" s="239"/>
      <c r="AT52" s="240"/>
      <c r="AU52" s="239"/>
      <c r="AV52" s="240"/>
      <c r="AW52" s="239"/>
      <c r="AX52" s="240"/>
      <c r="AY52" s="239"/>
      <c r="AZ52" s="240"/>
      <c r="BA52" s="239"/>
      <c r="BB52" s="240"/>
      <c r="BC52" s="239"/>
      <c r="BD52" s="240"/>
      <c r="BE52" s="239"/>
      <c r="BF52" s="240"/>
      <c r="BG52" s="241"/>
      <c r="BN52" s="231"/>
    </row>
    <row r="53" spans="1:66" ht="13.15">
      <c r="A53" s="253" t="s">
        <v>121</v>
      </c>
      <c r="B53" s="233" t="s">
        <v>128</v>
      </c>
      <c r="C53" s="234" t="s">
        <v>38</v>
      </c>
      <c r="D53" s="237">
        <v>162</v>
      </c>
      <c r="E53" s="237">
        <v>161</v>
      </c>
      <c r="F53" s="545">
        <f t="shared" si="20"/>
        <v>0.20909090909090908</v>
      </c>
      <c r="G53" s="1182"/>
      <c r="H53" s="235">
        <v>24</v>
      </c>
      <c r="I53" s="236">
        <v>3.5</v>
      </c>
      <c r="J53" s="233">
        <f t="shared" si="29"/>
        <v>84</v>
      </c>
      <c r="K53" s="233">
        <v>12</v>
      </c>
      <c r="L53" s="233">
        <f t="shared" si="9"/>
        <v>42</v>
      </c>
      <c r="M53" s="233">
        <f t="shared" si="10"/>
        <v>770</v>
      </c>
      <c r="N53" s="233">
        <f t="shared" si="30"/>
        <v>0</v>
      </c>
      <c r="O53" s="548">
        <f t="shared" si="21"/>
        <v>0.20909090909090908</v>
      </c>
      <c r="P53" s="1216"/>
      <c r="Q53" s="449">
        <f t="shared" si="25"/>
        <v>0</v>
      </c>
      <c r="R53" s="1271"/>
      <c r="S53" s="575">
        <f t="shared" si="22"/>
        <v>161</v>
      </c>
      <c r="T53" s="1225"/>
      <c r="U53" s="237">
        <f t="shared" si="7"/>
        <v>609</v>
      </c>
      <c r="V53" s="1231"/>
      <c r="W53" s="238">
        <f t="shared" si="23"/>
        <v>0.20909090909090908</v>
      </c>
      <c r="X53" s="1199"/>
      <c r="Y53" s="205">
        <f t="shared" si="8"/>
        <v>0.20909090909090908</v>
      </c>
      <c r="Z53" s="1179"/>
      <c r="AB53" s="424"/>
      <c r="AC53" s="431"/>
      <c r="AD53" s="240"/>
      <c r="AE53" s="239"/>
      <c r="AF53" s="240"/>
      <c r="AG53" s="239"/>
      <c r="AH53" s="240"/>
      <c r="AI53" s="239"/>
      <c r="AJ53" s="240"/>
      <c r="AK53" s="239"/>
      <c r="AL53" s="240"/>
      <c r="AM53" s="239"/>
      <c r="AN53" s="240"/>
      <c r="AO53" s="239"/>
      <c r="AP53" s="240"/>
      <c r="AQ53" s="239"/>
      <c r="AR53" s="240"/>
      <c r="AS53" s="239"/>
      <c r="AT53" s="240"/>
      <c r="AU53" s="239"/>
      <c r="AV53" s="240"/>
      <c r="AW53" s="239"/>
      <c r="AX53" s="240"/>
      <c r="AY53" s="239"/>
      <c r="AZ53" s="240"/>
      <c r="BA53" s="239"/>
      <c r="BB53" s="240"/>
      <c r="BC53" s="239"/>
      <c r="BD53" s="240"/>
      <c r="BE53" s="239"/>
      <c r="BF53" s="240"/>
      <c r="BG53" s="241"/>
      <c r="BN53" s="231"/>
    </row>
    <row r="54" spans="1:66" ht="13.15">
      <c r="A54" s="253" t="s">
        <v>121</v>
      </c>
      <c r="B54" s="233" t="s">
        <v>129</v>
      </c>
      <c r="C54" s="234" t="s">
        <v>38</v>
      </c>
      <c r="D54" s="502">
        <v>147</v>
      </c>
      <c r="E54" s="237">
        <v>145</v>
      </c>
      <c r="F54" s="552">
        <f t="shared" si="20"/>
        <v>0.18831168831168832</v>
      </c>
      <c r="G54" s="1182"/>
      <c r="H54" s="235">
        <v>24</v>
      </c>
      <c r="I54" s="236">
        <v>3.5</v>
      </c>
      <c r="J54" s="233">
        <f t="shared" si="29"/>
        <v>84</v>
      </c>
      <c r="K54" s="233">
        <v>12</v>
      </c>
      <c r="L54" s="233">
        <f t="shared" si="9"/>
        <v>42</v>
      </c>
      <c r="M54" s="233">
        <f t="shared" si="10"/>
        <v>770</v>
      </c>
      <c r="N54" s="233">
        <f t="shared" si="30"/>
        <v>0</v>
      </c>
      <c r="O54" s="548">
        <f t="shared" si="21"/>
        <v>0.18831168831168832</v>
      </c>
      <c r="P54" s="1216"/>
      <c r="Q54" s="449">
        <f t="shared" si="25"/>
        <v>0</v>
      </c>
      <c r="R54" s="1271"/>
      <c r="S54" s="575">
        <f t="shared" si="22"/>
        <v>145</v>
      </c>
      <c r="T54" s="1225"/>
      <c r="U54" s="237">
        <f t="shared" si="7"/>
        <v>625</v>
      </c>
      <c r="V54" s="1231"/>
      <c r="W54" s="238">
        <f t="shared" si="23"/>
        <v>0.18831168831168832</v>
      </c>
      <c r="X54" s="1199"/>
      <c r="Y54" s="205">
        <f t="shared" si="8"/>
        <v>0.18831168831168832</v>
      </c>
      <c r="Z54" s="1179"/>
      <c r="AB54" s="424"/>
      <c r="AC54" s="431"/>
      <c r="AD54" s="240"/>
      <c r="AE54" s="239"/>
      <c r="AF54" s="240"/>
      <c r="AG54" s="239"/>
      <c r="AH54" s="240"/>
      <c r="AI54" s="239"/>
      <c r="AJ54" s="240"/>
      <c r="AK54" s="239"/>
      <c r="AL54" s="240"/>
      <c r="AM54" s="239"/>
      <c r="AN54" s="240"/>
      <c r="AO54" s="239"/>
      <c r="AP54" s="240"/>
      <c r="AQ54" s="239"/>
      <c r="AR54" s="240"/>
      <c r="AS54" s="239"/>
      <c r="AT54" s="240"/>
      <c r="AU54" s="239"/>
      <c r="AV54" s="240"/>
      <c r="AW54" s="239"/>
      <c r="AX54" s="240"/>
      <c r="AY54" s="239"/>
      <c r="AZ54" s="240"/>
      <c r="BA54" s="239"/>
      <c r="BB54" s="240"/>
      <c r="BC54" s="239"/>
      <c r="BD54" s="240"/>
      <c r="BE54" s="239"/>
      <c r="BF54" s="240"/>
      <c r="BG54" s="241"/>
      <c r="BN54" s="231"/>
    </row>
    <row r="55" spans="1:66" ht="13.9" thickBot="1">
      <c r="A55" s="264" t="s">
        <v>121</v>
      </c>
      <c r="B55" s="218" t="s">
        <v>130</v>
      </c>
      <c r="C55" s="268" t="s">
        <v>38</v>
      </c>
      <c r="D55" s="217">
        <v>101</v>
      </c>
      <c r="E55" s="217">
        <v>102</v>
      </c>
      <c r="F55" s="546">
        <f t="shared" si="20"/>
        <v>0.26493506493506491</v>
      </c>
      <c r="G55" s="1182"/>
      <c r="H55" s="245">
        <v>12</v>
      </c>
      <c r="I55" s="246">
        <v>3.5</v>
      </c>
      <c r="J55" s="218">
        <f t="shared" si="29"/>
        <v>42</v>
      </c>
      <c r="K55" s="218">
        <v>6</v>
      </c>
      <c r="L55" s="218">
        <f t="shared" si="9"/>
        <v>21</v>
      </c>
      <c r="M55" s="218">
        <f t="shared" si="10"/>
        <v>385</v>
      </c>
      <c r="N55" s="218">
        <f t="shared" si="30"/>
        <v>0</v>
      </c>
      <c r="O55" s="571">
        <f t="shared" si="21"/>
        <v>0.26493506493506491</v>
      </c>
      <c r="P55" s="1216"/>
      <c r="Q55" s="573">
        <f t="shared" si="25"/>
        <v>0</v>
      </c>
      <c r="R55" s="1271"/>
      <c r="S55" s="938">
        <f t="shared" si="22"/>
        <v>102</v>
      </c>
      <c r="T55" s="1226"/>
      <c r="U55" s="261">
        <f t="shared" si="7"/>
        <v>283</v>
      </c>
      <c r="V55" s="1231"/>
      <c r="W55" s="247">
        <f t="shared" si="23"/>
        <v>0.26493506493506491</v>
      </c>
      <c r="X55" s="1199"/>
      <c r="Y55" s="205">
        <f t="shared" si="8"/>
        <v>0.26493506493506491</v>
      </c>
      <c r="Z55" s="1179"/>
      <c r="AB55" s="424"/>
      <c r="AC55" s="431"/>
      <c r="AD55" s="240"/>
      <c r="AE55" s="239"/>
      <c r="AF55" s="240"/>
      <c r="AG55" s="239"/>
      <c r="AH55" s="240"/>
      <c r="AI55" s="239"/>
      <c r="AJ55" s="240"/>
      <c r="AK55" s="239"/>
      <c r="AL55" s="240"/>
      <c r="AM55" s="239"/>
      <c r="AN55" s="240"/>
      <c r="AO55" s="239"/>
      <c r="AP55" s="240"/>
      <c r="AQ55" s="239"/>
      <c r="AR55" s="240"/>
      <c r="AS55" s="239"/>
      <c r="AT55" s="240"/>
      <c r="AU55" s="239"/>
      <c r="AV55" s="240"/>
      <c r="AW55" s="239"/>
      <c r="AX55" s="240"/>
      <c r="AY55" s="239"/>
      <c r="AZ55" s="240"/>
      <c r="BA55" s="239"/>
      <c r="BB55" s="240"/>
      <c r="BC55" s="239"/>
      <c r="BD55" s="240"/>
      <c r="BE55" s="239"/>
      <c r="BF55" s="240"/>
      <c r="BG55" s="241"/>
      <c r="BN55" s="231"/>
    </row>
    <row r="56" spans="1:66" ht="13.15">
      <c r="A56" s="251" t="s">
        <v>131</v>
      </c>
      <c r="B56" s="1030" t="s">
        <v>132</v>
      </c>
      <c r="C56" s="1032" t="s">
        <v>106</v>
      </c>
      <c r="D56" s="226">
        <v>915</v>
      </c>
      <c r="E56" s="226">
        <v>912</v>
      </c>
      <c r="F56" s="559">
        <f t="shared" si="20"/>
        <v>0.78961038961038965</v>
      </c>
      <c r="G56" s="1275">
        <f>SUM(E56:E63)*54.5/1000</f>
        <v>335.55650000000003</v>
      </c>
      <c r="H56" s="224">
        <v>44</v>
      </c>
      <c r="I56" s="225">
        <v>3</v>
      </c>
      <c r="J56" s="222">
        <f t="shared" si="29"/>
        <v>132</v>
      </c>
      <c r="K56" s="1030">
        <f>((H56-2)/2)+2</f>
        <v>23</v>
      </c>
      <c r="L56" s="222">
        <f t="shared" si="9"/>
        <v>63</v>
      </c>
      <c r="M56" s="222">
        <f t="shared" si="10"/>
        <v>1155</v>
      </c>
      <c r="N56" s="222">
        <f t="shared" ref="N56:N71" si="31">SUM(AC56)</f>
        <v>66</v>
      </c>
      <c r="O56" s="550">
        <f t="shared" si="21"/>
        <v>0.8467532467532467</v>
      </c>
      <c r="P56" s="1275">
        <f>SUM(N56:N63)*54.5/1000</f>
        <v>55.917000000000002</v>
      </c>
      <c r="Q56" s="567">
        <f t="shared" ref="Q56:Q118" si="32">SUM(AE56:BG56)</f>
        <v>51</v>
      </c>
      <c r="R56" s="1275">
        <f>SUM(Q56:Q63)*54.5/1000</f>
        <v>7.085</v>
      </c>
      <c r="S56" s="226">
        <f t="shared" si="22"/>
        <v>1029</v>
      </c>
      <c r="T56" s="1203">
        <f>SUM(S56:S63)*54.5/1000</f>
        <v>398.55849999999998</v>
      </c>
      <c r="U56" s="226">
        <f t="shared" si="7"/>
        <v>126</v>
      </c>
      <c r="V56" s="1203">
        <f>(SUM(U56:U63)*54.5/1000)-20</f>
        <v>68.834999999999994</v>
      </c>
      <c r="W56" s="773">
        <f t="shared" si="23"/>
        <v>0.89090909090909087</v>
      </c>
      <c r="X56" s="1285">
        <f>(G56+P56+R56)/'Building Capability'!$F$11</f>
        <v>0.86643152173913052</v>
      </c>
      <c r="Y56" s="920">
        <f t="shared" si="8"/>
        <v>0.89090909090909087</v>
      </c>
      <c r="Z56" s="1317">
        <f>(G56+P56+R56)/'Building Capability'!$F$11</f>
        <v>0.86643152173913052</v>
      </c>
      <c r="AA56" s="1302" t="e">
        <f>((G56+P56)+SUM('Inverter Loading'!#REF!:'Inverter Loading'!#REF!))/'Building Capability'!$G$11</f>
        <v>#REF!</v>
      </c>
      <c r="AB56" s="428" t="s">
        <v>54</v>
      </c>
      <c r="AC56" s="433">
        <v>66</v>
      </c>
      <c r="AD56" s="229" t="s">
        <v>133</v>
      </c>
      <c r="AE56" s="228">
        <v>7</v>
      </c>
      <c r="AF56" s="229" t="s">
        <v>134</v>
      </c>
      <c r="AG56" s="228">
        <v>17</v>
      </c>
      <c r="AH56" s="720" t="s">
        <v>43</v>
      </c>
      <c r="AI56" s="228">
        <v>18</v>
      </c>
      <c r="AJ56" s="720" t="s">
        <v>135</v>
      </c>
      <c r="AK56" s="228">
        <v>9</v>
      </c>
      <c r="AL56" s="229"/>
      <c r="AM56" s="228"/>
      <c r="AN56" s="229"/>
      <c r="AO56" s="228"/>
      <c r="AP56" s="229"/>
      <c r="AQ56" s="228"/>
      <c r="AR56" s="229"/>
      <c r="AS56" s="228"/>
      <c r="AT56" s="229"/>
      <c r="AU56" s="228"/>
      <c r="AV56" s="229"/>
      <c r="AW56" s="228"/>
      <c r="AX56" s="229"/>
      <c r="AY56" s="228"/>
      <c r="AZ56" s="229"/>
      <c r="BA56" s="228"/>
      <c r="BB56" s="229"/>
      <c r="BC56" s="228"/>
      <c r="BD56" s="229"/>
      <c r="BE56" s="228"/>
      <c r="BF56" s="229"/>
      <c r="BG56" s="230"/>
      <c r="BN56" s="231"/>
    </row>
    <row r="57" spans="1:66" ht="13.15">
      <c r="A57" s="253" t="s">
        <v>131</v>
      </c>
      <c r="B57" s="1029" t="s">
        <v>136</v>
      </c>
      <c r="C57" s="1031" t="s">
        <v>106</v>
      </c>
      <c r="D57" s="237">
        <v>828</v>
      </c>
      <c r="E57" s="237">
        <v>827</v>
      </c>
      <c r="F57" s="554">
        <f t="shared" si="20"/>
        <v>0.716017316017316</v>
      </c>
      <c r="G57" s="1276"/>
      <c r="H57" s="235">
        <v>44</v>
      </c>
      <c r="I57" s="236">
        <v>3</v>
      </c>
      <c r="J57" s="233">
        <f t="shared" si="29"/>
        <v>132</v>
      </c>
      <c r="K57" s="1029">
        <f>((H57-2)/2)+2</f>
        <v>23</v>
      </c>
      <c r="L57" s="233">
        <f t="shared" si="9"/>
        <v>63</v>
      </c>
      <c r="M57" s="233">
        <f t="shared" si="10"/>
        <v>1155</v>
      </c>
      <c r="N57" s="233">
        <f t="shared" si="31"/>
        <v>98</v>
      </c>
      <c r="O57" s="548">
        <f t="shared" si="21"/>
        <v>0.80086580086580084</v>
      </c>
      <c r="P57" s="1276"/>
      <c r="Q57" s="449">
        <f t="shared" si="32"/>
        <v>42</v>
      </c>
      <c r="R57" s="1276"/>
      <c r="S57" s="237">
        <f t="shared" si="22"/>
        <v>967</v>
      </c>
      <c r="T57" s="1204"/>
      <c r="U57" s="237">
        <f t="shared" si="7"/>
        <v>188</v>
      </c>
      <c r="V57" s="1204"/>
      <c r="W57" s="774">
        <f t="shared" si="23"/>
        <v>0.83722943722943721</v>
      </c>
      <c r="X57" s="1176"/>
      <c r="Y57" s="205">
        <f t="shared" si="8"/>
        <v>0.83722943722943721</v>
      </c>
      <c r="Z57" s="1318"/>
      <c r="AA57" s="1303"/>
      <c r="AB57" s="427" t="s">
        <v>54</v>
      </c>
      <c r="AC57" s="431">
        <v>98</v>
      </c>
      <c r="AD57" s="240" t="s">
        <v>133</v>
      </c>
      <c r="AE57" s="239">
        <v>7</v>
      </c>
      <c r="AF57" s="240" t="s">
        <v>134</v>
      </c>
      <c r="AG57" s="239">
        <v>17</v>
      </c>
      <c r="AH57" s="240" t="s">
        <v>43</v>
      </c>
      <c r="AI57" s="239">
        <v>18</v>
      </c>
      <c r="AJ57" s="240"/>
      <c r="AK57" s="239"/>
      <c r="AL57" s="240"/>
      <c r="AM57" s="239"/>
      <c r="AN57" s="240"/>
      <c r="AO57" s="239"/>
      <c r="AP57" s="240"/>
      <c r="AQ57" s="239"/>
      <c r="AR57" s="240"/>
      <c r="AS57" s="239"/>
      <c r="AT57" s="240"/>
      <c r="AU57" s="239"/>
      <c r="AV57" s="240"/>
      <c r="AW57" s="239"/>
      <c r="AX57" s="240"/>
      <c r="AY57" s="239"/>
      <c r="AZ57" s="240"/>
      <c r="BA57" s="239"/>
      <c r="BB57" s="240"/>
      <c r="BC57" s="239"/>
      <c r="BD57" s="240"/>
      <c r="BE57" s="239"/>
      <c r="BF57" s="240"/>
      <c r="BG57" s="241"/>
      <c r="BN57" s="231"/>
    </row>
    <row r="58" spans="1:66" ht="13.15">
      <c r="A58" s="253" t="s">
        <v>131</v>
      </c>
      <c r="B58" s="1029" t="s">
        <v>137</v>
      </c>
      <c r="C58" s="274" t="s">
        <v>106</v>
      </c>
      <c r="D58" s="237">
        <v>947</v>
      </c>
      <c r="E58" s="237">
        <v>950</v>
      </c>
      <c r="F58" s="1102">
        <f t="shared" si="20"/>
        <v>0.82251082251082253</v>
      </c>
      <c r="G58" s="1341"/>
      <c r="H58" s="235">
        <v>44</v>
      </c>
      <c r="I58" s="236">
        <v>3</v>
      </c>
      <c r="J58" s="233">
        <f t="shared" si="29"/>
        <v>132</v>
      </c>
      <c r="K58" s="1029">
        <f t="shared" ref="K58:K61" si="33">((H58-2)/2)+2</f>
        <v>23</v>
      </c>
      <c r="L58" s="233">
        <f t="shared" si="9"/>
        <v>63</v>
      </c>
      <c r="M58" s="233">
        <f t="shared" si="10"/>
        <v>1155</v>
      </c>
      <c r="N58" s="233">
        <f t="shared" si="31"/>
        <v>85</v>
      </c>
      <c r="O58" s="548">
        <f t="shared" si="21"/>
        <v>0.89610389610389607</v>
      </c>
      <c r="P58" s="1276"/>
      <c r="Q58" s="449">
        <f t="shared" si="32"/>
        <v>16</v>
      </c>
      <c r="R58" s="1276"/>
      <c r="S58" s="217">
        <f t="shared" si="22"/>
        <v>1051</v>
      </c>
      <c r="T58" s="1205"/>
      <c r="U58" s="217">
        <f t="shared" si="7"/>
        <v>104</v>
      </c>
      <c r="V58" s="1205"/>
      <c r="W58" s="774">
        <f t="shared" si="23"/>
        <v>0.90995670995670996</v>
      </c>
      <c r="X58" s="1176"/>
      <c r="Y58" s="205">
        <f t="shared" si="8"/>
        <v>0.90995670995670996</v>
      </c>
      <c r="Z58" s="1318"/>
      <c r="AA58" s="1303"/>
      <c r="AB58" s="427" t="s">
        <v>54</v>
      </c>
      <c r="AC58" s="431">
        <v>85</v>
      </c>
      <c r="AD58" s="240" t="s">
        <v>133</v>
      </c>
      <c r="AE58" s="239">
        <v>7</v>
      </c>
      <c r="AF58" s="240"/>
      <c r="AG58" s="239"/>
      <c r="AH58" s="240" t="s">
        <v>135</v>
      </c>
      <c r="AI58" s="239">
        <v>9</v>
      </c>
      <c r="AJ58" s="240"/>
      <c r="AK58" s="239"/>
      <c r="AL58" s="240"/>
      <c r="AM58" s="239"/>
      <c r="AN58" s="240"/>
      <c r="AO58" s="239"/>
      <c r="AP58" s="240"/>
      <c r="AQ58" s="239"/>
      <c r="AR58" s="240"/>
      <c r="AS58" s="239"/>
      <c r="AT58" s="240"/>
      <c r="AU58" s="239"/>
      <c r="AV58" s="240"/>
      <c r="AW58" s="239"/>
      <c r="AX58" s="240"/>
      <c r="AY58" s="239"/>
      <c r="AZ58" s="240"/>
      <c r="BA58" s="239"/>
      <c r="BB58" s="240"/>
      <c r="BC58" s="239"/>
      <c r="BD58" s="240"/>
      <c r="BE58" s="239"/>
      <c r="BF58" s="240"/>
      <c r="BG58" s="241"/>
      <c r="BK58" s="231"/>
      <c r="BL58" s="231"/>
      <c r="BM58" s="231"/>
      <c r="BN58" s="231"/>
    </row>
    <row r="59" spans="1:66" ht="13.15">
      <c r="A59" s="253" t="s">
        <v>131</v>
      </c>
      <c r="B59" s="1029" t="s">
        <v>138</v>
      </c>
      <c r="C59" s="234" t="s">
        <v>106</v>
      </c>
      <c r="D59" s="1009">
        <v>865</v>
      </c>
      <c r="E59" s="1009">
        <v>867</v>
      </c>
      <c r="F59" s="1087">
        <f t="shared" si="20"/>
        <v>0.75064935064935068</v>
      </c>
      <c r="G59" s="1336">
        <f>G56/'Building Capability'!$F$11</f>
        <v>0.72947065217391316</v>
      </c>
      <c r="H59" s="235">
        <v>44</v>
      </c>
      <c r="I59" s="236">
        <v>3</v>
      </c>
      <c r="J59" s="233">
        <f t="shared" si="29"/>
        <v>132</v>
      </c>
      <c r="K59" s="1029">
        <f t="shared" si="33"/>
        <v>23</v>
      </c>
      <c r="L59" s="233">
        <f t="shared" si="9"/>
        <v>63</v>
      </c>
      <c r="M59" s="233">
        <f t="shared" si="10"/>
        <v>1155</v>
      </c>
      <c r="N59" s="233">
        <f t="shared" si="31"/>
        <v>66</v>
      </c>
      <c r="O59" s="548">
        <f t="shared" si="21"/>
        <v>0.80779220779220784</v>
      </c>
      <c r="P59" s="1215">
        <f>P56/'Building Capability'!$F$11</f>
        <v>0.12155869565217392</v>
      </c>
      <c r="Q59" s="449">
        <f t="shared" si="32"/>
        <v>7</v>
      </c>
      <c r="R59" s="1270">
        <f>R56/'Building Capability'!$F$11</f>
        <v>1.5402173913043478E-2</v>
      </c>
      <c r="S59" s="619">
        <f t="shared" si="22"/>
        <v>940</v>
      </c>
      <c r="T59" s="1232">
        <f>T56/'Building Capability'!$F$11</f>
        <v>0.86643152173913041</v>
      </c>
      <c r="U59" s="619">
        <f t="shared" si="7"/>
        <v>215</v>
      </c>
      <c r="V59" s="1232">
        <f>V56/'Building Capability'!$F$11</f>
        <v>0.14964130434782608</v>
      </c>
      <c r="W59" s="774">
        <f t="shared" si="23"/>
        <v>0.81385281385281383</v>
      </c>
      <c r="X59" s="1176"/>
      <c r="Y59" s="205">
        <f t="shared" si="8"/>
        <v>0.81385281385281383</v>
      </c>
      <c r="Z59" s="1318"/>
      <c r="AA59" s="1303"/>
      <c r="AB59" s="427" t="s">
        <v>54</v>
      </c>
      <c r="AC59" s="431">
        <v>66</v>
      </c>
      <c r="AD59" s="240" t="s">
        <v>133</v>
      </c>
      <c r="AE59" s="239">
        <v>7</v>
      </c>
      <c r="AF59" s="240"/>
      <c r="AG59" s="239"/>
      <c r="AH59" s="240"/>
      <c r="AI59" s="239"/>
      <c r="AJ59" s="240"/>
      <c r="AK59" s="239"/>
      <c r="AL59" s="240"/>
      <c r="AM59" s="239"/>
      <c r="AN59" s="240"/>
      <c r="AO59" s="239"/>
      <c r="AP59" s="240"/>
      <c r="AQ59" s="239"/>
      <c r="AR59" s="240"/>
      <c r="AS59" s="239"/>
      <c r="AT59" s="240"/>
      <c r="AU59" s="239"/>
      <c r="AV59" s="240"/>
      <c r="AW59" s="239"/>
      <c r="AX59" s="240"/>
      <c r="AY59" s="239"/>
      <c r="AZ59" s="240"/>
      <c r="BA59" s="239"/>
      <c r="BB59" s="240"/>
      <c r="BC59" s="239"/>
      <c r="BD59" s="240"/>
      <c r="BE59" s="239"/>
      <c r="BF59" s="240"/>
      <c r="BG59" s="241"/>
      <c r="BK59" s="231"/>
      <c r="BL59" s="231"/>
      <c r="BM59" s="231"/>
      <c r="BN59" s="231"/>
    </row>
    <row r="60" spans="1:66" ht="13.15">
      <c r="A60" s="253" t="s">
        <v>131</v>
      </c>
      <c r="B60" s="1029" t="s">
        <v>139</v>
      </c>
      <c r="C60" s="234" t="s">
        <v>106</v>
      </c>
      <c r="D60" s="237">
        <v>919</v>
      </c>
      <c r="E60" s="237">
        <v>913</v>
      </c>
      <c r="F60" s="1103">
        <f t="shared" si="20"/>
        <v>0.79047619047619044</v>
      </c>
      <c r="G60" s="1337"/>
      <c r="H60" s="235">
        <v>44</v>
      </c>
      <c r="I60" s="236">
        <v>3</v>
      </c>
      <c r="J60" s="233">
        <f t="shared" si="29"/>
        <v>132</v>
      </c>
      <c r="K60" s="1029">
        <f t="shared" si="33"/>
        <v>23</v>
      </c>
      <c r="L60" s="233">
        <f t="shared" si="9"/>
        <v>63</v>
      </c>
      <c r="M60" s="233">
        <f t="shared" si="10"/>
        <v>1155</v>
      </c>
      <c r="N60" s="233">
        <f t="shared" si="31"/>
        <v>79</v>
      </c>
      <c r="O60" s="548">
        <f t="shared" si="21"/>
        <v>0.8588744588744589</v>
      </c>
      <c r="P60" s="1216"/>
      <c r="Q60" s="449">
        <f t="shared" si="32"/>
        <v>7</v>
      </c>
      <c r="R60" s="1216"/>
      <c r="S60" s="286">
        <f t="shared" si="22"/>
        <v>999</v>
      </c>
      <c r="T60" s="1194"/>
      <c r="U60" s="286">
        <f t="shared" si="7"/>
        <v>156</v>
      </c>
      <c r="V60" s="1231"/>
      <c r="W60" s="774">
        <f t="shared" si="23"/>
        <v>0.86493506493506489</v>
      </c>
      <c r="X60" s="1176"/>
      <c r="Y60" s="205">
        <f t="shared" si="8"/>
        <v>0.86493506493506489</v>
      </c>
      <c r="Z60" s="1318"/>
      <c r="AA60" s="1303"/>
      <c r="AB60" s="427" t="s">
        <v>54</v>
      </c>
      <c r="AC60" s="431">
        <v>79</v>
      </c>
      <c r="AD60" s="240" t="s">
        <v>133</v>
      </c>
      <c r="AE60" s="239">
        <v>7</v>
      </c>
      <c r="AF60" s="240"/>
      <c r="AG60" s="239"/>
      <c r="AH60" s="240"/>
      <c r="AI60" s="239"/>
      <c r="AJ60" s="240"/>
      <c r="AK60" s="239"/>
      <c r="AL60" s="240"/>
      <c r="AM60" s="239"/>
      <c r="AN60" s="240"/>
      <c r="AO60" s="239"/>
      <c r="AP60" s="240"/>
      <c r="AQ60" s="239"/>
      <c r="AR60" s="240"/>
      <c r="AS60" s="239"/>
      <c r="AT60" s="240"/>
      <c r="AU60" s="239"/>
      <c r="AV60" s="240"/>
      <c r="AW60" s="239"/>
      <c r="AX60" s="240"/>
      <c r="AY60" s="239"/>
      <c r="AZ60" s="240"/>
      <c r="BA60" s="239"/>
      <c r="BB60" s="240"/>
      <c r="BC60" s="239"/>
      <c r="BD60" s="240"/>
      <c r="BE60" s="239"/>
      <c r="BF60" s="240"/>
      <c r="BG60" s="241"/>
      <c r="BK60" s="231"/>
      <c r="BL60" s="231"/>
      <c r="BM60" s="231"/>
      <c r="BN60" s="231"/>
    </row>
    <row r="61" spans="1:66" ht="13.15">
      <c r="A61" s="253" t="s">
        <v>131</v>
      </c>
      <c r="B61" s="1029" t="s">
        <v>140</v>
      </c>
      <c r="C61" s="234" t="s">
        <v>106</v>
      </c>
      <c r="D61" s="237">
        <v>903</v>
      </c>
      <c r="E61" s="237">
        <v>899</v>
      </c>
      <c r="F61" s="554">
        <f t="shared" si="20"/>
        <v>0.77835497835497836</v>
      </c>
      <c r="G61" s="1337"/>
      <c r="H61" s="235">
        <v>44</v>
      </c>
      <c r="I61" s="236">
        <v>3</v>
      </c>
      <c r="J61" s="233">
        <f t="shared" si="29"/>
        <v>132</v>
      </c>
      <c r="K61" s="1029">
        <f t="shared" si="33"/>
        <v>23</v>
      </c>
      <c r="L61" s="233">
        <f t="shared" si="9"/>
        <v>63</v>
      </c>
      <c r="M61" s="233">
        <f t="shared" si="10"/>
        <v>1155</v>
      </c>
      <c r="N61" s="233">
        <f t="shared" si="31"/>
        <v>69</v>
      </c>
      <c r="O61" s="548">
        <f t="shared" si="21"/>
        <v>0.83809523809523812</v>
      </c>
      <c r="P61" s="1216"/>
      <c r="Q61" s="449">
        <f t="shared" si="32"/>
        <v>7</v>
      </c>
      <c r="R61" s="1216"/>
      <c r="S61" s="237">
        <f t="shared" si="22"/>
        <v>975</v>
      </c>
      <c r="T61" s="1194"/>
      <c r="U61" s="237">
        <f t="shared" si="7"/>
        <v>180</v>
      </c>
      <c r="V61" s="1231"/>
      <c r="W61" s="774">
        <f t="shared" si="23"/>
        <v>0.8441558441558441</v>
      </c>
      <c r="X61" s="1176"/>
      <c r="Y61" s="205">
        <f t="shared" si="8"/>
        <v>0.8441558441558441</v>
      </c>
      <c r="Z61" s="1318"/>
      <c r="AA61" s="1303"/>
      <c r="AB61" s="427" t="s">
        <v>54</v>
      </c>
      <c r="AC61" s="431">
        <v>69</v>
      </c>
      <c r="AD61" s="240" t="s">
        <v>133</v>
      </c>
      <c r="AE61" s="239">
        <v>7</v>
      </c>
      <c r="AF61" s="240"/>
      <c r="AG61" s="239"/>
      <c r="AH61" s="240"/>
      <c r="AI61" s="239"/>
      <c r="AJ61" s="240"/>
      <c r="AK61" s="239"/>
      <c r="AL61" s="240"/>
      <c r="AM61" s="239"/>
      <c r="AN61" s="240"/>
      <c r="AO61" s="239"/>
      <c r="AP61" s="240"/>
      <c r="AQ61" s="239"/>
      <c r="AR61" s="240"/>
      <c r="AS61" s="239"/>
      <c r="AT61" s="240"/>
      <c r="AU61" s="239"/>
      <c r="AV61" s="240"/>
      <c r="AW61" s="239"/>
      <c r="AX61" s="240"/>
      <c r="AY61" s="239"/>
      <c r="AZ61" s="240"/>
      <c r="BA61" s="239"/>
      <c r="BB61" s="240"/>
      <c r="BC61" s="239"/>
      <c r="BD61" s="240"/>
      <c r="BE61" s="239"/>
      <c r="BF61" s="240"/>
      <c r="BG61" s="241"/>
      <c r="BK61" s="231"/>
      <c r="BL61" s="231"/>
      <c r="BM61" s="231"/>
      <c r="BN61" s="231"/>
    </row>
    <row r="62" spans="1:66" ht="13.15">
      <c r="A62" s="253" t="s">
        <v>131</v>
      </c>
      <c r="B62" s="233" t="s">
        <v>141</v>
      </c>
      <c r="C62" s="234" t="s">
        <v>101</v>
      </c>
      <c r="D62" s="237">
        <v>393</v>
      </c>
      <c r="E62" s="237">
        <v>395</v>
      </c>
      <c r="F62" s="554">
        <f t="shared" si="20"/>
        <v>0.42245989304812837</v>
      </c>
      <c r="G62" s="1337"/>
      <c r="H62" s="235">
        <v>35</v>
      </c>
      <c r="I62" s="236">
        <v>3</v>
      </c>
      <c r="J62" s="233">
        <f>INT(H62*I62)</f>
        <v>105</v>
      </c>
      <c r="K62" s="233">
        <v>18</v>
      </c>
      <c r="L62" s="233">
        <f>INT((H62-K62)*I62)</f>
        <v>51</v>
      </c>
      <c r="M62" s="233">
        <f t="shared" si="10"/>
        <v>935</v>
      </c>
      <c r="N62" s="233">
        <f t="shared" si="31"/>
        <v>282</v>
      </c>
      <c r="O62" s="548">
        <f t="shared" si="21"/>
        <v>0.7240641711229947</v>
      </c>
      <c r="P62" s="1216"/>
      <c r="Q62" s="449">
        <f t="shared" si="32"/>
        <v>0</v>
      </c>
      <c r="R62" s="1216"/>
      <c r="S62" s="237">
        <f t="shared" si="22"/>
        <v>677</v>
      </c>
      <c r="T62" s="1194"/>
      <c r="U62" s="237">
        <v>249</v>
      </c>
      <c r="V62" s="1231"/>
      <c r="W62" s="774">
        <f t="shared" si="23"/>
        <v>0.7240641711229947</v>
      </c>
      <c r="X62" s="1176"/>
      <c r="Y62" s="205">
        <f t="shared" si="8"/>
        <v>0.7240641711229947</v>
      </c>
      <c r="Z62" s="1318"/>
      <c r="AA62" s="804"/>
      <c r="AB62" s="427" t="s">
        <v>54</v>
      </c>
      <c r="AC62" s="431">
        <v>282</v>
      </c>
      <c r="AD62" s="467"/>
      <c r="AE62" s="468"/>
      <c r="AF62" s="240"/>
      <c r="AG62" s="239"/>
      <c r="AH62" s="240"/>
      <c r="AI62" s="239"/>
      <c r="AJ62" s="240"/>
      <c r="AK62" s="239"/>
      <c r="AL62" s="240"/>
      <c r="AM62" s="239"/>
      <c r="AN62" s="240"/>
      <c r="AO62" s="239"/>
      <c r="AP62" s="240"/>
      <c r="AQ62" s="239"/>
      <c r="AR62" s="240"/>
      <c r="AS62" s="239"/>
      <c r="AT62" s="240"/>
      <c r="AU62" s="239"/>
      <c r="AV62" s="240"/>
      <c r="AW62" s="239"/>
      <c r="AX62" s="240"/>
      <c r="AY62" s="239"/>
      <c r="AZ62" s="240"/>
      <c r="BA62" s="239"/>
      <c r="BB62" s="240"/>
      <c r="BC62" s="239"/>
      <c r="BD62" s="240"/>
      <c r="BE62" s="239"/>
      <c r="BF62" s="240"/>
      <c r="BG62" s="241"/>
      <c r="BK62" s="231"/>
      <c r="BL62" s="231"/>
      <c r="BM62" s="231"/>
      <c r="BN62" s="231"/>
    </row>
    <row r="63" spans="1:66" ht="13.9" thickBot="1">
      <c r="A63" s="256" t="s">
        <v>131</v>
      </c>
      <c r="B63" s="260" t="s">
        <v>142</v>
      </c>
      <c r="C63" s="257" t="s">
        <v>101</v>
      </c>
      <c r="D63" s="261">
        <v>392</v>
      </c>
      <c r="E63" s="261">
        <v>394</v>
      </c>
      <c r="F63" s="560">
        <f t="shared" si="20"/>
        <v>0.4213903743315508</v>
      </c>
      <c r="G63" s="1338"/>
      <c r="H63" s="1024">
        <v>35</v>
      </c>
      <c r="I63" s="1025">
        <v>3</v>
      </c>
      <c r="J63" s="1026">
        <f>INT(H63*I63)</f>
        <v>105</v>
      </c>
      <c r="K63" s="1026">
        <v>18</v>
      </c>
      <c r="L63" s="1026">
        <f>INT((H63-K63)*I63)</f>
        <v>51</v>
      </c>
      <c r="M63" s="1026">
        <f t="shared" si="10"/>
        <v>935</v>
      </c>
      <c r="N63" s="1026">
        <f t="shared" si="31"/>
        <v>281</v>
      </c>
      <c r="O63" s="870">
        <f t="shared" si="21"/>
        <v>0.72192513368983957</v>
      </c>
      <c r="P63" s="1339"/>
      <c r="Q63" s="1027">
        <f t="shared" si="32"/>
        <v>0</v>
      </c>
      <c r="R63" s="1339"/>
      <c r="S63" s="1028">
        <f t="shared" si="22"/>
        <v>675</v>
      </c>
      <c r="T63" s="1233"/>
      <c r="U63" s="1028">
        <v>412</v>
      </c>
      <c r="V63" s="1234"/>
      <c r="W63" s="775">
        <f t="shared" si="23"/>
        <v>0.72192513368983957</v>
      </c>
      <c r="X63" s="1176"/>
      <c r="Y63" s="795">
        <f t="shared" si="8"/>
        <v>0.72192513368983957</v>
      </c>
      <c r="Z63" s="1319"/>
      <c r="AA63" s="779"/>
      <c r="AB63" s="429" t="s">
        <v>54</v>
      </c>
      <c r="AC63" s="432">
        <v>281</v>
      </c>
      <c r="AD63" s="490"/>
      <c r="AE63" s="491"/>
      <c r="AF63" s="240"/>
      <c r="AG63" s="239"/>
      <c r="AH63" s="249"/>
      <c r="AI63" s="248"/>
      <c r="AJ63" s="249"/>
      <c r="AK63" s="248"/>
      <c r="AL63" s="249"/>
      <c r="AM63" s="248"/>
      <c r="AN63" s="249"/>
      <c r="AO63" s="248"/>
      <c r="AP63" s="249"/>
      <c r="AQ63" s="248"/>
      <c r="AR63" s="249"/>
      <c r="AS63" s="248"/>
      <c r="AT63" s="249"/>
      <c r="AU63" s="248"/>
      <c r="AV63" s="249"/>
      <c r="AW63" s="248"/>
      <c r="AX63" s="249"/>
      <c r="AY63" s="248"/>
      <c r="AZ63" s="249"/>
      <c r="BA63" s="248"/>
      <c r="BB63" s="249"/>
      <c r="BC63" s="248"/>
      <c r="BD63" s="249"/>
      <c r="BE63" s="248"/>
      <c r="BF63" s="249"/>
      <c r="BG63" s="250"/>
      <c r="BK63" s="231"/>
      <c r="BL63" s="231"/>
      <c r="BM63" s="231"/>
      <c r="BN63" s="231"/>
    </row>
    <row r="64" spans="1:66" ht="13.15">
      <c r="A64" s="251" t="s">
        <v>143</v>
      </c>
      <c r="B64" s="222" t="s">
        <v>144</v>
      </c>
      <c r="C64" s="223" t="s">
        <v>38</v>
      </c>
      <c r="D64" s="226">
        <v>1055</v>
      </c>
      <c r="E64" s="226">
        <v>1050</v>
      </c>
      <c r="F64" s="544">
        <f t="shared" si="20"/>
        <v>0.784167289021658</v>
      </c>
      <c r="G64" s="1210">
        <f>SUM(E64:E71)*54.5/1000</f>
        <v>368.14749999999998</v>
      </c>
      <c r="H64" s="275">
        <v>42</v>
      </c>
      <c r="I64" s="276">
        <v>3.5</v>
      </c>
      <c r="J64" s="273">
        <f t="shared" si="29"/>
        <v>147</v>
      </c>
      <c r="K64" s="273">
        <v>21</v>
      </c>
      <c r="L64" s="273">
        <f t="shared" si="9"/>
        <v>73</v>
      </c>
      <c r="M64" s="273">
        <f t="shared" si="10"/>
        <v>1339</v>
      </c>
      <c r="N64" s="273">
        <f t="shared" si="31"/>
        <v>59</v>
      </c>
      <c r="O64" s="570">
        <f t="shared" si="21"/>
        <v>0.82823002240477972</v>
      </c>
      <c r="P64" s="1210">
        <f>(SUM(N64:N71)*54.5/1000)+SUM('Inverter Loading'!Q28:Q29)</f>
        <v>28.721499999999999</v>
      </c>
      <c r="Q64" s="572">
        <f t="shared" si="32"/>
        <v>182.5</v>
      </c>
      <c r="R64" s="1268">
        <f>SUM(Q64:Q71)*54.5/1000</f>
        <v>46.106999999999999</v>
      </c>
      <c r="S64" s="286">
        <f t="shared" si="22"/>
        <v>1291.5</v>
      </c>
      <c r="T64" s="1204">
        <f>SUM(S64:S71)*54.5/1000</f>
        <v>442.976</v>
      </c>
      <c r="U64" s="286">
        <f t="shared" si="7"/>
        <v>47.5</v>
      </c>
      <c r="V64" s="1204">
        <f>SUM(U64:U71)*54.5/1000</f>
        <v>36.841999999999999</v>
      </c>
      <c r="W64" s="773">
        <f t="shared" si="23"/>
        <v>0.96452576549663926</v>
      </c>
      <c r="X64" s="1281">
        <f>(G64+P64+R64)/'Building Capability'!$D$12</f>
        <v>0.92286666666666661</v>
      </c>
      <c r="Y64" s="205">
        <f t="shared" si="8"/>
        <v>0.96452576549663926</v>
      </c>
      <c r="Z64" s="1300">
        <f>(G64+P64+R64)/'Building Capability'!$F$12</f>
        <v>0.92094802494802497</v>
      </c>
      <c r="AA64" s="1304" t="e">
        <f>(G64+P64)/'Building Capability'!$G$12</f>
        <v>#DIV/0!</v>
      </c>
      <c r="AB64" s="426" t="s">
        <v>54</v>
      </c>
      <c r="AC64" s="433">
        <v>59</v>
      </c>
      <c r="AD64" s="229" t="s">
        <v>59</v>
      </c>
      <c r="AE64" s="228">
        <v>97</v>
      </c>
      <c r="AF64" s="229" t="s">
        <v>108</v>
      </c>
      <c r="AG64" s="228">
        <v>12</v>
      </c>
      <c r="AH64" s="229" t="s">
        <v>55</v>
      </c>
      <c r="AI64" s="228">
        <v>10</v>
      </c>
      <c r="AJ64" s="744" t="s">
        <v>56</v>
      </c>
      <c r="AK64" s="468">
        <v>36</v>
      </c>
      <c r="AL64" s="229" t="s">
        <v>43</v>
      </c>
      <c r="AM64" s="228">
        <v>27.5</v>
      </c>
      <c r="AN64" s="229"/>
      <c r="AO64" s="228"/>
      <c r="AP64" s="229"/>
      <c r="AQ64" s="228"/>
      <c r="AR64" s="229"/>
      <c r="AS64" s="228"/>
      <c r="AT64" s="229"/>
      <c r="AU64" s="228"/>
      <c r="AV64" s="229"/>
      <c r="AW64" s="228"/>
      <c r="AX64" s="229"/>
      <c r="AY64" s="228"/>
      <c r="AZ64" s="229"/>
      <c r="BA64" s="228"/>
      <c r="BB64" s="229"/>
      <c r="BC64" s="228"/>
      <c r="BD64" s="229"/>
      <c r="BE64" s="228"/>
      <c r="BF64" s="229"/>
      <c r="BG64" s="230"/>
      <c r="BK64" s="231"/>
      <c r="BL64" s="231"/>
      <c r="BM64" s="231"/>
      <c r="BN64" s="231"/>
    </row>
    <row r="65" spans="1:66" ht="13.15">
      <c r="A65" s="253" t="s">
        <v>143</v>
      </c>
      <c r="B65" s="233" t="s">
        <v>145</v>
      </c>
      <c r="C65" s="234" t="s">
        <v>38</v>
      </c>
      <c r="D65" s="502">
        <v>990</v>
      </c>
      <c r="E65" s="502">
        <v>985</v>
      </c>
      <c r="F65" s="552">
        <f t="shared" si="20"/>
        <v>0.73562359970126956</v>
      </c>
      <c r="G65" s="1210"/>
      <c r="H65" s="235">
        <v>42</v>
      </c>
      <c r="I65" s="236">
        <v>3.5</v>
      </c>
      <c r="J65" s="233">
        <f t="shared" si="29"/>
        <v>147</v>
      </c>
      <c r="K65" s="233">
        <v>21</v>
      </c>
      <c r="L65" s="233">
        <f t="shared" si="9"/>
        <v>73</v>
      </c>
      <c r="M65" s="233">
        <f t="shared" si="10"/>
        <v>1339</v>
      </c>
      <c r="N65" s="233">
        <f t="shared" si="31"/>
        <v>67</v>
      </c>
      <c r="O65" s="548">
        <f t="shared" si="21"/>
        <v>0.78566094100074679</v>
      </c>
      <c r="P65" s="1210"/>
      <c r="Q65" s="449">
        <f t="shared" si="32"/>
        <v>170</v>
      </c>
      <c r="R65" s="1268"/>
      <c r="S65" s="237">
        <f t="shared" si="22"/>
        <v>1222</v>
      </c>
      <c r="T65" s="1204"/>
      <c r="U65" s="237">
        <f t="shared" si="7"/>
        <v>117</v>
      </c>
      <c r="V65" s="1204"/>
      <c r="W65" s="774">
        <f t="shared" si="23"/>
        <v>0.91262135922330101</v>
      </c>
      <c r="X65" s="1176"/>
      <c r="Y65" s="205">
        <f t="shared" si="8"/>
        <v>0.91262135922330101</v>
      </c>
      <c r="Z65" s="1300"/>
      <c r="AA65" s="1305"/>
      <c r="AB65" s="424" t="s">
        <v>54</v>
      </c>
      <c r="AC65" s="431">
        <v>67</v>
      </c>
      <c r="AD65" s="240" t="s">
        <v>59</v>
      </c>
      <c r="AE65" s="239">
        <v>158</v>
      </c>
      <c r="AF65" s="240" t="s">
        <v>108</v>
      </c>
      <c r="AG65" s="239">
        <v>12</v>
      </c>
      <c r="AH65" s="240"/>
      <c r="AI65" s="239"/>
      <c r="AJ65" s="744"/>
      <c r="AK65" s="239"/>
      <c r="AL65" s="240"/>
      <c r="AM65" s="239"/>
      <c r="AN65" s="240"/>
      <c r="AO65" s="239"/>
      <c r="AP65" s="240"/>
      <c r="AQ65" s="239"/>
      <c r="AR65" s="240"/>
      <c r="AS65" s="239"/>
      <c r="AT65" s="240"/>
      <c r="AU65" s="239"/>
      <c r="AV65" s="240"/>
      <c r="AW65" s="239"/>
      <c r="AX65" s="240"/>
      <c r="AY65" s="239"/>
      <c r="AZ65" s="240"/>
      <c r="BA65" s="239"/>
      <c r="BB65" s="240"/>
      <c r="BC65" s="239"/>
      <c r="BD65" s="240"/>
      <c r="BE65" s="239"/>
      <c r="BF65" s="240"/>
      <c r="BG65" s="241"/>
      <c r="BK65" s="231"/>
      <c r="BL65" s="231"/>
      <c r="BM65" s="231"/>
      <c r="BN65" s="231"/>
    </row>
    <row r="66" spans="1:66" ht="13.15">
      <c r="A66" s="253" t="s">
        <v>143</v>
      </c>
      <c r="B66" s="233" t="s">
        <v>146</v>
      </c>
      <c r="C66" s="234" t="s">
        <v>38</v>
      </c>
      <c r="D66" s="502">
        <v>978</v>
      </c>
      <c r="E66" s="502">
        <v>978</v>
      </c>
      <c r="F66" s="552">
        <f t="shared" si="20"/>
        <v>0.7303958177744585</v>
      </c>
      <c r="G66" s="1211"/>
      <c r="H66" s="235">
        <v>42</v>
      </c>
      <c r="I66" s="236">
        <v>3.5</v>
      </c>
      <c r="J66" s="233">
        <f t="shared" si="29"/>
        <v>147</v>
      </c>
      <c r="K66" s="233">
        <v>21</v>
      </c>
      <c r="L66" s="233">
        <f t="shared" si="9"/>
        <v>73</v>
      </c>
      <c r="M66" s="233">
        <f t="shared" si="10"/>
        <v>1339</v>
      </c>
      <c r="N66" s="233">
        <f t="shared" si="31"/>
        <v>85</v>
      </c>
      <c r="O66" s="548">
        <f t="shared" si="21"/>
        <v>0.79387602688573566</v>
      </c>
      <c r="P66" s="1211"/>
      <c r="Q66" s="449">
        <f t="shared" si="32"/>
        <v>211.5</v>
      </c>
      <c r="R66" s="1269"/>
      <c r="S66" s="237">
        <f t="shared" si="22"/>
        <v>1274.5</v>
      </c>
      <c r="T66" s="1205"/>
      <c r="U66" s="237">
        <f t="shared" si="7"/>
        <v>64.5</v>
      </c>
      <c r="V66" s="1205"/>
      <c r="W66" s="774">
        <f t="shared" si="23"/>
        <v>0.9518297236743839</v>
      </c>
      <c r="X66" s="1176"/>
      <c r="Y66" s="205">
        <f t="shared" si="8"/>
        <v>0.9518297236743839</v>
      </c>
      <c r="Z66" s="1300"/>
      <c r="AA66" s="1305"/>
      <c r="AB66" s="424" t="s">
        <v>54</v>
      </c>
      <c r="AC66" s="431">
        <v>85</v>
      </c>
      <c r="AD66" s="240" t="s">
        <v>59</v>
      </c>
      <c r="AE66" s="541">
        <v>184</v>
      </c>
      <c r="AF66" s="240" t="s">
        <v>43</v>
      </c>
      <c r="AG66" s="239">
        <v>27.5</v>
      </c>
      <c r="AH66" s="744"/>
      <c r="AI66" s="239"/>
      <c r="AJ66" s="744"/>
      <c r="AK66" s="239"/>
      <c r="AL66" s="240"/>
      <c r="AM66" s="239"/>
      <c r="AN66" s="240"/>
      <c r="AO66" s="239"/>
      <c r="AP66" s="240"/>
      <c r="AQ66" s="239"/>
      <c r="AR66" s="240"/>
      <c r="AS66" s="239"/>
      <c r="AT66" s="240"/>
      <c r="AU66" s="239"/>
      <c r="AV66" s="240"/>
      <c r="AW66" s="239"/>
      <c r="AX66" s="240"/>
      <c r="AY66" s="239"/>
      <c r="AZ66" s="240"/>
      <c r="BA66" s="239"/>
      <c r="BB66" s="240"/>
      <c r="BC66" s="239"/>
      <c r="BD66" s="240"/>
      <c r="BE66" s="239"/>
      <c r="BF66" s="240"/>
      <c r="BG66" s="241"/>
      <c r="BK66" s="231"/>
      <c r="BL66" s="231"/>
      <c r="BM66" s="231"/>
      <c r="BN66" s="231"/>
    </row>
    <row r="67" spans="1:66" ht="13.15">
      <c r="A67" s="253" t="s">
        <v>143</v>
      </c>
      <c r="B67" s="233" t="s">
        <v>147</v>
      </c>
      <c r="C67" s="234" t="s">
        <v>38</v>
      </c>
      <c r="D67" s="237">
        <v>1141</v>
      </c>
      <c r="E67" s="237">
        <v>1130</v>
      </c>
      <c r="F67" s="545">
        <f t="shared" si="20"/>
        <v>0.8439133681852129</v>
      </c>
      <c r="G67" s="1201">
        <f>G64/'Building Capability'!$D$12</f>
        <v>0.76697395833333326</v>
      </c>
      <c r="H67" s="235">
        <v>42</v>
      </c>
      <c r="I67" s="236">
        <v>3.5</v>
      </c>
      <c r="J67" s="233">
        <f t="shared" si="29"/>
        <v>147</v>
      </c>
      <c r="K67" s="233">
        <v>21</v>
      </c>
      <c r="L67" s="233">
        <f t="shared" si="9"/>
        <v>73</v>
      </c>
      <c r="M67" s="233">
        <f t="shared" si="10"/>
        <v>1339</v>
      </c>
      <c r="N67" s="233">
        <f t="shared" si="31"/>
        <v>91</v>
      </c>
      <c r="O67" s="548">
        <f t="shared" si="21"/>
        <v>0.91187453323375656</v>
      </c>
      <c r="P67" s="1215">
        <f>P64/'Building Capability'!$D$12</f>
        <v>5.9836458333333328E-2</v>
      </c>
      <c r="Q67" s="449">
        <f t="shared" si="32"/>
        <v>80</v>
      </c>
      <c r="R67" s="1215">
        <f>R64/'Building Capability'!$D$12</f>
        <v>9.6056249999999996E-2</v>
      </c>
      <c r="S67" s="237">
        <f t="shared" si="22"/>
        <v>1301</v>
      </c>
      <c r="T67" s="1193">
        <f>T64/'Building Capability'!$D$12</f>
        <v>0.92286666666666661</v>
      </c>
      <c r="U67" s="237">
        <f t="shared" si="7"/>
        <v>38</v>
      </c>
      <c r="V67" s="1230">
        <f>V64/'Building Capability'!$D$12</f>
        <v>7.6754166666666665E-2</v>
      </c>
      <c r="W67" s="774">
        <f t="shared" si="23"/>
        <v>0.97162061239731146</v>
      </c>
      <c r="X67" s="1176"/>
      <c r="Y67" s="205">
        <f t="shared" si="8"/>
        <v>0.97162061239731146</v>
      </c>
      <c r="Z67" s="1300"/>
      <c r="AA67" s="1305"/>
      <c r="AB67" s="424" t="s">
        <v>54</v>
      </c>
      <c r="AC67" s="431">
        <v>91</v>
      </c>
      <c r="AD67" s="240" t="s">
        <v>59</v>
      </c>
      <c r="AE67" s="541">
        <v>34</v>
      </c>
      <c r="AF67" s="240" t="s">
        <v>55</v>
      </c>
      <c r="AG67" s="239">
        <v>10</v>
      </c>
      <c r="AH67" s="1089" t="s">
        <v>56</v>
      </c>
      <c r="AI67" s="468">
        <v>36</v>
      </c>
      <c r="AJ67" s="744"/>
      <c r="AK67" s="239"/>
      <c r="AL67" s="240"/>
      <c r="AM67" s="239"/>
      <c r="AN67" s="240"/>
      <c r="AO67" s="239"/>
      <c r="AP67" s="240"/>
      <c r="AQ67" s="239"/>
      <c r="AR67" s="240"/>
      <c r="AS67" s="239"/>
      <c r="AT67" s="240"/>
      <c r="AU67" s="239"/>
      <c r="AV67" s="240"/>
      <c r="AW67" s="239"/>
      <c r="AX67" s="240"/>
      <c r="AY67" s="239"/>
      <c r="AZ67" s="240"/>
      <c r="BA67" s="239"/>
      <c r="BB67" s="240"/>
      <c r="BC67" s="239"/>
      <c r="BD67" s="240"/>
      <c r="BE67" s="239"/>
      <c r="BF67" s="240"/>
      <c r="BG67" s="241"/>
      <c r="BK67" s="231"/>
      <c r="BL67" s="231"/>
      <c r="BM67" s="231"/>
      <c r="BN67" s="231"/>
    </row>
    <row r="68" spans="1:66" ht="13.5" customHeight="1">
      <c r="A68" s="253" t="s">
        <v>143</v>
      </c>
      <c r="B68" s="233" t="s">
        <v>148</v>
      </c>
      <c r="C68" s="234" t="s">
        <v>38</v>
      </c>
      <c r="D68" s="502">
        <v>1046</v>
      </c>
      <c r="E68" s="502">
        <v>1046</v>
      </c>
      <c r="F68" s="552">
        <f t="shared" ref="F68:F99" si="34">E68/M68</f>
        <v>0.78117998506348019</v>
      </c>
      <c r="G68" s="1214"/>
      <c r="H68" s="235">
        <v>42</v>
      </c>
      <c r="I68" s="236">
        <v>3.5</v>
      </c>
      <c r="J68" s="233">
        <f t="shared" si="29"/>
        <v>147</v>
      </c>
      <c r="K68" s="233">
        <v>21</v>
      </c>
      <c r="L68" s="233">
        <f t="shared" si="9"/>
        <v>73</v>
      </c>
      <c r="M68" s="233">
        <f t="shared" si="10"/>
        <v>1339</v>
      </c>
      <c r="N68" s="233">
        <f t="shared" si="31"/>
        <v>46</v>
      </c>
      <c r="O68" s="548">
        <f t="shared" ref="O68:O93" si="35">(E68+N68)/M68</f>
        <v>0.81553398058252424</v>
      </c>
      <c r="P68" s="1216"/>
      <c r="Q68" s="449">
        <f t="shared" si="32"/>
        <v>69</v>
      </c>
      <c r="R68" s="1216"/>
      <c r="S68" s="237">
        <f t="shared" ref="S68:S99" si="36">SUM(E68+N68+Q68)</f>
        <v>1161</v>
      </c>
      <c r="T68" s="1194"/>
      <c r="U68" s="237">
        <f t="shared" si="7"/>
        <v>178</v>
      </c>
      <c r="V68" s="1231"/>
      <c r="W68" s="774">
        <f t="shared" si="23"/>
        <v>0.86706497386109038</v>
      </c>
      <c r="X68" s="1176"/>
      <c r="Y68" s="205">
        <f t="shared" si="8"/>
        <v>0.86706497386109038</v>
      </c>
      <c r="Z68" s="1300"/>
      <c r="AA68" s="1305"/>
      <c r="AB68" s="424" t="s">
        <v>54</v>
      </c>
      <c r="AC68" s="431">
        <v>46</v>
      </c>
      <c r="AD68" s="240" t="s">
        <v>59</v>
      </c>
      <c r="AE68" s="541">
        <v>69</v>
      </c>
      <c r="AF68" s="240"/>
      <c r="AG68" s="468"/>
      <c r="AH68" s="778"/>
      <c r="AI68" s="499"/>
      <c r="AJ68" s="744"/>
      <c r="AK68" s="468"/>
      <c r="AL68" s="240"/>
      <c r="AM68" s="239"/>
      <c r="AN68" s="240"/>
      <c r="AO68" s="239"/>
      <c r="AP68" s="240"/>
      <c r="AQ68" s="239"/>
      <c r="AR68" s="240"/>
      <c r="AS68" s="239"/>
      <c r="AT68" s="240"/>
      <c r="AU68" s="239"/>
      <c r="AV68" s="240"/>
      <c r="AW68" s="239"/>
      <c r="AX68" s="240"/>
      <c r="AY68" s="239"/>
      <c r="AZ68" s="240"/>
      <c r="BA68" s="239"/>
      <c r="BB68" s="240"/>
      <c r="BC68" s="239"/>
      <c r="BD68" s="240"/>
      <c r="BE68" s="239"/>
      <c r="BF68" s="240"/>
      <c r="BG68" s="241"/>
      <c r="BK68" s="231"/>
      <c r="BL68" s="231"/>
      <c r="BM68" s="231"/>
      <c r="BN68" s="231"/>
    </row>
    <row r="69" spans="1:66" ht="13.9" thickBot="1">
      <c r="A69" s="253" t="s">
        <v>143</v>
      </c>
      <c r="B69" s="233" t="s">
        <v>149</v>
      </c>
      <c r="C69" s="234" t="s">
        <v>38</v>
      </c>
      <c r="D69" s="502">
        <v>1035</v>
      </c>
      <c r="E69" s="502">
        <v>1039</v>
      </c>
      <c r="F69" s="552">
        <f t="shared" si="34"/>
        <v>0.77595220313666913</v>
      </c>
      <c r="G69" s="1214"/>
      <c r="H69" s="235">
        <v>42</v>
      </c>
      <c r="I69" s="236">
        <v>3.5</v>
      </c>
      <c r="J69" s="233">
        <f t="shared" si="29"/>
        <v>147</v>
      </c>
      <c r="K69" s="233">
        <v>21</v>
      </c>
      <c r="L69" s="233">
        <f t="shared" si="9"/>
        <v>73</v>
      </c>
      <c r="M69" s="233">
        <f t="shared" si="10"/>
        <v>1339</v>
      </c>
      <c r="N69" s="233">
        <f t="shared" si="31"/>
        <v>59</v>
      </c>
      <c r="O69" s="548">
        <f t="shared" si="35"/>
        <v>0.82001493651979085</v>
      </c>
      <c r="P69" s="1216"/>
      <c r="Q69" s="449">
        <f t="shared" si="32"/>
        <v>87</v>
      </c>
      <c r="R69" s="1216"/>
      <c r="S69" s="237">
        <f t="shared" si="36"/>
        <v>1185</v>
      </c>
      <c r="T69" s="1194"/>
      <c r="U69" s="237">
        <f t="shared" si="7"/>
        <v>154</v>
      </c>
      <c r="V69" s="1231"/>
      <c r="W69" s="774">
        <f t="shared" si="23"/>
        <v>0.88498879761015681</v>
      </c>
      <c r="X69" s="1176"/>
      <c r="Y69" s="205">
        <f t="shared" si="8"/>
        <v>0.88498879761015681</v>
      </c>
      <c r="Z69" s="1300"/>
      <c r="AA69" s="1306"/>
      <c r="AB69" s="424" t="s">
        <v>54</v>
      </c>
      <c r="AC69" s="431">
        <v>59</v>
      </c>
      <c r="AD69" s="240" t="s">
        <v>59</v>
      </c>
      <c r="AE69" s="541">
        <v>87</v>
      </c>
      <c r="AF69" s="240"/>
      <c r="AG69" s="239"/>
      <c r="AH69" s="240"/>
      <c r="AI69" s="239"/>
      <c r="AJ69" s="240" t="s">
        <v>150</v>
      </c>
      <c r="AK69" s="239"/>
      <c r="AL69" s="240"/>
      <c r="AM69" s="239"/>
      <c r="AN69" s="240"/>
      <c r="AO69" s="239"/>
      <c r="AP69" s="240"/>
      <c r="AQ69" s="239"/>
      <c r="AR69" s="240"/>
      <c r="AS69" s="239"/>
      <c r="AT69" s="240"/>
      <c r="AU69" s="239"/>
      <c r="AV69" s="240"/>
      <c r="AW69" s="239"/>
      <c r="AX69" s="240"/>
      <c r="AY69" s="239"/>
      <c r="AZ69" s="240"/>
      <c r="BA69" s="239"/>
      <c r="BB69" s="240"/>
      <c r="BC69" s="239"/>
      <c r="BD69" s="240"/>
      <c r="BE69" s="239"/>
      <c r="BF69" s="240"/>
      <c r="BG69" s="241"/>
      <c r="BK69" s="231"/>
      <c r="BL69" s="231"/>
      <c r="BM69" s="231"/>
      <c r="BN69" s="231"/>
    </row>
    <row r="70" spans="1:66" ht="13.15">
      <c r="A70" s="253" t="s">
        <v>143</v>
      </c>
      <c r="B70" s="273" t="s">
        <v>151</v>
      </c>
      <c r="C70" s="274" t="s">
        <v>101</v>
      </c>
      <c r="D70" s="1051">
        <v>261</v>
      </c>
      <c r="E70" s="1051">
        <v>261</v>
      </c>
      <c r="F70" s="552">
        <f t="shared" si="34"/>
        <v>0.67792207792207793</v>
      </c>
      <c r="G70" s="1214"/>
      <c r="H70" s="235">
        <v>16</v>
      </c>
      <c r="I70" s="236">
        <v>3</v>
      </c>
      <c r="J70" s="233">
        <f>INT(H70*I70)</f>
        <v>48</v>
      </c>
      <c r="K70" s="233">
        <v>9</v>
      </c>
      <c r="L70" s="271">
        <f>INT((H70-K70)*I70)</f>
        <v>21</v>
      </c>
      <c r="M70" s="233">
        <f t="shared" si="10"/>
        <v>385</v>
      </c>
      <c r="N70" s="233">
        <f t="shared" si="31"/>
        <v>60</v>
      </c>
      <c r="O70" s="548">
        <f t="shared" si="35"/>
        <v>0.83376623376623371</v>
      </c>
      <c r="P70" s="1216"/>
      <c r="Q70" s="572">
        <f t="shared" si="32"/>
        <v>23</v>
      </c>
      <c r="R70" s="1216"/>
      <c r="S70" s="237">
        <f t="shared" si="36"/>
        <v>344</v>
      </c>
      <c r="T70" s="1194"/>
      <c r="U70" s="237">
        <f t="shared" si="7"/>
        <v>41</v>
      </c>
      <c r="V70" s="1231"/>
      <c r="W70" s="774">
        <f t="shared" si="23"/>
        <v>0.89350649350649347</v>
      </c>
      <c r="X70" s="1176"/>
      <c r="Y70" s="205">
        <f t="shared" si="8"/>
        <v>0.89350649350649347</v>
      </c>
      <c r="Z70" s="1300"/>
      <c r="AA70" s="802"/>
      <c r="AB70" s="424" t="s">
        <v>54</v>
      </c>
      <c r="AC70" s="431">
        <v>60</v>
      </c>
      <c r="AD70" s="240" t="s">
        <v>59</v>
      </c>
      <c r="AE70" s="541">
        <v>23</v>
      </c>
      <c r="AF70" s="240"/>
      <c r="AG70" s="239"/>
      <c r="AH70" s="240"/>
      <c r="AI70" s="239"/>
      <c r="AJ70" s="240"/>
      <c r="AK70" s="239"/>
      <c r="AL70" s="240"/>
      <c r="AM70" s="239"/>
      <c r="AN70" s="240"/>
      <c r="AO70" s="239"/>
      <c r="AP70" s="240"/>
      <c r="AQ70" s="239"/>
      <c r="AR70" s="240"/>
      <c r="AS70" s="239"/>
      <c r="AT70" s="240"/>
      <c r="AU70" s="239"/>
      <c r="AV70" s="240"/>
      <c r="AW70" s="239"/>
      <c r="AX70" s="240"/>
      <c r="AY70" s="239"/>
      <c r="AZ70" s="240"/>
      <c r="BA70" s="239"/>
      <c r="BB70" s="240"/>
      <c r="BC70" s="239"/>
      <c r="BD70" s="240"/>
      <c r="BE70" s="239"/>
      <c r="BF70" s="240"/>
      <c r="BG70" s="241"/>
      <c r="BK70" s="231"/>
      <c r="BL70" s="231"/>
      <c r="BM70" s="231"/>
      <c r="BN70" s="231"/>
    </row>
    <row r="71" spans="1:66" ht="13.9" thickBot="1">
      <c r="A71" s="256" t="s">
        <v>143</v>
      </c>
      <c r="B71" s="742" t="s">
        <v>152</v>
      </c>
      <c r="C71" s="745" t="s">
        <v>101</v>
      </c>
      <c r="D71" s="1052">
        <v>266</v>
      </c>
      <c r="E71" s="1052">
        <v>266</v>
      </c>
      <c r="F71" s="738">
        <f t="shared" si="34"/>
        <v>0.69090909090909092</v>
      </c>
      <c r="G71" s="1202"/>
      <c r="H71" s="746">
        <v>16</v>
      </c>
      <c r="I71" s="747">
        <v>3</v>
      </c>
      <c r="J71" s="742">
        <f>INT(H71*I71)</f>
        <v>48</v>
      </c>
      <c r="K71" s="742">
        <v>9</v>
      </c>
      <c r="L71" s="748">
        <f>INT((H70-K70)*I70)</f>
        <v>21</v>
      </c>
      <c r="M71" s="233">
        <f t="shared" si="10"/>
        <v>385</v>
      </c>
      <c r="N71" s="233">
        <f t="shared" si="31"/>
        <v>60</v>
      </c>
      <c r="O71" s="740">
        <f t="shared" si="35"/>
        <v>0.8467532467532467</v>
      </c>
      <c r="P71" s="1217"/>
      <c r="Q71" s="741">
        <f t="shared" si="32"/>
        <v>23</v>
      </c>
      <c r="R71" s="1217"/>
      <c r="S71" s="743">
        <f t="shared" si="36"/>
        <v>349</v>
      </c>
      <c r="T71" s="1195"/>
      <c r="U71" s="743">
        <f t="shared" si="7"/>
        <v>36</v>
      </c>
      <c r="V71" s="1297"/>
      <c r="W71" s="855">
        <f t="shared" si="23"/>
        <v>0.90649350649350646</v>
      </c>
      <c r="X71" s="1177"/>
      <c r="Y71" s="263">
        <f t="shared" si="8"/>
        <v>0.90649350649350646</v>
      </c>
      <c r="Z71" s="1301"/>
      <c r="AA71" s="803"/>
      <c r="AB71" s="424" t="s">
        <v>54</v>
      </c>
      <c r="AC71" s="432">
        <v>60</v>
      </c>
      <c r="AD71" s="249" t="s">
        <v>59</v>
      </c>
      <c r="AE71" s="796">
        <v>23</v>
      </c>
      <c r="AF71" s="249"/>
      <c r="AG71" s="248"/>
      <c r="AH71" s="249"/>
      <c r="AI71" s="248"/>
      <c r="AJ71" s="249"/>
      <c r="AK71" s="248"/>
      <c r="AL71" s="249"/>
      <c r="AM71" s="248"/>
      <c r="AN71" s="249"/>
      <c r="AO71" s="248"/>
      <c r="AP71" s="249"/>
      <c r="AQ71" s="248"/>
      <c r="AR71" s="249"/>
      <c r="AS71" s="248"/>
      <c r="AT71" s="249"/>
      <c r="AU71" s="248"/>
      <c r="AV71" s="249"/>
      <c r="AW71" s="248"/>
      <c r="AX71" s="249"/>
      <c r="AY71" s="248"/>
      <c r="AZ71" s="249"/>
      <c r="BA71" s="248"/>
      <c r="BB71" s="249"/>
      <c r="BC71" s="248"/>
      <c r="BD71" s="249"/>
      <c r="BE71" s="248"/>
      <c r="BF71" s="249"/>
      <c r="BG71" s="250"/>
      <c r="BK71" s="231"/>
      <c r="BL71" s="231"/>
      <c r="BM71" s="231"/>
      <c r="BN71" s="231"/>
    </row>
    <row r="72" spans="1:66" ht="13.15">
      <c r="A72" s="251" t="s">
        <v>153</v>
      </c>
      <c r="B72" s="222" t="s">
        <v>154</v>
      </c>
      <c r="C72" s="223" t="s">
        <v>106</v>
      </c>
      <c r="D72" s="1088">
        <v>891</v>
      </c>
      <c r="E72" s="1088">
        <v>891</v>
      </c>
      <c r="F72" s="561">
        <f t="shared" si="34"/>
        <v>0.77142857142857146</v>
      </c>
      <c r="G72" s="1209">
        <f>SUM(E72:E79)*54.5/1000</f>
        <v>294.57249999999999</v>
      </c>
      <c r="H72" s="224">
        <v>44</v>
      </c>
      <c r="I72" s="225">
        <v>3</v>
      </c>
      <c r="J72" s="222">
        <f t="shared" si="29"/>
        <v>132</v>
      </c>
      <c r="K72" s="222">
        <f>((H72-2)/2)+2</f>
        <v>23</v>
      </c>
      <c r="L72" s="270">
        <f t="shared" si="9"/>
        <v>63</v>
      </c>
      <c r="M72" s="270">
        <f t="shared" si="10"/>
        <v>1155</v>
      </c>
      <c r="N72" s="222">
        <f t="shared" ref="N72:N118" si="37">SUM(AC72)</f>
        <v>161</v>
      </c>
      <c r="O72" s="550">
        <f t="shared" si="35"/>
        <v>0.91082251082251087</v>
      </c>
      <c r="P72" s="1209">
        <f>SUM(N72:N79)*54.5/1000</f>
        <v>105.5665</v>
      </c>
      <c r="Q72" s="567">
        <f t="shared" si="32"/>
        <v>0</v>
      </c>
      <c r="R72" s="1267">
        <f>SUM(Q72:Q79)*54.5/1000</f>
        <v>16.241</v>
      </c>
      <c r="S72" s="286">
        <f t="shared" si="36"/>
        <v>1052</v>
      </c>
      <c r="T72" s="1203">
        <f>SUM(S72:S79)*54.5/1000</f>
        <v>416.38</v>
      </c>
      <c r="U72" s="226">
        <f t="shared" si="7"/>
        <v>103</v>
      </c>
      <c r="V72" s="1203">
        <f>SUM(U72:U79)*54.5/1000</f>
        <v>48.232500000000002</v>
      </c>
      <c r="W72" s="227">
        <f t="shared" si="23"/>
        <v>0.91082251082251087</v>
      </c>
      <c r="X72" s="1199">
        <f>(G72+P72+R72)/'Building Capability'!$D$13</f>
        <v>0.89544086021505376</v>
      </c>
      <c r="Y72" s="252">
        <f t="shared" si="8"/>
        <v>0.91082251082251087</v>
      </c>
      <c r="Z72" s="1261">
        <f>(G72+P72+R72)/'Building Capability'!$F$13</f>
        <v>0.88970085470085469</v>
      </c>
      <c r="AA72" s="1314" t="e">
        <f>(G72+P72)/'Building Capability'!$G$13</f>
        <v>#DIV/0!</v>
      </c>
      <c r="AB72" s="426" t="s">
        <v>54</v>
      </c>
      <c r="AC72" s="433">
        <v>161</v>
      </c>
      <c r="AD72" s="488"/>
      <c r="AE72" s="489"/>
      <c r="AF72" s="229"/>
      <c r="AG72" s="228"/>
      <c r="AH72" s="229"/>
      <c r="AI72" s="228"/>
      <c r="AJ72" s="611"/>
      <c r="AK72" s="735"/>
      <c r="AL72" s="611"/>
      <c r="AM72" s="735"/>
      <c r="AN72" s="611"/>
      <c r="AO72" s="735"/>
      <c r="AP72" s="1037"/>
      <c r="AQ72" s="1022"/>
      <c r="AR72" s="611" t="s">
        <v>110</v>
      </c>
      <c r="AS72" s="1022" t="s">
        <v>110</v>
      </c>
      <c r="AT72" s="611" t="s">
        <v>110</v>
      </c>
      <c r="AU72" s="1022" t="s">
        <v>110</v>
      </c>
      <c r="AV72" s="611" t="s">
        <v>110</v>
      </c>
      <c r="AW72" s="612" t="s">
        <v>110</v>
      </c>
      <c r="AX72" s="611" t="s">
        <v>110</v>
      </c>
      <c r="AY72" s="612" t="s">
        <v>110</v>
      </c>
      <c r="AZ72" s="229"/>
      <c r="BA72" s="228"/>
      <c r="BB72" s="229"/>
      <c r="BC72" s="228"/>
      <c r="BD72" s="229"/>
      <c r="BE72" s="228"/>
      <c r="BF72" s="229"/>
      <c r="BG72" s="230"/>
      <c r="BK72" s="231"/>
      <c r="BL72" s="231"/>
      <c r="BM72" s="231"/>
      <c r="BN72" s="231"/>
    </row>
    <row r="73" spans="1:66" ht="13.15">
      <c r="A73" s="253" t="s">
        <v>153</v>
      </c>
      <c r="B73" s="233" t="s">
        <v>155</v>
      </c>
      <c r="C73" s="234" t="s">
        <v>106</v>
      </c>
      <c r="D73" s="819">
        <v>824</v>
      </c>
      <c r="E73" s="819">
        <v>825</v>
      </c>
      <c r="F73" s="562">
        <f t="shared" si="34"/>
        <v>0.7142857142857143</v>
      </c>
      <c r="G73" s="1210"/>
      <c r="H73" s="235">
        <v>44</v>
      </c>
      <c r="I73" s="236">
        <v>3</v>
      </c>
      <c r="J73" s="233">
        <f t="shared" si="29"/>
        <v>132</v>
      </c>
      <c r="K73" s="233">
        <f t="shared" ref="K73:K77" si="38">((H73-2)/2)+2</f>
        <v>23</v>
      </c>
      <c r="L73" s="271">
        <f t="shared" si="9"/>
        <v>63</v>
      </c>
      <c r="M73" s="272">
        <f t="shared" si="10"/>
        <v>1155</v>
      </c>
      <c r="N73" s="273">
        <f t="shared" si="37"/>
        <v>214</v>
      </c>
      <c r="O73" s="570">
        <f t="shared" si="35"/>
        <v>0.89956709956709957</v>
      </c>
      <c r="P73" s="1210"/>
      <c r="Q73" s="449">
        <f t="shared" si="32"/>
        <v>9</v>
      </c>
      <c r="R73" s="1268"/>
      <c r="S73" s="237">
        <f t="shared" si="36"/>
        <v>1048</v>
      </c>
      <c r="T73" s="1204"/>
      <c r="U73" s="237">
        <f t="shared" si="7"/>
        <v>107</v>
      </c>
      <c r="V73" s="1204"/>
      <c r="W73" s="238">
        <f t="shared" si="23"/>
        <v>0.90735930735930737</v>
      </c>
      <c r="X73" s="1199"/>
      <c r="Y73" s="205">
        <f t="shared" si="8"/>
        <v>0.90735930735930737</v>
      </c>
      <c r="Z73" s="1262"/>
      <c r="AA73" s="1315"/>
      <c r="AB73" s="424" t="s">
        <v>54</v>
      </c>
      <c r="AC73" s="431">
        <v>214</v>
      </c>
      <c r="AD73" s="838"/>
      <c r="AE73" s="839"/>
      <c r="AF73" s="609" t="s">
        <v>43</v>
      </c>
      <c r="AG73" s="736">
        <v>9</v>
      </c>
      <c r="AH73" s="540"/>
      <c r="AI73" s="541"/>
      <c r="AJ73" s="609"/>
      <c r="AK73" s="736"/>
      <c r="AL73" s="609"/>
      <c r="AM73" s="736"/>
      <c r="AN73" s="609"/>
      <c r="AO73" s="736"/>
      <c r="AP73" s="921"/>
      <c r="AQ73" s="922"/>
      <c r="AR73" s="921" t="s">
        <v>110</v>
      </c>
      <c r="AS73" s="922" t="s">
        <v>110</v>
      </c>
      <c r="AT73" s="921" t="s">
        <v>110</v>
      </c>
      <c r="AU73" s="922" t="s">
        <v>110</v>
      </c>
      <c r="AV73" s="609"/>
      <c r="AW73" s="610"/>
      <c r="AX73" s="609" t="s">
        <v>110</v>
      </c>
      <c r="AY73" s="610" t="s">
        <v>110</v>
      </c>
      <c r="AZ73" s="240"/>
      <c r="BA73" s="239"/>
      <c r="BB73" s="240"/>
      <c r="BC73" s="239"/>
      <c r="BD73" s="240"/>
      <c r="BE73" s="239"/>
      <c r="BF73" s="240"/>
      <c r="BG73" s="241"/>
      <c r="BK73" s="231"/>
      <c r="BL73" s="231"/>
      <c r="BM73" s="231"/>
      <c r="BN73" s="231"/>
    </row>
    <row r="74" spans="1:66" ht="12.75" customHeight="1">
      <c r="A74" s="253" t="s">
        <v>153</v>
      </c>
      <c r="B74" s="233" t="s">
        <v>156</v>
      </c>
      <c r="C74" s="234" t="s">
        <v>106</v>
      </c>
      <c r="D74" s="819">
        <v>820</v>
      </c>
      <c r="E74" s="819">
        <v>817</v>
      </c>
      <c r="F74" s="562">
        <f t="shared" si="34"/>
        <v>0.70735930735930741</v>
      </c>
      <c r="G74" s="1211"/>
      <c r="H74" s="235">
        <v>44</v>
      </c>
      <c r="I74" s="236">
        <v>3</v>
      </c>
      <c r="J74" s="233">
        <f t="shared" si="29"/>
        <v>132</v>
      </c>
      <c r="K74" s="233">
        <f t="shared" si="38"/>
        <v>23</v>
      </c>
      <c r="L74" s="271">
        <f t="shared" si="9"/>
        <v>63</v>
      </c>
      <c r="M74" s="272">
        <f t="shared" si="10"/>
        <v>1155</v>
      </c>
      <c r="N74" s="273">
        <f t="shared" si="37"/>
        <v>103</v>
      </c>
      <c r="O74" s="570">
        <f t="shared" si="35"/>
        <v>0.79653679653679654</v>
      </c>
      <c r="P74" s="1211"/>
      <c r="Q74" s="449">
        <f t="shared" si="32"/>
        <v>101</v>
      </c>
      <c r="R74" s="1269"/>
      <c r="S74" s="237">
        <f t="shared" si="36"/>
        <v>1021</v>
      </c>
      <c r="T74" s="1205"/>
      <c r="U74" s="237">
        <f t="shared" si="7"/>
        <v>134</v>
      </c>
      <c r="V74" s="1205"/>
      <c r="W74" s="238">
        <f t="shared" si="23"/>
        <v>0.88398268398268398</v>
      </c>
      <c r="X74" s="1199"/>
      <c r="Y74" s="205">
        <f t="shared" si="8"/>
        <v>0.88398268398268398</v>
      </c>
      <c r="Z74" s="1262"/>
      <c r="AA74" s="1315"/>
      <c r="AB74" s="424" t="s">
        <v>54</v>
      </c>
      <c r="AC74" s="431">
        <v>103</v>
      </c>
      <c r="AD74" s="838" t="s">
        <v>118</v>
      </c>
      <c r="AE74" s="839">
        <v>92</v>
      </c>
      <c r="AF74" s="609" t="s">
        <v>43</v>
      </c>
      <c r="AG74" s="736">
        <v>9</v>
      </c>
      <c r="AH74" s="540"/>
      <c r="AI74" s="541"/>
      <c r="AJ74" s="609"/>
      <c r="AK74" s="736"/>
      <c r="AL74" s="609"/>
      <c r="AM74" s="736"/>
      <c r="AN74" s="609"/>
      <c r="AO74" s="736"/>
      <c r="AP74" s="921"/>
      <c r="AQ74" s="922"/>
      <c r="AR74" s="921"/>
      <c r="AS74" s="922"/>
      <c r="AT74" s="921"/>
      <c r="AU74" s="922"/>
      <c r="AV74" s="921"/>
      <c r="AW74" s="1006"/>
      <c r="AX74" s="609"/>
      <c r="AY74" s="610"/>
      <c r="AZ74" s="240"/>
      <c r="BA74" s="239"/>
      <c r="BB74" s="240"/>
      <c r="BC74" s="239"/>
      <c r="BD74" s="240"/>
      <c r="BE74" s="239"/>
      <c r="BF74" s="240"/>
      <c r="BG74" s="241"/>
      <c r="BK74" s="231"/>
      <c r="BL74" s="231"/>
      <c r="BM74" s="231"/>
      <c r="BN74" s="231"/>
    </row>
    <row r="75" spans="1:66" ht="12.75" customHeight="1">
      <c r="A75" s="253" t="s">
        <v>153</v>
      </c>
      <c r="B75" s="233" t="s">
        <v>157</v>
      </c>
      <c r="C75" s="234" t="s">
        <v>106</v>
      </c>
      <c r="D75" s="1053">
        <v>620</v>
      </c>
      <c r="E75" s="1053">
        <v>622</v>
      </c>
      <c r="F75" s="562">
        <f t="shared" si="34"/>
        <v>0.70681818181818179</v>
      </c>
      <c r="G75" s="1206">
        <f>G72/'Building Capability'!$D$13</f>
        <v>0.63348924731182799</v>
      </c>
      <c r="H75" s="235">
        <v>34</v>
      </c>
      <c r="I75" s="236">
        <v>3</v>
      </c>
      <c r="J75" s="233">
        <f t="shared" si="29"/>
        <v>102</v>
      </c>
      <c r="K75" s="233">
        <f t="shared" si="38"/>
        <v>18</v>
      </c>
      <c r="L75" s="271">
        <f t="shared" si="9"/>
        <v>48</v>
      </c>
      <c r="M75" s="272">
        <f t="shared" si="10"/>
        <v>880</v>
      </c>
      <c r="N75" s="273">
        <f t="shared" si="37"/>
        <v>198</v>
      </c>
      <c r="O75" s="570">
        <f t="shared" si="35"/>
        <v>0.93181818181818177</v>
      </c>
      <c r="P75" s="1282">
        <f>P72/'Building Capability'!$D$13</f>
        <v>0.2270247311827957</v>
      </c>
      <c r="Q75" s="449">
        <f t="shared" si="32"/>
        <v>0</v>
      </c>
      <c r="R75" s="1282">
        <f>R72/'Building Capability'!$D$13</f>
        <v>3.4926881720430104E-2</v>
      </c>
      <c r="S75" s="237">
        <f t="shared" si="36"/>
        <v>820</v>
      </c>
      <c r="T75" s="1193">
        <f>T72/'Building Capability'!$D$13</f>
        <v>0.89544086021505376</v>
      </c>
      <c r="U75" s="237">
        <f t="shared" si="7"/>
        <v>60</v>
      </c>
      <c r="V75" s="1230">
        <f>V72/'Building Capability'!$D$13</f>
        <v>0.1037258064516129</v>
      </c>
      <c r="W75" s="238">
        <f t="shared" si="23"/>
        <v>0.93181818181818177</v>
      </c>
      <c r="X75" s="1199"/>
      <c r="Y75" s="205">
        <f t="shared" si="8"/>
        <v>0.93181818181818177</v>
      </c>
      <c r="Z75" s="1262"/>
      <c r="AA75" s="1315"/>
      <c r="AB75" s="424" t="s">
        <v>54</v>
      </c>
      <c r="AC75" s="431">
        <v>198</v>
      </c>
      <c r="AD75" s="1085"/>
      <c r="AE75" s="468"/>
      <c r="AF75" s="467"/>
      <c r="AG75" s="468"/>
      <c r="AH75" s="540"/>
      <c r="AI75" s="541"/>
      <c r="AJ75" s="609"/>
      <c r="AK75" s="736"/>
      <c r="AL75" s="609"/>
      <c r="AM75" s="736"/>
      <c r="AN75" s="609"/>
      <c r="AO75" s="736"/>
      <c r="AP75" s="921" t="s">
        <v>110</v>
      </c>
      <c r="AQ75" s="922" t="s">
        <v>110</v>
      </c>
      <c r="AR75" s="921"/>
      <c r="AS75" s="922"/>
      <c r="AT75" s="921"/>
      <c r="AU75" s="922"/>
      <c r="AV75" s="921"/>
      <c r="AW75" s="1006"/>
      <c r="AX75" s="609" t="s">
        <v>110</v>
      </c>
      <c r="AY75" s="610" t="s">
        <v>110</v>
      </c>
      <c r="AZ75" s="240"/>
      <c r="BA75" s="239"/>
      <c r="BB75" s="240"/>
      <c r="BC75" s="239"/>
      <c r="BD75" s="240"/>
      <c r="BE75" s="239"/>
      <c r="BF75" s="240"/>
      <c r="BG75" s="241"/>
      <c r="BK75" s="231"/>
      <c r="BL75" s="231"/>
      <c r="BM75" s="231"/>
      <c r="BN75" s="231"/>
    </row>
    <row r="76" spans="1:66" ht="13.5" customHeight="1">
      <c r="A76" s="253" t="s">
        <v>153</v>
      </c>
      <c r="B76" s="233" t="s">
        <v>158</v>
      </c>
      <c r="C76" s="234" t="s">
        <v>106</v>
      </c>
      <c r="D76" s="1053">
        <v>647</v>
      </c>
      <c r="E76" s="1053">
        <v>648</v>
      </c>
      <c r="F76" s="562">
        <f t="shared" si="34"/>
        <v>0.561038961038961</v>
      </c>
      <c r="G76" s="1207"/>
      <c r="H76" s="235">
        <v>44</v>
      </c>
      <c r="I76" s="236">
        <v>3</v>
      </c>
      <c r="J76" s="233">
        <f t="shared" si="29"/>
        <v>132</v>
      </c>
      <c r="K76" s="233">
        <f t="shared" si="38"/>
        <v>23</v>
      </c>
      <c r="L76" s="271">
        <f t="shared" si="9"/>
        <v>63</v>
      </c>
      <c r="M76" s="272">
        <f t="shared" si="10"/>
        <v>1155</v>
      </c>
      <c r="N76" s="273">
        <f t="shared" si="37"/>
        <v>158</v>
      </c>
      <c r="O76" s="570">
        <f t="shared" si="35"/>
        <v>0.69783549783549781</v>
      </c>
      <c r="P76" s="1283"/>
      <c r="Q76" s="449">
        <f t="shared" si="32"/>
        <v>140</v>
      </c>
      <c r="R76" s="1283"/>
      <c r="S76" s="237">
        <f t="shared" si="36"/>
        <v>946</v>
      </c>
      <c r="T76" s="1194"/>
      <c r="U76" s="237">
        <f t="shared" ref="U76:U118" si="39">SUM(M76-S76)</f>
        <v>209</v>
      </c>
      <c r="V76" s="1231"/>
      <c r="W76" s="238">
        <f t="shared" ref="W76:W107" si="40">S76/M76</f>
        <v>0.81904761904761902</v>
      </c>
      <c r="X76" s="1199"/>
      <c r="Y76" s="205">
        <f t="shared" si="8"/>
        <v>0.81904761904761902</v>
      </c>
      <c r="Z76" s="1262"/>
      <c r="AA76" s="1315"/>
      <c r="AB76" s="424" t="s">
        <v>54</v>
      </c>
      <c r="AC76" s="431">
        <v>158</v>
      </c>
      <c r="AD76" s="838" t="s">
        <v>118</v>
      </c>
      <c r="AE76" s="839">
        <v>92</v>
      </c>
      <c r="AF76" s="497" t="s">
        <v>159</v>
      </c>
      <c r="AG76" s="499">
        <v>48</v>
      </c>
      <c r="AH76" s="540"/>
      <c r="AI76" s="541"/>
      <c r="AJ76" s="609"/>
      <c r="AK76" s="736"/>
      <c r="AL76" s="609"/>
      <c r="AM76" s="736"/>
      <c r="AN76" s="838"/>
      <c r="AO76" s="941"/>
      <c r="AP76" s="921" t="s">
        <v>110</v>
      </c>
      <c r="AQ76" s="922" t="s">
        <v>110</v>
      </c>
      <c r="AR76" s="921"/>
      <c r="AS76" s="922"/>
      <c r="AT76" s="921"/>
      <c r="AU76" s="922"/>
      <c r="AV76" s="921"/>
      <c r="AW76" s="1006"/>
      <c r="AX76" s="609" t="s">
        <v>110</v>
      </c>
      <c r="AY76" s="610" t="s">
        <v>110</v>
      </c>
      <c r="AZ76" s="240"/>
      <c r="BA76" s="239"/>
      <c r="BB76" s="240"/>
      <c r="BC76" s="239"/>
      <c r="BD76" s="240"/>
      <c r="BE76" s="239"/>
      <c r="BF76" s="240"/>
      <c r="BG76" s="241"/>
      <c r="BK76" s="231"/>
      <c r="BL76" s="231"/>
      <c r="BM76" s="231"/>
      <c r="BN76" s="231"/>
    </row>
    <row r="77" spans="1:66" ht="12" customHeight="1" thickBot="1">
      <c r="A77" s="253" t="s">
        <v>153</v>
      </c>
      <c r="B77" s="233" t="s">
        <v>160</v>
      </c>
      <c r="C77" s="234" t="s">
        <v>106</v>
      </c>
      <c r="D77" s="819">
        <v>646</v>
      </c>
      <c r="E77" s="819">
        <v>645</v>
      </c>
      <c r="F77" s="562">
        <f t="shared" si="34"/>
        <v>0.55844155844155841</v>
      </c>
      <c r="G77" s="1207"/>
      <c r="H77" s="235">
        <v>44</v>
      </c>
      <c r="I77" s="236">
        <v>3</v>
      </c>
      <c r="J77" s="233">
        <f t="shared" si="29"/>
        <v>132</v>
      </c>
      <c r="K77" s="233">
        <f t="shared" si="38"/>
        <v>23</v>
      </c>
      <c r="L77" s="271">
        <f t="shared" ref="L77:L118" si="41">INT((H77-K77)*I77)</f>
        <v>63</v>
      </c>
      <c r="M77" s="271">
        <f t="shared" ref="M77:M118" si="42">INT((L77*1000)/54.5)</f>
        <v>1155</v>
      </c>
      <c r="N77" s="233">
        <f t="shared" si="37"/>
        <v>228</v>
      </c>
      <c r="O77" s="548">
        <f t="shared" si="35"/>
        <v>0.75584415584415587</v>
      </c>
      <c r="P77" s="1283"/>
      <c r="Q77" s="449">
        <f t="shared" si="32"/>
        <v>48</v>
      </c>
      <c r="R77" s="1283"/>
      <c r="S77" s="237">
        <f t="shared" si="36"/>
        <v>921</v>
      </c>
      <c r="T77" s="1194"/>
      <c r="U77" s="237">
        <f t="shared" si="39"/>
        <v>234</v>
      </c>
      <c r="V77" s="1231"/>
      <c r="W77" s="238">
        <f t="shared" si="40"/>
        <v>0.79740259740259745</v>
      </c>
      <c r="X77" s="1199"/>
      <c r="Y77" s="263">
        <f t="shared" si="8"/>
        <v>0.79740259740259745</v>
      </c>
      <c r="Z77" s="1262"/>
      <c r="AA77" s="1316"/>
      <c r="AB77" s="424" t="s">
        <v>54</v>
      </c>
      <c r="AC77" s="431">
        <v>228</v>
      </c>
      <c r="AD77" s="497" t="s">
        <v>159</v>
      </c>
      <c r="AE77" s="499">
        <v>48</v>
      </c>
      <c r="AF77" s="1085"/>
      <c r="AG77" s="468"/>
      <c r="AH77" s="540"/>
      <c r="AI77" s="541"/>
      <c r="AJ77" s="609"/>
      <c r="AK77" s="736"/>
      <c r="AL77" s="609"/>
      <c r="AM77" s="736"/>
      <c r="AN77" s="609"/>
      <c r="AO77" s="736"/>
      <c r="AP77" s="921"/>
      <c r="AQ77" s="922"/>
      <c r="AR77" s="921"/>
      <c r="AS77" s="922"/>
      <c r="AT77" s="921"/>
      <c r="AU77" s="922"/>
      <c r="AV77" s="609"/>
      <c r="AW77" s="610"/>
      <c r="AX77" s="609"/>
      <c r="AY77" s="610"/>
      <c r="AZ77" s="240"/>
      <c r="BA77" s="239"/>
      <c r="BB77" s="240"/>
      <c r="BC77" s="239"/>
      <c r="BD77" s="240"/>
      <c r="BE77" s="239"/>
      <c r="BF77" s="240"/>
      <c r="BG77" s="241"/>
      <c r="BK77" s="231"/>
      <c r="BL77" s="231"/>
      <c r="BM77" s="231"/>
      <c r="BN77" s="231"/>
    </row>
    <row r="78" spans="1:66" ht="13.35" customHeight="1" thickBot="1">
      <c r="A78" s="831" t="s">
        <v>153</v>
      </c>
      <c r="B78" s="832" t="s">
        <v>161</v>
      </c>
      <c r="C78" s="952" t="s">
        <v>101</v>
      </c>
      <c r="D78" s="664">
        <v>482</v>
      </c>
      <c r="E78" s="664">
        <v>483</v>
      </c>
      <c r="F78" s="672">
        <f t="shared" si="34"/>
        <v>0.51657754010695189</v>
      </c>
      <c r="G78" s="1207"/>
      <c r="H78" s="837">
        <v>36</v>
      </c>
      <c r="I78" s="852">
        <v>3</v>
      </c>
      <c r="J78" s="837">
        <f t="shared" si="29"/>
        <v>108</v>
      </c>
      <c r="K78" s="837">
        <f>((H78-2)/2)+2</f>
        <v>19</v>
      </c>
      <c r="L78" s="271">
        <f t="shared" si="41"/>
        <v>51</v>
      </c>
      <c r="M78" s="271">
        <f t="shared" si="42"/>
        <v>935</v>
      </c>
      <c r="N78" s="664">
        <f t="shared" ref="N78:N79" si="43">SUM(AC78)</f>
        <v>418</v>
      </c>
      <c r="O78" s="854">
        <f t="shared" si="35"/>
        <v>0.96363636363636362</v>
      </c>
      <c r="P78" s="1283"/>
      <c r="Q78" s="848">
        <f>SUM(AE78:BG78)</f>
        <v>0</v>
      </c>
      <c r="R78" s="1283"/>
      <c r="S78" s="237">
        <f t="shared" si="36"/>
        <v>901</v>
      </c>
      <c r="T78" s="1194"/>
      <c r="U78" s="237">
        <f t="shared" ref="U78:U79" si="44">SUM(M78-S78)</f>
        <v>34</v>
      </c>
      <c r="V78" s="1231"/>
      <c r="W78" s="849">
        <f t="shared" si="40"/>
        <v>0.96363636363636362</v>
      </c>
      <c r="X78" s="1199"/>
      <c r="Y78" s="263">
        <f t="shared" ref="Y78:Y79" si="45">W78</f>
        <v>0.96363636363636362</v>
      </c>
      <c r="Z78" s="1262"/>
      <c r="AA78" s="836"/>
      <c r="AB78" s="683" t="s">
        <v>117</v>
      </c>
      <c r="AC78" s="908">
        <v>418</v>
      </c>
      <c r="AD78" s="921"/>
      <c r="AE78" s="922"/>
      <c r="AF78" s="609"/>
      <c r="AG78" s="734"/>
      <c r="AH78" s="609"/>
      <c r="AI78" s="610"/>
      <c r="AJ78" s="609" t="s">
        <v>110</v>
      </c>
      <c r="AK78" s="610" t="s">
        <v>110</v>
      </c>
      <c r="AL78" s="1058"/>
      <c r="AM78" s="736"/>
      <c r="AN78" s="609"/>
      <c r="AO78" s="734"/>
      <c r="AP78" s="609"/>
      <c r="AQ78" s="610"/>
      <c r="AR78" s="609" t="s">
        <v>110</v>
      </c>
      <c r="AS78" s="610"/>
      <c r="AT78" s="609" t="s">
        <v>110</v>
      </c>
      <c r="AU78" s="610"/>
      <c r="AV78" s="609" t="s">
        <v>110</v>
      </c>
      <c r="AW78" s="610" t="s">
        <v>110</v>
      </c>
      <c r="AX78" s="609" t="s">
        <v>110</v>
      </c>
      <c r="AY78" s="610" t="s">
        <v>110</v>
      </c>
      <c r="AZ78" s="609" t="s">
        <v>110</v>
      </c>
      <c r="BA78" s="610" t="s">
        <v>110</v>
      </c>
      <c r="BB78" s="609" t="s">
        <v>110</v>
      </c>
      <c r="BC78" s="610" t="s">
        <v>110</v>
      </c>
      <c r="BD78" s="609" t="s">
        <v>110</v>
      </c>
      <c r="BE78" s="610" t="s">
        <v>110</v>
      </c>
      <c r="BF78" s="609" t="s">
        <v>110</v>
      </c>
      <c r="BG78" s="684" t="s">
        <v>110</v>
      </c>
      <c r="BK78" s="231"/>
      <c r="BL78" s="231"/>
      <c r="BM78" s="231"/>
      <c r="BN78" s="231"/>
    </row>
    <row r="79" spans="1:66" ht="13.35" customHeight="1" thickBot="1">
      <c r="A79" s="660" t="s">
        <v>153</v>
      </c>
      <c r="B79" s="662" t="s">
        <v>162</v>
      </c>
      <c r="C79" s="953" t="s">
        <v>101</v>
      </c>
      <c r="D79" s="630">
        <v>473</v>
      </c>
      <c r="E79" s="630">
        <v>474</v>
      </c>
      <c r="F79" s="794">
        <f t="shared" si="34"/>
        <v>0.50695187165775402</v>
      </c>
      <c r="G79" s="1208"/>
      <c r="H79" s="837">
        <v>36</v>
      </c>
      <c r="I79" s="852">
        <v>3</v>
      </c>
      <c r="J79" s="837">
        <f t="shared" ref="J79" si="46">INT(H79*I79)</f>
        <v>108</v>
      </c>
      <c r="K79" s="837">
        <f>((H79-2)/2)+2</f>
        <v>19</v>
      </c>
      <c r="L79" s="271">
        <f t="shared" si="41"/>
        <v>51</v>
      </c>
      <c r="M79" s="630">
        <f t="shared" si="42"/>
        <v>935</v>
      </c>
      <c r="N79" s="630">
        <f t="shared" si="43"/>
        <v>457</v>
      </c>
      <c r="O79" s="740">
        <f t="shared" si="35"/>
        <v>0.99572192513368984</v>
      </c>
      <c r="P79" s="1284"/>
      <c r="Q79" s="636">
        <f>SUM(AE79:BG79)</f>
        <v>0</v>
      </c>
      <c r="R79" s="1284"/>
      <c r="S79" s="261">
        <f t="shared" si="36"/>
        <v>931</v>
      </c>
      <c r="T79" s="1195"/>
      <c r="U79" s="261">
        <f t="shared" si="44"/>
        <v>4</v>
      </c>
      <c r="V79" s="1297"/>
      <c r="W79" s="850">
        <f t="shared" si="40"/>
        <v>0.99572192513368984</v>
      </c>
      <c r="X79" s="1200"/>
      <c r="Y79" s="795">
        <f t="shared" si="45"/>
        <v>0.99572192513368984</v>
      </c>
      <c r="Z79" s="1263"/>
      <c r="AA79" s="836"/>
      <c r="AB79" s="685" t="s">
        <v>117</v>
      </c>
      <c r="AC79" s="909">
        <v>457</v>
      </c>
      <c r="AD79" s="923"/>
      <c r="AE79" s="924"/>
      <c r="AF79" s="613"/>
      <c r="AG79" s="1071"/>
      <c r="AH79" s="613"/>
      <c r="AI79" s="614"/>
      <c r="AJ79" s="613" t="s">
        <v>110</v>
      </c>
      <c r="AK79" s="614" t="s">
        <v>110</v>
      </c>
      <c r="AL79" s="1059"/>
      <c r="AM79" s="776"/>
      <c r="AN79" s="1072"/>
      <c r="AO79" s="1071"/>
      <c r="AP79" s="613"/>
      <c r="AQ79" s="614"/>
      <c r="AR79" s="613" t="s">
        <v>110</v>
      </c>
      <c r="AS79" s="614" t="s">
        <v>110</v>
      </c>
      <c r="AT79" s="613" t="s">
        <v>110</v>
      </c>
      <c r="AU79" s="614"/>
      <c r="AV79" s="613" t="s">
        <v>110</v>
      </c>
      <c r="AW79" s="614" t="s">
        <v>110</v>
      </c>
      <c r="AX79" s="613" t="s">
        <v>110</v>
      </c>
      <c r="AY79" s="614" t="s">
        <v>110</v>
      </c>
      <c r="AZ79" s="613" t="s">
        <v>110</v>
      </c>
      <c r="BA79" s="614" t="s">
        <v>110</v>
      </c>
      <c r="BB79" s="613" t="s">
        <v>110</v>
      </c>
      <c r="BC79" s="614" t="s">
        <v>110</v>
      </c>
      <c r="BD79" s="613" t="s">
        <v>110</v>
      </c>
      <c r="BE79" s="614" t="s">
        <v>110</v>
      </c>
      <c r="BF79" s="613" t="s">
        <v>110</v>
      </c>
      <c r="BG79" s="686" t="s">
        <v>110</v>
      </c>
      <c r="BK79" s="231"/>
      <c r="BL79" s="231"/>
      <c r="BM79" s="231"/>
      <c r="BN79" s="231"/>
    </row>
    <row r="80" spans="1:66" ht="13.15">
      <c r="A80" s="251" t="s">
        <v>163</v>
      </c>
      <c r="B80" s="222" t="s">
        <v>164</v>
      </c>
      <c r="C80" s="223" t="s">
        <v>38</v>
      </c>
      <c r="D80" s="815">
        <v>393</v>
      </c>
      <c r="E80" s="815">
        <v>396</v>
      </c>
      <c r="F80" s="551">
        <f t="shared" si="34"/>
        <v>0.34285714285714286</v>
      </c>
      <c r="G80" s="1212">
        <f>SUM(E80:E84)*54.5/1000</f>
        <v>99.462500000000006</v>
      </c>
      <c r="H80" s="224">
        <v>36</v>
      </c>
      <c r="I80" s="225">
        <v>3.5</v>
      </c>
      <c r="J80" s="222">
        <f t="shared" si="29"/>
        <v>126</v>
      </c>
      <c r="K80" s="222">
        <v>18</v>
      </c>
      <c r="L80" s="222">
        <f t="shared" si="41"/>
        <v>63</v>
      </c>
      <c r="M80" s="222">
        <f t="shared" si="42"/>
        <v>1155</v>
      </c>
      <c r="N80" s="222">
        <f t="shared" si="37"/>
        <v>0</v>
      </c>
      <c r="O80" s="550">
        <f t="shared" si="35"/>
        <v>0.34285714285714286</v>
      </c>
      <c r="P80" s="1203">
        <f>SUM(N80:N84)*54.5/1000</f>
        <v>0</v>
      </c>
      <c r="Q80" s="567">
        <f t="shared" si="32"/>
        <v>0</v>
      </c>
      <c r="R80" s="1267">
        <f>SUM(Q80:Q84)*54.5/1000</f>
        <v>14.715</v>
      </c>
      <c r="S80" s="286">
        <f t="shared" si="36"/>
        <v>396</v>
      </c>
      <c r="T80" s="1203">
        <f>SUM(S80:S84)*54.5/1000</f>
        <v>114.17749999999999</v>
      </c>
      <c r="U80" s="286">
        <f t="shared" si="39"/>
        <v>759</v>
      </c>
      <c r="V80" s="1203">
        <f>SUM(U80:U84)*54.5/1000</f>
        <v>200.56</v>
      </c>
      <c r="W80" s="227">
        <f t="shared" si="40"/>
        <v>0.34285714285714286</v>
      </c>
      <c r="X80" s="1198">
        <f>(G80+P80+R80)/'Building Capability'!$D$14</f>
        <v>0.362468253968254</v>
      </c>
      <c r="Y80" s="252">
        <f t="shared" ref="Y80:Y93" si="47">W80</f>
        <v>0.34285714285714286</v>
      </c>
      <c r="Z80" s="1307">
        <f>(G80+P80+R80)/'Building Capability'!$F$14</f>
        <v>0.362468253968254</v>
      </c>
      <c r="AB80" s="426"/>
      <c r="AC80" s="433"/>
      <c r="AD80" s="229"/>
      <c r="AE80" s="228"/>
      <c r="AF80" s="229"/>
      <c r="AG80" s="228"/>
      <c r="AH80" s="229"/>
      <c r="AI80" s="228"/>
      <c r="AJ80" s="229"/>
      <c r="AK80" s="228"/>
      <c r="AL80" s="229"/>
      <c r="AM80" s="228"/>
      <c r="AN80" s="229"/>
      <c r="AO80" s="228"/>
      <c r="AP80" s="229"/>
      <c r="AQ80" s="228"/>
      <c r="AR80" s="240"/>
      <c r="AS80" s="228"/>
      <c r="AT80" s="229"/>
      <c r="AU80" s="228"/>
      <c r="AV80" s="229"/>
      <c r="AW80" s="228"/>
      <c r="AX80" s="229"/>
      <c r="AY80" s="228"/>
      <c r="AZ80" s="229"/>
      <c r="BA80" s="228"/>
      <c r="BB80" s="229"/>
      <c r="BC80" s="228"/>
      <c r="BD80" s="229"/>
      <c r="BE80" s="228"/>
      <c r="BF80" s="229"/>
      <c r="BG80" s="230"/>
      <c r="BK80" s="231"/>
      <c r="BL80" s="231"/>
      <c r="BM80" s="231"/>
      <c r="BN80" s="231"/>
    </row>
    <row r="81" spans="1:262" ht="13.15">
      <c r="A81" s="253" t="s">
        <v>163</v>
      </c>
      <c r="B81" s="233" t="s">
        <v>165</v>
      </c>
      <c r="C81" s="234" t="s">
        <v>38</v>
      </c>
      <c r="D81" s="502">
        <v>435</v>
      </c>
      <c r="E81" s="502">
        <v>433</v>
      </c>
      <c r="F81" s="552">
        <f t="shared" si="34"/>
        <v>0.37489177489177489</v>
      </c>
      <c r="G81" s="1213"/>
      <c r="H81" s="235">
        <v>36</v>
      </c>
      <c r="I81" s="236">
        <v>3.5</v>
      </c>
      <c r="J81" s="233">
        <f t="shared" si="29"/>
        <v>126</v>
      </c>
      <c r="K81" s="233">
        <v>18</v>
      </c>
      <c r="L81" s="233">
        <f t="shared" si="41"/>
        <v>63</v>
      </c>
      <c r="M81" s="233">
        <f t="shared" si="42"/>
        <v>1155</v>
      </c>
      <c r="N81" s="233">
        <f t="shared" si="37"/>
        <v>0</v>
      </c>
      <c r="O81" s="548">
        <f t="shared" si="35"/>
        <v>0.37489177489177489</v>
      </c>
      <c r="P81" s="1204"/>
      <c r="Q81" s="449">
        <f t="shared" si="32"/>
        <v>65</v>
      </c>
      <c r="R81" s="1268"/>
      <c r="S81" s="237">
        <f t="shared" si="36"/>
        <v>498</v>
      </c>
      <c r="T81" s="1204"/>
      <c r="U81" s="237">
        <f t="shared" si="39"/>
        <v>657</v>
      </c>
      <c r="V81" s="1204"/>
      <c r="W81" s="238">
        <f t="shared" si="40"/>
        <v>0.43116883116883115</v>
      </c>
      <c r="X81" s="1199"/>
      <c r="Y81" s="205">
        <f t="shared" si="47"/>
        <v>0.43116883116883115</v>
      </c>
      <c r="Z81" s="1287"/>
      <c r="AB81" s="424"/>
      <c r="AC81" s="431"/>
      <c r="AD81" s="540"/>
      <c r="AE81" s="541"/>
      <c r="AF81" s="497" t="s">
        <v>166</v>
      </c>
      <c r="AG81" s="499">
        <v>65</v>
      </c>
      <c r="AH81" s="240"/>
      <c r="AI81" s="541"/>
      <c r="AJ81" s="240"/>
      <c r="AK81" s="239"/>
      <c r="AL81" s="240"/>
      <c r="AM81" s="239"/>
      <c r="AN81" s="240"/>
      <c r="AO81" s="239"/>
      <c r="AP81" s="240"/>
      <c r="AQ81" s="239"/>
      <c r="AR81" s="240"/>
      <c r="AS81" s="239"/>
      <c r="AT81" s="240"/>
      <c r="AU81" s="239"/>
      <c r="AV81" s="240"/>
      <c r="AW81" s="239"/>
      <c r="AX81" s="240"/>
      <c r="AY81" s="239"/>
      <c r="AZ81" s="240"/>
      <c r="BA81" s="239"/>
      <c r="BB81" s="240"/>
      <c r="BC81" s="239"/>
      <c r="BD81" s="240"/>
      <c r="BE81" s="239"/>
      <c r="BF81" s="240"/>
      <c r="BG81" s="241"/>
      <c r="BK81" s="231"/>
      <c r="BL81" s="231"/>
      <c r="BM81" s="231"/>
      <c r="BN81" s="231"/>
    </row>
    <row r="82" spans="1:262" ht="13.15">
      <c r="A82" s="253" t="s">
        <v>163</v>
      </c>
      <c r="B82" s="233" t="s">
        <v>167</v>
      </c>
      <c r="C82" s="234" t="s">
        <v>38</v>
      </c>
      <c r="D82" s="237">
        <v>530</v>
      </c>
      <c r="E82" s="237">
        <v>527</v>
      </c>
      <c r="F82" s="552">
        <f t="shared" si="34"/>
        <v>0.45627705627705628</v>
      </c>
      <c r="G82" s="1213"/>
      <c r="H82" s="235">
        <v>36</v>
      </c>
      <c r="I82" s="236">
        <v>3.5</v>
      </c>
      <c r="J82" s="233">
        <f t="shared" si="29"/>
        <v>126</v>
      </c>
      <c r="K82" s="233">
        <v>18</v>
      </c>
      <c r="L82" s="233">
        <f t="shared" si="41"/>
        <v>63</v>
      </c>
      <c r="M82" s="233">
        <f t="shared" si="42"/>
        <v>1155</v>
      </c>
      <c r="N82" s="233">
        <f t="shared" si="37"/>
        <v>0</v>
      </c>
      <c r="O82" s="548">
        <f t="shared" si="35"/>
        <v>0.45627705627705628</v>
      </c>
      <c r="P82" s="1205"/>
      <c r="Q82" s="449">
        <f t="shared" si="32"/>
        <v>65</v>
      </c>
      <c r="R82" s="1269"/>
      <c r="S82" s="237">
        <f t="shared" si="36"/>
        <v>592</v>
      </c>
      <c r="T82" s="1205"/>
      <c r="U82" s="237">
        <f t="shared" si="39"/>
        <v>563</v>
      </c>
      <c r="V82" s="1205"/>
      <c r="W82" s="238">
        <f t="shared" si="40"/>
        <v>0.51255411255411254</v>
      </c>
      <c r="X82" s="1199"/>
      <c r="Y82" s="205">
        <f t="shared" si="47"/>
        <v>0.51255411255411254</v>
      </c>
      <c r="Z82" s="1287"/>
      <c r="AB82" s="424"/>
      <c r="AC82" s="431"/>
      <c r="AD82" s="497" t="s">
        <v>166</v>
      </c>
      <c r="AE82" s="499">
        <v>65</v>
      </c>
      <c r="AF82" s="240"/>
      <c r="AG82" s="239"/>
      <c r="AH82" s="240"/>
      <c r="AI82" s="239"/>
      <c r="AJ82" s="240"/>
      <c r="AK82" s="239"/>
      <c r="AL82" s="240"/>
      <c r="AM82" s="239"/>
      <c r="AN82" s="240"/>
      <c r="AO82" s="239"/>
      <c r="AP82" s="240"/>
      <c r="AQ82" s="239"/>
      <c r="AR82" s="240"/>
      <c r="AS82" s="239"/>
      <c r="AT82" s="240"/>
      <c r="AU82" s="239"/>
      <c r="AV82" s="240"/>
      <c r="AW82" s="239"/>
      <c r="AX82" s="240"/>
      <c r="AY82" s="239"/>
      <c r="AZ82" s="240"/>
      <c r="BA82" s="239"/>
      <c r="BB82" s="240"/>
      <c r="BC82" s="239"/>
      <c r="BD82" s="240"/>
      <c r="BE82" s="239"/>
      <c r="BF82" s="240"/>
      <c r="BG82" s="241"/>
      <c r="BK82" s="231"/>
      <c r="BL82" s="231"/>
      <c r="BM82" s="231"/>
      <c r="BN82" s="231"/>
    </row>
    <row r="83" spans="1:262" ht="13.15">
      <c r="A83" s="253" t="s">
        <v>163</v>
      </c>
      <c r="B83" s="233" t="s">
        <v>168</v>
      </c>
      <c r="C83" s="234" t="s">
        <v>38</v>
      </c>
      <c r="D83" s="502">
        <v>255</v>
      </c>
      <c r="E83" s="502">
        <v>256</v>
      </c>
      <c r="F83" s="552">
        <f t="shared" si="34"/>
        <v>0.22164502164502164</v>
      </c>
      <c r="G83" s="1201">
        <f>G80/'Building Capability'!$D$14</f>
        <v>0.31575396825396829</v>
      </c>
      <c r="H83" s="235">
        <v>36</v>
      </c>
      <c r="I83" s="236">
        <v>3.5</v>
      </c>
      <c r="J83" s="233">
        <f t="shared" si="29"/>
        <v>126</v>
      </c>
      <c r="K83" s="233">
        <v>18</v>
      </c>
      <c r="L83" s="233">
        <f t="shared" si="41"/>
        <v>63</v>
      </c>
      <c r="M83" s="233">
        <f t="shared" si="42"/>
        <v>1155</v>
      </c>
      <c r="N83" s="233">
        <f t="shared" si="37"/>
        <v>0</v>
      </c>
      <c r="O83" s="548">
        <f t="shared" si="35"/>
        <v>0.22164502164502164</v>
      </c>
      <c r="P83" s="1193">
        <f>P80/'Building Capability'!$D$14</f>
        <v>0</v>
      </c>
      <c r="Q83" s="449">
        <f t="shared" si="32"/>
        <v>70</v>
      </c>
      <c r="R83" s="1270">
        <f>R80/'Building Capability'!$D$14</f>
        <v>4.6714285714285715E-2</v>
      </c>
      <c r="S83" s="237">
        <f t="shared" si="36"/>
        <v>326</v>
      </c>
      <c r="T83" s="1193">
        <f>T80/'Building Capability'!$D$14</f>
        <v>0.36246825396825394</v>
      </c>
      <c r="U83" s="237">
        <f t="shared" si="39"/>
        <v>829</v>
      </c>
      <c r="V83" s="1230">
        <f>V80/'Building Capability'!$D$14</f>
        <v>0.63669841269841265</v>
      </c>
      <c r="W83" s="238">
        <f t="shared" si="40"/>
        <v>0.28225108225108225</v>
      </c>
      <c r="X83" s="1199"/>
      <c r="Y83" s="205">
        <f t="shared" si="47"/>
        <v>0.28225108225108225</v>
      </c>
      <c r="Z83" s="1287"/>
      <c r="AB83" s="424"/>
      <c r="AC83" s="431"/>
      <c r="AD83" s="540" t="s">
        <v>169</v>
      </c>
      <c r="AE83" s="541">
        <v>70</v>
      </c>
      <c r="AF83" s="240"/>
      <c r="AG83" s="541"/>
      <c r="AH83" s="240"/>
      <c r="AI83" s="239"/>
      <c r="AJ83" s="240"/>
      <c r="AK83" s="239"/>
      <c r="AL83" s="240"/>
      <c r="AM83" s="239"/>
      <c r="AN83" s="240"/>
      <c r="AO83" s="239"/>
      <c r="AP83" s="240"/>
      <c r="AQ83" s="239"/>
      <c r="AR83" s="240"/>
      <c r="AS83" s="239"/>
      <c r="AT83" s="240"/>
      <c r="AU83" s="239"/>
      <c r="AV83" s="240"/>
      <c r="AW83" s="239"/>
      <c r="AX83" s="240"/>
      <c r="AY83" s="239"/>
      <c r="AZ83" s="240"/>
      <c r="BA83" s="239"/>
      <c r="BB83" s="240"/>
      <c r="BC83" s="239"/>
      <c r="BD83" s="240"/>
      <c r="BE83" s="239"/>
      <c r="BF83" s="240"/>
      <c r="BG83" s="241"/>
      <c r="BK83" s="231"/>
      <c r="BL83" s="231"/>
      <c r="BM83" s="231"/>
      <c r="BN83" s="231"/>
    </row>
    <row r="84" spans="1:262" ht="13.15">
      <c r="A84" s="256" t="s">
        <v>163</v>
      </c>
      <c r="B84" s="260" t="s">
        <v>170</v>
      </c>
      <c r="C84" s="257" t="s">
        <v>38</v>
      </c>
      <c r="D84" s="818">
        <v>212</v>
      </c>
      <c r="E84" s="818">
        <v>213</v>
      </c>
      <c r="F84" s="558">
        <f t="shared" si="34"/>
        <v>0.18441558441558442</v>
      </c>
      <c r="G84" s="1202"/>
      <c r="H84" s="258">
        <v>36</v>
      </c>
      <c r="I84" s="259">
        <v>3.5</v>
      </c>
      <c r="J84" s="260">
        <f t="shared" si="29"/>
        <v>126</v>
      </c>
      <c r="K84" s="260">
        <v>18</v>
      </c>
      <c r="L84" s="260">
        <f t="shared" si="41"/>
        <v>63</v>
      </c>
      <c r="M84" s="260">
        <f t="shared" si="42"/>
        <v>1155</v>
      </c>
      <c r="N84" s="260">
        <f t="shared" si="37"/>
        <v>0</v>
      </c>
      <c r="O84" s="549">
        <f t="shared" si="35"/>
        <v>0.18441558441558442</v>
      </c>
      <c r="P84" s="1195"/>
      <c r="Q84" s="568">
        <f t="shared" si="32"/>
        <v>70</v>
      </c>
      <c r="R84" s="1271"/>
      <c r="S84" s="261">
        <f t="shared" si="36"/>
        <v>283</v>
      </c>
      <c r="T84" s="1195"/>
      <c r="U84" s="261">
        <f t="shared" si="39"/>
        <v>872</v>
      </c>
      <c r="V84" s="1231"/>
      <c r="W84" s="262">
        <f t="shared" si="40"/>
        <v>0.24502164502164503</v>
      </c>
      <c r="X84" s="1200"/>
      <c r="Y84" s="263">
        <f t="shared" si="47"/>
        <v>0.24502164502164503</v>
      </c>
      <c r="Z84" s="1288"/>
      <c r="AB84" s="425"/>
      <c r="AC84" s="432"/>
      <c r="AD84" s="798" t="s">
        <v>169</v>
      </c>
      <c r="AE84" s="796">
        <v>70</v>
      </c>
      <c r="AF84" s="249"/>
      <c r="AG84" s="248"/>
      <c r="AH84" s="249"/>
      <c r="AI84" s="248"/>
      <c r="AJ84" s="249"/>
      <c r="AK84" s="248"/>
      <c r="AL84" s="249"/>
      <c r="AM84" s="248"/>
      <c r="AN84" s="249"/>
      <c r="AO84" s="248"/>
      <c r="AP84" s="249"/>
      <c r="AQ84" s="248"/>
      <c r="AR84" s="249"/>
      <c r="AS84" s="248"/>
      <c r="AT84" s="249"/>
      <c r="AU84" s="248"/>
      <c r="AV84" s="249"/>
      <c r="AW84" s="248"/>
      <c r="AX84" s="249"/>
      <c r="AY84" s="248"/>
      <c r="AZ84" s="249"/>
      <c r="BA84" s="248"/>
      <c r="BB84" s="249"/>
      <c r="BC84" s="248"/>
      <c r="BD84" s="249"/>
      <c r="BE84" s="248"/>
      <c r="BF84" s="249"/>
      <c r="BG84" s="250"/>
      <c r="BK84" s="231"/>
      <c r="BL84" s="231"/>
      <c r="BM84" s="231"/>
      <c r="BN84" s="231"/>
    </row>
    <row r="85" spans="1:262" ht="13.15">
      <c r="A85" s="251" t="s">
        <v>171</v>
      </c>
      <c r="B85" s="222" t="s">
        <v>172</v>
      </c>
      <c r="C85" s="223" t="s">
        <v>38</v>
      </c>
      <c r="D85" s="226">
        <v>376</v>
      </c>
      <c r="E85" s="226">
        <v>360</v>
      </c>
      <c r="F85" s="544">
        <f t="shared" si="34"/>
        <v>0.31168831168831168</v>
      </c>
      <c r="G85" s="1203">
        <f>SUM(E85:E88)*54.5/1000</f>
        <v>92.704499999999996</v>
      </c>
      <c r="H85" s="224">
        <v>36</v>
      </c>
      <c r="I85" s="225">
        <v>3.5</v>
      </c>
      <c r="J85" s="222">
        <f t="shared" si="29"/>
        <v>126</v>
      </c>
      <c r="K85" s="222">
        <v>18</v>
      </c>
      <c r="L85" s="222">
        <f t="shared" si="41"/>
        <v>63</v>
      </c>
      <c r="M85" s="222">
        <f t="shared" si="42"/>
        <v>1155</v>
      </c>
      <c r="N85" s="222">
        <f t="shared" si="37"/>
        <v>0</v>
      </c>
      <c r="O85" s="550">
        <f t="shared" si="35"/>
        <v>0.31168831168831168</v>
      </c>
      <c r="P85" s="1203">
        <f>SUM(N85:N88)*54.5/1000</f>
        <v>0</v>
      </c>
      <c r="Q85" s="789">
        <f t="shared" si="32"/>
        <v>0</v>
      </c>
      <c r="R85" s="1272">
        <f>SUM(Q85:Q88)*54.5/1000</f>
        <v>18.748000000000001</v>
      </c>
      <c r="S85" s="286">
        <f t="shared" si="36"/>
        <v>360</v>
      </c>
      <c r="T85" s="1203">
        <f>SUM(S85:S88)*54.5/1000</f>
        <v>111.4525</v>
      </c>
      <c r="U85" s="226">
        <f t="shared" si="39"/>
        <v>795</v>
      </c>
      <c r="V85" s="1203">
        <f>SUM(U85:U88)*54.5/1000</f>
        <v>140.33750000000001</v>
      </c>
      <c r="W85" s="227">
        <f t="shared" si="40"/>
        <v>0.31168831168831168</v>
      </c>
      <c r="X85" s="1198">
        <f>(G85+P85+R85)/'Building Capability'!$D$15</f>
        <v>0.44227182539682541</v>
      </c>
      <c r="Y85" s="252">
        <f t="shared" si="47"/>
        <v>0.31168831168831168</v>
      </c>
      <c r="Z85" s="1307">
        <f>(G85+P85+R85)/'Building Capability'!$F$15</f>
        <v>0.37150833333333333</v>
      </c>
      <c r="AB85" s="426"/>
      <c r="AC85" s="433"/>
      <c r="AD85" s="229"/>
      <c r="AE85" s="228"/>
      <c r="AF85" s="229"/>
      <c r="AG85" s="228"/>
      <c r="AH85" s="229"/>
      <c r="AI85" s="228"/>
      <c r="AJ85" s="229"/>
      <c r="AK85" s="228"/>
      <c r="AL85" s="229"/>
      <c r="AM85" s="228"/>
      <c r="AN85" s="229"/>
      <c r="AO85" s="228"/>
      <c r="AP85" s="229"/>
      <c r="AQ85" s="228"/>
      <c r="AR85" s="240"/>
      <c r="AS85" s="228"/>
      <c r="AT85" s="229"/>
      <c r="AU85" s="228"/>
      <c r="AV85" s="229"/>
      <c r="AW85" s="228"/>
      <c r="AX85" s="229"/>
      <c r="AY85" s="228"/>
      <c r="AZ85" s="229"/>
      <c r="BA85" s="228"/>
      <c r="BB85" s="229"/>
      <c r="BC85" s="228"/>
      <c r="BD85" s="229"/>
      <c r="BE85" s="228"/>
      <c r="BF85" s="229"/>
      <c r="BG85" s="230"/>
      <c r="BK85" s="231"/>
      <c r="BL85" s="231"/>
      <c r="BM85" s="231"/>
      <c r="BN85" s="231"/>
    </row>
    <row r="86" spans="1:262" ht="13.15">
      <c r="A86" s="253" t="s">
        <v>171</v>
      </c>
      <c r="B86" s="233" t="s">
        <v>173</v>
      </c>
      <c r="C86" s="234" t="s">
        <v>38</v>
      </c>
      <c r="D86" s="237">
        <v>555</v>
      </c>
      <c r="E86" s="237">
        <v>521</v>
      </c>
      <c r="F86" s="546">
        <f t="shared" si="34"/>
        <v>0.45108225108225108</v>
      </c>
      <c r="G86" s="1205"/>
      <c r="H86" s="235">
        <v>36</v>
      </c>
      <c r="I86" s="236">
        <v>3.5</v>
      </c>
      <c r="J86" s="233">
        <f t="shared" si="29"/>
        <v>126</v>
      </c>
      <c r="K86" s="233">
        <v>18</v>
      </c>
      <c r="L86" s="233">
        <f t="shared" si="41"/>
        <v>63</v>
      </c>
      <c r="M86" s="233">
        <f t="shared" si="42"/>
        <v>1155</v>
      </c>
      <c r="N86" s="233">
        <f t="shared" si="37"/>
        <v>0</v>
      </c>
      <c r="O86" s="548">
        <f t="shared" si="35"/>
        <v>0.45108225108225108</v>
      </c>
      <c r="P86" s="1205"/>
      <c r="Q86" s="790">
        <f t="shared" si="32"/>
        <v>172</v>
      </c>
      <c r="R86" s="1274"/>
      <c r="S86" s="237">
        <f t="shared" si="36"/>
        <v>693</v>
      </c>
      <c r="T86" s="1205"/>
      <c r="U86" s="237">
        <f t="shared" si="39"/>
        <v>462</v>
      </c>
      <c r="V86" s="1205"/>
      <c r="W86" s="238">
        <f t="shared" si="40"/>
        <v>0.6</v>
      </c>
      <c r="X86" s="1199"/>
      <c r="Y86" s="205">
        <f t="shared" si="47"/>
        <v>0.6</v>
      </c>
      <c r="Z86" s="1287"/>
      <c r="AB86" s="424"/>
      <c r="AC86" s="431"/>
      <c r="AD86" s="497" t="s">
        <v>174</v>
      </c>
      <c r="AE86" s="499">
        <v>107</v>
      </c>
      <c r="AF86" s="497" t="s">
        <v>175</v>
      </c>
      <c r="AG86" s="499">
        <v>65</v>
      </c>
      <c r="AH86" s="497"/>
      <c r="AI86" s="499"/>
      <c r="AJ86" s="240"/>
      <c r="AK86" s="239"/>
      <c r="AL86" s="240"/>
      <c r="AM86" s="239"/>
      <c r="AN86" s="240"/>
      <c r="AO86" s="239"/>
      <c r="AP86" s="240"/>
      <c r="AQ86" s="239"/>
      <c r="AR86" s="240"/>
      <c r="AS86" s="239"/>
      <c r="AT86" s="240"/>
      <c r="AU86" s="239"/>
      <c r="AV86" s="240"/>
      <c r="AW86" s="239"/>
      <c r="AX86" s="240"/>
      <c r="AY86" s="239"/>
      <c r="AZ86" s="240"/>
      <c r="BA86" s="239"/>
      <c r="BB86" s="240"/>
      <c r="BC86" s="239"/>
      <c r="BD86" s="240"/>
      <c r="BE86" s="239"/>
      <c r="BF86" s="240"/>
      <c r="BG86" s="241"/>
      <c r="BK86" s="231"/>
      <c r="BL86" s="231"/>
      <c r="BM86" s="231"/>
      <c r="BN86" s="231"/>
    </row>
    <row r="87" spans="1:262" ht="13.15">
      <c r="A87" s="253" t="s">
        <v>171</v>
      </c>
      <c r="B87" s="233" t="s">
        <v>176</v>
      </c>
      <c r="C87" s="234" t="s">
        <v>38</v>
      </c>
      <c r="D87" s="1009">
        <v>487</v>
      </c>
      <c r="E87" s="1009">
        <v>476</v>
      </c>
      <c r="F87" s="620">
        <f t="shared" si="34"/>
        <v>0.41212121212121211</v>
      </c>
      <c r="G87" s="1294">
        <f>G85/'Building Capability'!$D$15</f>
        <v>0.36787500000000001</v>
      </c>
      <c r="H87" s="235">
        <v>36</v>
      </c>
      <c r="I87" s="236">
        <v>3.5</v>
      </c>
      <c r="J87" s="233">
        <f t="shared" si="29"/>
        <v>126</v>
      </c>
      <c r="K87" s="233">
        <v>18</v>
      </c>
      <c r="L87" s="233">
        <f t="shared" si="41"/>
        <v>63</v>
      </c>
      <c r="M87" s="233">
        <f t="shared" si="42"/>
        <v>1155</v>
      </c>
      <c r="N87" s="233">
        <f t="shared" si="37"/>
        <v>0</v>
      </c>
      <c r="O87" s="548">
        <f t="shared" si="35"/>
        <v>0.41212121212121211</v>
      </c>
      <c r="P87" s="1193">
        <f>P85/'Building Capability'!$D$15</f>
        <v>0</v>
      </c>
      <c r="Q87" s="791">
        <f t="shared" si="32"/>
        <v>172</v>
      </c>
      <c r="R87" s="1230">
        <f>R85/'Building Capability'!$D$15</f>
        <v>7.4396825396825406E-2</v>
      </c>
      <c r="S87" s="237">
        <f t="shared" si="36"/>
        <v>648</v>
      </c>
      <c r="T87" s="1193">
        <f>T85/'Building Capability'!$D$15</f>
        <v>0.44227182539682541</v>
      </c>
      <c r="U87" s="237">
        <f t="shared" si="39"/>
        <v>507</v>
      </c>
      <c r="V87" s="1230">
        <f>V85/'Building Capability'!$D$15</f>
        <v>0.55689484126984135</v>
      </c>
      <c r="W87" s="238">
        <f t="shared" si="40"/>
        <v>0.561038961038961</v>
      </c>
      <c r="X87" s="1199"/>
      <c r="Y87" s="205">
        <f t="shared" si="47"/>
        <v>0.561038961038961</v>
      </c>
      <c r="Z87" s="1287"/>
      <c r="AB87" s="424"/>
      <c r="AC87" s="431"/>
      <c r="AD87" s="497" t="s">
        <v>174</v>
      </c>
      <c r="AE87" s="499">
        <v>107</v>
      </c>
      <c r="AF87" s="497" t="s">
        <v>177</v>
      </c>
      <c r="AG87" s="499">
        <v>65</v>
      </c>
      <c r="AH87" s="540"/>
      <c r="AI87" s="541"/>
      <c r="AJ87" s="240"/>
      <c r="AK87" s="239"/>
      <c r="AL87" s="240"/>
      <c r="AM87" s="239"/>
      <c r="AN87" s="240"/>
      <c r="AO87" s="239"/>
      <c r="AP87" s="240"/>
      <c r="AQ87" s="239"/>
      <c r="AR87" s="240"/>
      <c r="AS87" s="239"/>
      <c r="AT87" s="240"/>
      <c r="AU87" s="239"/>
      <c r="AV87" s="240"/>
      <c r="AW87" s="239"/>
      <c r="AX87" s="240"/>
      <c r="AY87" s="239"/>
      <c r="AZ87" s="240"/>
      <c r="BA87" s="239"/>
      <c r="BB87" s="240"/>
      <c r="BC87" s="239"/>
      <c r="BD87" s="240"/>
      <c r="BE87" s="239"/>
      <c r="BF87" s="240"/>
      <c r="BG87" s="241"/>
      <c r="BK87" s="231"/>
      <c r="BL87" s="231"/>
      <c r="BM87" s="231"/>
      <c r="BN87" s="231"/>
    </row>
    <row r="88" spans="1:262" ht="13.9" thickBot="1">
      <c r="A88" s="256" t="s">
        <v>171</v>
      </c>
      <c r="B88" s="260" t="s">
        <v>178</v>
      </c>
      <c r="C88" s="257" t="s">
        <v>38</v>
      </c>
      <c r="D88" s="261">
        <v>348</v>
      </c>
      <c r="E88" s="261">
        <v>344</v>
      </c>
      <c r="F88" s="1008">
        <f t="shared" si="34"/>
        <v>0.29783549783549784</v>
      </c>
      <c r="G88" s="1295"/>
      <c r="H88" s="258">
        <v>36</v>
      </c>
      <c r="I88" s="259">
        <v>3.5</v>
      </c>
      <c r="J88" s="260">
        <f t="shared" si="29"/>
        <v>126</v>
      </c>
      <c r="K88" s="260">
        <v>18</v>
      </c>
      <c r="L88" s="260">
        <f t="shared" si="41"/>
        <v>63</v>
      </c>
      <c r="M88" s="260">
        <f t="shared" si="42"/>
        <v>1155</v>
      </c>
      <c r="N88" s="260">
        <f t="shared" si="37"/>
        <v>0</v>
      </c>
      <c r="O88" s="549">
        <f t="shared" si="35"/>
        <v>0.29783549783549784</v>
      </c>
      <c r="P88" s="1195"/>
      <c r="Q88" s="792">
        <f t="shared" si="32"/>
        <v>0</v>
      </c>
      <c r="R88" s="1297"/>
      <c r="S88" s="261">
        <f t="shared" si="36"/>
        <v>344</v>
      </c>
      <c r="T88" s="1195"/>
      <c r="U88" s="261">
        <f t="shared" si="39"/>
        <v>811</v>
      </c>
      <c r="V88" s="1231"/>
      <c r="W88" s="262">
        <f t="shared" si="40"/>
        <v>0.29783549783549784</v>
      </c>
      <c r="X88" s="1200"/>
      <c r="Y88" s="263">
        <f t="shared" si="47"/>
        <v>0.29783549783549784</v>
      </c>
      <c r="Z88" s="1288"/>
      <c r="AB88" s="425"/>
      <c r="AC88" s="432"/>
      <c r="AD88" s="249"/>
      <c r="AE88" s="248"/>
      <c r="AF88" s="249"/>
      <c r="AG88" s="248"/>
      <c r="AH88" s="249"/>
      <c r="AI88" s="248"/>
      <c r="AJ88" s="249"/>
      <c r="AK88" s="248"/>
      <c r="AL88" s="249"/>
      <c r="AM88" s="248"/>
      <c r="AN88" s="249"/>
      <c r="AO88" s="248"/>
      <c r="AP88" s="249"/>
      <c r="AQ88" s="248"/>
      <c r="AR88" s="249"/>
      <c r="AS88" s="248"/>
      <c r="AT88" s="249"/>
      <c r="AU88" s="248"/>
      <c r="AV88" s="249"/>
      <c r="AW88" s="248"/>
      <c r="AX88" s="249"/>
      <c r="AY88" s="248"/>
      <c r="AZ88" s="249"/>
      <c r="BA88" s="248"/>
      <c r="BB88" s="249"/>
      <c r="BC88" s="248"/>
      <c r="BD88" s="249"/>
      <c r="BE88" s="248"/>
      <c r="BF88" s="249"/>
      <c r="BG88" s="250"/>
      <c r="BK88" s="231"/>
      <c r="BL88" s="231"/>
      <c r="BM88" s="231"/>
      <c r="BN88" s="231"/>
    </row>
    <row r="89" spans="1:262" ht="13.15">
      <c r="A89" s="251" t="s">
        <v>179</v>
      </c>
      <c r="B89" s="222" t="s">
        <v>180</v>
      </c>
      <c r="C89" s="223" t="s">
        <v>38</v>
      </c>
      <c r="D89" s="815">
        <v>544</v>
      </c>
      <c r="E89" s="815">
        <v>547</v>
      </c>
      <c r="F89" s="551">
        <f t="shared" si="34"/>
        <v>0.47359307359307357</v>
      </c>
      <c r="G89" s="1212">
        <f>SUM(E89:E93)*54.5/1000</f>
        <v>109.872</v>
      </c>
      <c r="H89" s="224">
        <v>36</v>
      </c>
      <c r="I89" s="225">
        <v>3.5</v>
      </c>
      <c r="J89" s="222">
        <f t="shared" si="29"/>
        <v>126</v>
      </c>
      <c r="K89" s="222">
        <v>18</v>
      </c>
      <c r="L89" s="222">
        <f t="shared" si="41"/>
        <v>63</v>
      </c>
      <c r="M89" s="222">
        <f t="shared" si="42"/>
        <v>1155</v>
      </c>
      <c r="N89" s="222">
        <f t="shared" si="37"/>
        <v>0</v>
      </c>
      <c r="O89" s="550">
        <f t="shared" si="35"/>
        <v>0.47359307359307357</v>
      </c>
      <c r="P89" s="1212">
        <f>SUM(N89:N93)*54.5/1000</f>
        <v>0</v>
      </c>
      <c r="Q89" s="793">
        <f t="shared" si="32"/>
        <v>0</v>
      </c>
      <c r="R89" s="1277">
        <f>SUM(Q89:Q93)*54.5/1000</f>
        <v>0</v>
      </c>
      <c r="S89" s="286">
        <f t="shared" si="36"/>
        <v>547</v>
      </c>
      <c r="T89" s="1203">
        <f>SUM(S89:S93)*54.5/1000</f>
        <v>109.872</v>
      </c>
      <c r="U89" s="226">
        <f t="shared" si="39"/>
        <v>608</v>
      </c>
      <c r="V89" s="1203">
        <f>SUM(U89:U93)*54.5/1000</f>
        <v>193.911</v>
      </c>
      <c r="W89" s="227">
        <f t="shared" si="40"/>
        <v>0.47359307359307357</v>
      </c>
      <c r="X89" s="1198">
        <f>(G89+P89+R89)/'Building Capability'!$D$16</f>
        <v>0.36142105263157892</v>
      </c>
      <c r="Y89" s="205">
        <f t="shared" si="47"/>
        <v>0.47359307359307357</v>
      </c>
      <c r="Z89" s="1286">
        <f>(G89+P89+R89)/'Building Capability'!$F$16</f>
        <v>0.36082758620689653</v>
      </c>
      <c r="AB89" s="426"/>
      <c r="AC89" s="433"/>
      <c r="AD89" s="229"/>
      <c r="AE89" s="228"/>
      <c r="AF89" s="229"/>
      <c r="AG89" s="228"/>
      <c r="AH89" s="229"/>
      <c r="AI89" s="228"/>
      <c r="AJ89" s="229"/>
      <c r="AK89" s="228"/>
      <c r="AL89" s="229"/>
      <c r="AM89" s="228"/>
      <c r="AN89" s="229"/>
      <c r="AO89" s="228"/>
      <c r="AP89" s="229"/>
      <c r="AQ89" s="228"/>
      <c r="AR89" s="240"/>
      <c r="AS89" s="228"/>
      <c r="AT89" s="229"/>
      <c r="AU89" s="228"/>
      <c r="AV89" s="229"/>
      <c r="AW89" s="228"/>
      <c r="AX89" s="229"/>
      <c r="AY89" s="228"/>
      <c r="AZ89" s="229"/>
      <c r="BA89" s="228"/>
      <c r="BB89" s="229"/>
      <c r="BC89" s="228"/>
      <c r="BD89" s="229"/>
      <c r="BE89" s="228"/>
      <c r="BF89" s="229"/>
      <c r="BG89" s="230"/>
      <c r="BK89" s="231"/>
      <c r="BL89" s="231"/>
      <c r="BM89" s="231"/>
      <c r="BN89" s="231"/>
    </row>
    <row r="90" spans="1:262" ht="13.15">
      <c r="A90" s="253" t="s">
        <v>179</v>
      </c>
      <c r="B90" s="233" t="s">
        <v>181</v>
      </c>
      <c r="C90" s="234" t="s">
        <v>38</v>
      </c>
      <c r="D90" s="237">
        <v>471</v>
      </c>
      <c r="E90" s="237">
        <v>470</v>
      </c>
      <c r="F90" s="545">
        <f t="shared" si="34"/>
        <v>0.40692640692640691</v>
      </c>
      <c r="G90" s="1213"/>
      <c r="H90" s="235">
        <v>36</v>
      </c>
      <c r="I90" s="236">
        <v>3.5</v>
      </c>
      <c r="J90" s="233">
        <f t="shared" si="29"/>
        <v>126</v>
      </c>
      <c r="K90" s="233">
        <v>18</v>
      </c>
      <c r="L90" s="233">
        <f t="shared" si="41"/>
        <v>63</v>
      </c>
      <c r="M90" s="233">
        <f t="shared" si="42"/>
        <v>1155</v>
      </c>
      <c r="N90" s="233">
        <f t="shared" si="37"/>
        <v>0</v>
      </c>
      <c r="O90" s="548">
        <f t="shared" si="35"/>
        <v>0.40692640692640691</v>
      </c>
      <c r="P90" s="1213"/>
      <c r="Q90" s="790">
        <f t="shared" si="32"/>
        <v>0</v>
      </c>
      <c r="R90" s="1278"/>
      <c r="S90" s="237">
        <f t="shared" si="36"/>
        <v>470</v>
      </c>
      <c r="T90" s="1204"/>
      <c r="U90" s="237">
        <f t="shared" si="39"/>
        <v>685</v>
      </c>
      <c r="V90" s="1204"/>
      <c r="W90" s="238">
        <f t="shared" si="40"/>
        <v>0.40692640692640691</v>
      </c>
      <c r="X90" s="1199"/>
      <c r="Y90" s="205">
        <f t="shared" si="47"/>
        <v>0.40692640692640691</v>
      </c>
      <c r="Z90" s="1287"/>
      <c r="AB90" s="424"/>
      <c r="AC90" s="431"/>
      <c r="AD90" s="240"/>
      <c r="AE90" s="239"/>
      <c r="AF90" s="240"/>
      <c r="AG90" s="239"/>
      <c r="AH90" s="240"/>
      <c r="AI90" s="239"/>
      <c r="AJ90" s="240"/>
      <c r="AK90" s="239"/>
      <c r="AL90" s="240"/>
      <c r="AM90" s="239"/>
      <c r="AN90" s="240"/>
      <c r="AO90" s="239"/>
      <c r="AP90" s="240"/>
      <c r="AQ90" s="239"/>
      <c r="AR90" s="240"/>
      <c r="AS90" s="239"/>
      <c r="AT90" s="240"/>
      <c r="AU90" s="239"/>
      <c r="AV90" s="240"/>
      <c r="AW90" s="239"/>
      <c r="AX90" s="240"/>
      <c r="AY90" s="239"/>
      <c r="AZ90" s="240"/>
      <c r="BA90" s="239"/>
      <c r="BB90" s="240"/>
      <c r="BC90" s="239"/>
      <c r="BD90" s="240"/>
      <c r="BE90" s="239"/>
      <c r="BF90" s="240"/>
      <c r="BG90" s="241"/>
      <c r="BK90" s="231"/>
      <c r="BL90" s="231"/>
      <c r="BM90" s="231"/>
      <c r="BN90" s="231"/>
    </row>
    <row r="91" spans="1:262" ht="13.15">
      <c r="A91" s="253" t="s">
        <v>179</v>
      </c>
      <c r="B91" s="233" t="s">
        <v>182</v>
      </c>
      <c r="C91" s="234" t="s">
        <v>38</v>
      </c>
      <c r="D91" s="502">
        <v>385</v>
      </c>
      <c r="E91" s="502">
        <v>402</v>
      </c>
      <c r="F91" s="552">
        <f t="shared" si="34"/>
        <v>0.34805194805194806</v>
      </c>
      <c r="G91" s="1213"/>
      <c r="H91" s="235">
        <v>36</v>
      </c>
      <c r="I91" s="236">
        <v>3.5</v>
      </c>
      <c r="J91" s="233">
        <f t="shared" si="29"/>
        <v>126</v>
      </c>
      <c r="K91" s="233">
        <v>18</v>
      </c>
      <c r="L91" s="233">
        <f t="shared" si="41"/>
        <v>63</v>
      </c>
      <c r="M91" s="233">
        <f t="shared" si="42"/>
        <v>1155</v>
      </c>
      <c r="N91" s="233">
        <f t="shared" si="37"/>
        <v>0</v>
      </c>
      <c r="O91" s="548">
        <f t="shared" si="35"/>
        <v>0.34805194805194806</v>
      </c>
      <c r="P91" s="1213"/>
      <c r="Q91" s="790">
        <f t="shared" si="32"/>
        <v>0</v>
      </c>
      <c r="R91" s="1278"/>
      <c r="S91" s="237">
        <f t="shared" si="36"/>
        <v>402</v>
      </c>
      <c r="T91" s="1205"/>
      <c r="U91" s="237">
        <f t="shared" si="39"/>
        <v>753</v>
      </c>
      <c r="V91" s="1205"/>
      <c r="W91" s="238">
        <f t="shared" si="40"/>
        <v>0.34805194805194806</v>
      </c>
      <c r="X91" s="1199"/>
      <c r="Y91" s="205">
        <f t="shared" si="47"/>
        <v>0.34805194805194806</v>
      </c>
      <c r="Z91" s="1287"/>
      <c r="AB91" s="424"/>
      <c r="AC91" s="431"/>
      <c r="AD91" s="540"/>
      <c r="AE91" s="541"/>
      <c r="AF91" s="240"/>
      <c r="AG91" s="239"/>
      <c r="AH91" s="240"/>
      <c r="AI91" s="239"/>
      <c r="AJ91" s="240"/>
      <c r="AK91" s="239"/>
      <c r="AL91" s="240"/>
      <c r="AM91" s="239"/>
      <c r="AN91" s="240"/>
      <c r="AO91" s="239"/>
      <c r="AP91" s="240"/>
      <c r="AQ91" s="239"/>
      <c r="AR91" s="240"/>
      <c r="AS91" s="239"/>
      <c r="AT91" s="240"/>
      <c r="AU91" s="239"/>
      <c r="AV91" s="240"/>
      <c r="AW91" s="239"/>
      <c r="AX91" s="240"/>
      <c r="AY91" s="239"/>
      <c r="AZ91" s="240"/>
      <c r="BA91" s="239"/>
      <c r="BB91" s="240"/>
      <c r="BC91" s="239"/>
      <c r="BD91" s="240"/>
      <c r="BE91" s="239"/>
      <c r="BF91" s="240"/>
      <c r="BG91" s="241"/>
      <c r="BK91" s="231"/>
      <c r="BL91" s="231"/>
      <c r="BM91" s="231"/>
      <c r="BN91" s="231"/>
    </row>
    <row r="92" spans="1:262" ht="13.15">
      <c r="A92" s="253" t="s">
        <v>179</v>
      </c>
      <c r="B92" s="233" t="s">
        <v>183</v>
      </c>
      <c r="C92" s="234" t="s">
        <v>38</v>
      </c>
      <c r="D92" s="502">
        <v>300</v>
      </c>
      <c r="E92" s="502">
        <v>281</v>
      </c>
      <c r="F92" s="552">
        <f t="shared" si="34"/>
        <v>0.24329004329004328</v>
      </c>
      <c r="G92" s="1201">
        <f>G89/'Building Capability'!$D$16</f>
        <v>0.36142105263157892</v>
      </c>
      <c r="H92" s="235">
        <v>36</v>
      </c>
      <c r="I92" s="236">
        <v>3.5</v>
      </c>
      <c r="J92" s="233">
        <f t="shared" si="29"/>
        <v>126</v>
      </c>
      <c r="K92" s="233">
        <v>18</v>
      </c>
      <c r="L92" s="233">
        <f t="shared" si="41"/>
        <v>63</v>
      </c>
      <c r="M92" s="233">
        <f t="shared" si="42"/>
        <v>1155</v>
      </c>
      <c r="N92" s="233">
        <f t="shared" si="37"/>
        <v>0</v>
      </c>
      <c r="O92" s="548">
        <f t="shared" si="35"/>
        <v>0.24329004329004328</v>
      </c>
      <c r="P92" s="1296">
        <f>P89/'Building Capability'!$D$16</f>
        <v>0</v>
      </c>
      <c r="Q92" s="790">
        <f t="shared" si="32"/>
        <v>0</v>
      </c>
      <c r="R92" s="1279">
        <f>R89/'Building Capability'!$D$16</f>
        <v>0</v>
      </c>
      <c r="S92" s="237">
        <f t="shared" si="36"/>
        <v>281</v>
      </c>
      <c r="T92" s="1193">
        <f>T89/'Building Capability'!$D$16</f>
        <v>0.36142105263157892</v>
      </c>
      <c r="U92" s="237">
        <f t="shared" si="39"/>
        <v>874</v>
      </c>
      <c r="V92" s="1230">
        <f>V89/'Building Capability'!$D$16</f>
        <v>0.63786513157894742</v>
      </c>
      <c r="W92" s="238">
        <f t="shared" si="40"/>
        <v>0.24329004329004328</v>
      </c>
      <c r="X92" s="1199"/>
      <c r="Y92" s="205">
        <f t="shared" si="47"/>
        <v>0.24329004329004328</v>
      </c>
      <c r="Z92" s="1287"/>
      <c r="AB92" s="424"/>
      <c r="AC92" s="431"/>
      <c r="AD92" s="240"/>
      <c r="AE92" s="239"/>
      <c r="AF92" s="240"/>
      <c r="AG92" s="239"/>
      <c r="AH92" s="240"/>
      <c r="AI92" s="239"/>
      <c r="AJ92" s="240"/>
      <c r="AK92" s="239"/>
      <c r="AL92" s="240"/>
      <c r="AM92" s="239"/>
      <c r="AN92" s="240"/>
      <c r="AO92" s="239"/>
      <c r="AP92" s="240"/>
      <c r="AQ92" s="239"/>
      <c r="AR92" s="240"/>
      <c r="AS92" s="239"/>
      <c r="AT92" s="240"/>
      <c r="AU92" s="239"/>
      <c r="AV92" s="240"/>
      <c r="AW92" s="239"/>
      <c r="AX92" s="240"/>
      <c r="AY92" s="239"/>
      <c r="AZ92" s="240"/>
      <c r="BA92" s="239"/>
      <c r="BB92" s="240"/>
      <c r="BC92" s="239"/>
      <c r="BD92" s="240"/>
      <c r="BE92" s="239"/>
      <c r="BF92" s="240"/>
      <c r="BG92" s="241"/>
      <c r="BK92" s="231"/>
      <c r="BL92" s="231"/>
      <c r="BM92" s="231"/>
      <c r="BN92" s="231"/>
    </row>
    <row r="93" spans="1:262" s="278" customFormat="1" ht="13.9" thickBot="1">
      <c r="A93" s="264" t="s">
        <v>179</v>
      </c>
      <c r="B93" s="218" t="s">
        <v>184</v>
      </c>
      <c r="C93" s="244" t="s">
        <v>38</v>
      </c>
      <c r="D93" s="820">
        <v>311</v>
      </c>
      <c r="E93" s="820">
        <v>316</v>
      </c>
      <c r="F93" s="553">
        <f t="shared" si="34"/>
        <v>0.33123689727463312</v>
      </c>
      <c r="G93" s="1214"/>
      <c r="H93" s="245">
        <v>30</v>
      </c>
      <c r="I93" s="246">
        <v>3.5</v>
      </c>
      <c r="J93" s="218">
        <f t="shared" si="29"/>
        <v>105</v>
      </c>
      <c r="K93" s="218">
        <v>15</v>
      </c>
      <c r="L93" s="218">
        <f t="shared" si="41"/>
        <v>52</v>
      </c>
      <c r="M93" s="218">
        <f t="shared" si="42"/>
        <v>954</v>
      </c>
      <c r="N93" s="218">
        <f t="shared" si="37"/>
        <v>0</v>
      </c>
      <c r="O93" s="571">
        <f t="shared" si="35"/>
        <v>0.33123689727463312</v>
      </c>
      <c r="P93" s="1184"/>
      <c r="Q93" s="790">
        <f t="shared" si="32"/>
        <v>0</v>
      </c>
      <c r="R93" s="1289"/>
      <c r="S93" s="217">
        <f t="shared" si="36"/>
        <v>316</v>
      </c>
      <c r="T93" s="1233"/>
      <c r="U93" s="217">
        <f t="shared" si="39"/>
        <v>638</v>
      </c>
      <c r="V93" s="1231"/>
      <c r="W93" s="247">
        <f t="shared" si="40"/>
        <v>0.33123689727463312</v>
      </c>
      <c r="X93" s="1290"/>
      <c r="Y93" s="205">
        <f t="shared" si="47"/>
        <v>0.33123689727463312</v>
      </c>
      <c r="Z93" s="1288"/>
      <c r="AA93" s="205"/>
      <c r="AB93" s="425"/>
      <c r="AC93" s="432"/>
      <c r="AD93" s="249"/>
      <c r="AE93" s="248"/>
      <c r="AF93" s="249"/>
      <c r="AG93" s="248"/>
      <c r="AH93" s="249"/>
      <c r="AI93" s="248"/>
      <c r="AJ93" s="249"/>
      <c r="AK93" s="248"/>
      <c r="AL93" s="249"/>
      <c r="AM93" s="248"/>
      <c r="AN93" s="249"/>
      <c r="AO93" s="248"/>
      <c r="AP93" s="249"/>
      <c r="AQ93" s="248"/>
      <c r="AR93" s="249"/>
      <c r="AS93" s="248"/>
      <c r="AT93" s="249"/>
      <c r="AU93" s="248"/>
      <c r="AV93" s="249"/>
      <c r="AW93" s="248"/>
      <c r="AX93" s="249"/>
      <c r="AY93" s="248"/>
      <c r="AZ93" s="249"/>
      <c r="BA93" s="248"/>
      <c r="BB93" s="249"/>
      <c r="BC93" s="248"/>
      <c r="BD93" s="249"/>
      <c r="BE93" s="248"/>
      <c r="BF93" s="249"/>
      <c r="BG93" s="241"/>
      <c r="BH93" s="205"/>
      <c r="BI93" s="205"/>
      <c r="BJ93" s="205"/>
      <c r="BK93" s="231"/>
      <c r="BL93" s="231"/>
      <c r="BM93" s="231"/>
      <c r="BN93" s="231"/>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205"/>
      <c r="IR93" s="205"/>
      <c r="IS93" s="205"/>
      <c r="IT93" s="205"/>
      <c r="IU93" s="205"/>
      <c r="IV93" s="205"/>
      <c r="IW93" s="205"/>
      <c r="IX93" s="205"/>
      <c r="IY93" s="205"/>
      <c r="IZ93" s="205"/>
      <c r="JA93" s="205"/>
      <c r="JB93" s="205"/>
    </row>
    <row r="94" spans="1:262" ht="13.15">
      <c r="A94" s="621" t="s">
        <v>185</v>
      </c>
      <c r="B94" s="622" t="s">
        <v>186</v>
      </c>
      <c r="C94" s="623" t="s">
        <v>187</v>
      </c>
      <c r="D94" s="627">
        <v>475</v>
      </c>
      <c r="E94" s="627">
        <v>471</v>
      </c>
      <c r="F94" s="624">
        <f t="shared" si="34"/>
        <v>0.45071770334928229</v>
      </c>
      <c r="G94" s="1246">
        <f>SUM(E94:E95)*54.5/1000</f>
        <v>43.817999999999998</v>
      </c>
      <c r="H94" s="625">
        <v>36</v>
      </c>
      <c r="I94" s="626">
        <v>3.2</v>
      </c>
      <c r="J94" s="627">
        <f t="shared" ref="J94:J100" si="48">INT(H94*I94)</f>
        <v>115</v>
      </c>
      <c r="K94" s="622">
        <v>18</v>
      </c>
      <c r="L94" s="622">
        <f t="shared" si="41"/>
        <v>57</v>
      </c>
      <c r="M94" s="622">
        <f t="shared" si="42"/>
        <v>1045</v>
      </c>
      <c r="N94" s="622">
        <f t="shared" si="37"/>
        <v>0</v>
      </c>
      <c r="O94" s="622"/>
      <c r="P94" s="1248">
        <f>SUM(N94:N95)*54.5/1000</f>
        <v>0</v>
      </c>
      <c r="Q94" s="791">
        <f t="shared" si="32"/>
        <v>41</v>
      </c>
      <c r="R94" s="806">
        <f>SUM(Q94:Q95)*54.5/1000</f>
        <v>5.0685000000000002</v>
      </c>
      <c r="S94" s="627">
        <f t="shared" si="36"/>
        <v>512</v>
      </c>
      <c r="T94" s="622"/>
      <c r="U94" s="627">
        <f t="shared" si="39"/>
        <v>533</v>
      </c>
      <c r="V94" s="1091">
        <f>SUM(U94:U95)*54.5/1000</f>
        <v>65.018500000000003</v>
      </c>
      <c r="W94" s="648">
        <f t="shared" si="40"/>
        <v>0.48995215311004786</v>
      </c>
      <c r="X94" s="1196"/>
      <c r="Y94" s="279"/>
      <c r="Z94" s="1291"/>
      <c r="AA94" s="279"/>
      <c r="AB94" s="426"/>
      <c r="AC94" s="433"/>
      <c r="AD94" s="497" t="s">
        <v>166</v>
      </c>
      <c r="AE94" s="499">
        <v>41</v>
      </c>
      <c r="AF94" s="497"/>
      <c r="AG94" s="499"/>
      <c r="AH94" s="240"/>
      <c r="AI94" s="239"/>
      <c r="AJ94" s="240"/>
      <c r="AK94" s="239"/>
      <c r="AL94" s="229"/>
      <c r="AM94" s="228"/>
      <c r="AN94" s="229"/>
      <c r="AO94" s="228"/>
      <c r="AP94" s="229"/>
      <c r="AQ94" s="228"/>
      <c r="AR94" s="240"/>
      <c r="AS94" s="228"/>
      <c r="AT94" s="229"/>
      <c r="AU94" s="228"/>
      <c r="AV94" s="229"/>
      <c r="AW94" s="228"/>
      <c r="AX94" s="229"/>
      <c r="AY94" s="228"/>
      <c r="AZ94" s="229"/>
      <c r="BA94" s="228"/>
      <c r="BB94" s="229"/>
      <c r="BC94" s="228"/>
      <c r="BD94" s="229"/>
      <c r="BE94" s="228"/>
      <c r="BF94" s="229"/>
      <c r="BG94" s="230"/>
      <c r="BK94" s="231"/>
      <c r="BL94" s="231"/>
      <c r="BM94" s="231"/>
      <c r="BN94" s="231"/>
    </row>
    <row r="95" spans="1:262" ht="13.9" thickBot="1">
      <c r="A95" s="638" t="s">
        <v>185</v>
      </c>
      <c r="B95" s="639" t="s">
        <v>188</v>
      </c>
      <c r="C95" s="640" t="s">
        <v>187</v>
      </c>
      <c r="D95" s="644">
        <v>329</v>
      </c>
      <c r="E95" s="644">
        <v>333</v>
      </c>
      <c r="F95" s="641">
        <f t="shared" si="34"/>
        <v>0.3186602870813397</v>
      </c>
      <c r="G95" s="1247"/>
      <c r="H95" s="642">
        <v>36</v>
      </c>
      <c r="I95" s="643">
        <v>3.2</v>
      </c>
      <c r="J95" s="644">
        <f t="shared" si="48"/>
        <v>115</v>
      </c>
      <c r="K95" s="639">
        <v>18</v>
      </c>
      <c r="L95" s="639">
        <f t="shared" si="41"/>
        <v>57</v>
      </c>
      <c r="M95" s="639">
        <f t="shared" si="42"/>
        <v>1045</v>
      </c>
      <c r="N95" s="639">
        <f t="shared" si="37"/>
        <v>0</v>
      </c>
      <c r="O95" s="639"/>
      <c r="P95" s="1250"/>
      <c r="Q95" s="792">
        <f t="shared" si="32"/>
        <v>52</v>
      </c>
      <c r="R95" s="799"/>
      <c r="S95" s="644">
        <f t="shared" si="36"/>
        <v>385</v>
      </c>
      <c r="T95" s="639"/>
      <c r="U95" s="644">
        <f t="shared" si="39"/>
        <v>660</v>
      </c>
      <c r="V95" s="857"/>
      <c r="W95" s="649">
        <f t="shared" si="40"/>
        <v>0.36842105263157893</v>
      </c>
      <c r="X95" s="1197"/>
      <c r="Y95" s="280"/>
      <c r="Z95" s="1292"/>
      <c r="AA95" s="279"/>
      <c r="AB95" s="424"/>
      <c r="AC95" s="431"/>
      <c r="AD95" s="497" t="s">
        <v>166</v>
      </c>
      <c r="AE95" s="499">
        <v>52</v>
      </c>
      <c r="AF95" s="497"/>
      <c r="AG95" s="499"/>
      <c r="AH95" s="240"/>
      <c r="AI95" s="239"/>
      <c r="AJ95" s="240"/>
      <c r="AK95" s="239"/>
      <c r="AL95" s="240"/>
      <c r="AM95" s="239"/>
      <c r="AN95" s="240"/>
      <c r="AO95" s="239"/>
      <c r="AP95" s="240"/>
      <c r="AQ95" s="239"/>
      <c r="AR95" s="240"/>
      <c r="AS95" s="239"/>
      <c r="AT95" s="240"/>
      <c r="AU95" s="239"/>
      <c r="AV95" s="240"/>
      <c r="AW95" s="239"/>
      <c r="AX95" s="240"/>
      <c r="AY95" s="239"/>
      <c r="AZ95" s="240"/>
      <c r="BA95" s="239"/>
      <c r="BB95" s="240"/>
      <c r="BC95" s="239"/>
      <c r="BD95" s="240"/>
      <c r="BE95" s="239"/>
      <c r="BF95" s="240"/>
      <c r="BG95" s="241"/>
      <c r="BK95" s="231"/>
      <c r="BL95" s="231"/>
      <c r="BM95" s="231"/>
      <c r="BN95" s="231"/>
    </row>
    <row r="96" spans="1:262" ht="13.15">
      <c r="A96" s="621" t="s">
        <v>189</v>
      </c>
      <c r="B96" s="622" t="s">
        <v>190</v>
      </c>
      <c r="C96" s="623" t="s">
        <v>187</v>
      </c>
      <c r="D96" s="627">
        <v>357</v>
      </c>
      <c r="E96" s="627">
        <v>357</v>
      </c>
      <c r="F96" s="645">
        <f t="shared" si="34"/>
        <v>0.34162679425837322</v>
      </c>
      <c r="G96" s="1246">
        <f>SUM(E96:E98)*54.5/1000</f>
        <v>39.893999999999998</v>
      </c>
      <c r="H96" s="625">
        <v>36</v>
      </c>
      <c r="I96" s="626">
        <v>3.2</v>
      </c>
      <c r="J96" s="627">
        <f t="shared" si="48"/>
        <v>115</v>
      </c>
      <c r="K96" s="622">
        <v>18</v>
      </c>
      <c r="L96" s="622">
        <f t="shared" si="41"/>
        <v>57</v>
      </c>
      <c r="M96" s="622">
        <f t="shared" si="42"/>
        <v>1045</v>
      </c>
      <c r="N96" s="622">
        <f t="shared" si="37"/>
        <v>0</v>
      </c>
      <c r="O96" s="622"/>
      <c r="P96" s="1248">
        <f>SUM(N96:N98)*54.5/1000</f>
        <v>0</v>
      </c>
      <c r="Q96" s="793">
        <f t="shared" si="32"/>
        <v>44</v>
      </c>
      <c r="R96" s="806">
        <f>SUM(Q96:Q98)*54.5/1000</f>
        <v>4.7960000000000003</v>
      </c>
      <c r="S96" s="627">
        <f t="shared" si="36"/>
        <v>401</v>
      </c>
      <c r="T96" s="622"/>
      <c r="U96" s="627">
        <f t="shared" si="39"/>
        <v>644</v>
      </c>
      <c r="V96" s="1091">
        <f>SUM(U96:U98)*54.5/1000</f>
        <v>68.179500000000004</v>
      </c>
      <c r="W96" s="648">
        <f t="shared" si="40"/>
        <v>0.38373205741626792</v>
      </c>
      <c r="X96" s="1196"/>
      <c r="Y96" s="281"/>
      <c r="Z96" s="1238"/>
      <c r="AB96" s="958"/>
      <c r="AC96" s="959"/>
      <c r="AD96" s="971" t="s">
        <v>73</v>
      </c>
      <c r="AE96" s="972">
        <v>44</v>
      </c>
      <c r="AF96" s="960"/>
      <c r="AG96" s="961"/>
      <c r="AH96" s="960"/>
      <c r="AI96" s="961"/>
      <c r="AJ96" s="960"/>
      <c r="AK96" s="961"/>
      <c r="AL96" s="960"/>
      <c r="AM96" s="961"/>
      <c r="AN96" s="960"/>
      <c r="AO96" s="961"/>
      <c r="AP96" s="960"/>
      <c r="AQ96" s="961"/>
      <c r="AR96" s="960"/>
      <c r="AS96" s="961"/>
      <c r="AT96" s="960"/>
      <c r="AU96" s="961"/>
      <c r="AV96" s="960"/>
      <c r="AW96" s="961"/>
      <c r="AX96" s="960"/>
      <c r="AY96" s="961"/>
      <c r="AZ96" s="960"/>
      <c r="BA96" s="961"/>
      <c r="BB96" s="960"/>
      <c r="BC96" s="961"/>
      <c r="BD96" s="960"/>
      <c r="BE96" s="961"/>
      <c r="BF96" s="960"/>
      <c r="BG96" s="962"/>
      <c r="BK96" s="231"/>
      <c r="BL96" s="231"/>
      <c r="BM96" s="231"/>
      <c r="BN96" s="231"/>
    </row>
    <row r="97" spans="1:66" ht="13.15">
      <c r="A97" s="646" t="s">
        <v>189</v>
      </c>
      <c r="B97" s="615" t="s">
        <v>191</v>
      </c>
      <c r="C97" s="616" t="s">
        <v>187</v>
      </c>
      <c r="D97" s="619">
        <v>167</v>
      </c>
      <c r="E97" s="619">
        <v>166</v>
      </c>
      <c r="F97" s="620">
        <f t="shared" si="34"/>
        <v>0.3235867446393762</v>
      </c>
      <c r="G97" s="1252"/>
      <c r="H97" s="617">
        <v>18</v>
      </c>
      <c r="I97" s="618">
        <v>3.2</v>
      </c>
      <c r="J97" s="619">
        <f t="shared" si="48"/>
        <v>57</v>
      </c>
      <c r="K97" s="615">
        <v>9</v>
      </c>
      <c r="L97" s="615">
        <f t="shared" si="41"/>
        <v>28</v>
      </c>
      <c r="M97" s="615">
        <f t="shared" si="42"/>
        <v>513</v>
      </c>
      <c r="N97" s="615">
        <f t="shared" si="37"/>
        <v>0</v>
      </c>
      <c r="O97" s="615"/>
      <c r="P97" s="1249"/>
      <c r="Q97" s="791">
        <f t="shared" si="32"/>
        <v>44</v>
      </c>
      <c r="R97" s="807"/>
      <c r="S97" s="619">
        <f t="shared" si="36"/>
        <v>210</v>
      </c>
      <c r="T97" s="615"/>
      <c r="U97" s="619">
        <f t="shared" si="39"/>
        <v>303</v>
      </c>
      <c r="V97" s="858"/>
      <c r="W97" s="651">
        <f t="shared" si="40"/>
        <v>0.40935672514619881</v>
      </c>
      <c r="X97" s="1196"/>
      <c r="Y97" s="282"/>
      <c r="Z97" s="1293"/>
      <c r="AB97" s="963"/>
      <c r="AC97" s="431"/>
      <c r="AD97" s="535" t="s">
        <v>73</v>
      </c>
      <c r="AE97" s="536">
        <v>44</v>
      </c>
      <c r="AF97" s="240"/>
      <c r="AG97" s="239"/>
      <c r="AH97" s="240"/>
      <c r="AI97" s="239"/>
      <c r="AJ97" s="240"/>
      <c r="AK97" s="239"/>
      <c r="AL97" s="240"/>
      <c r="AM97" s="239"/>
      <c r="AN97" s="240"/>
      <c r="AO97" s="239"/>
      <c r="AP97" s="240"/>
      <c r="AQ97" s="239"/>
      <c r="AR97" s="240"/>
      <c r="AS97" s="239"/>
      <c r="AT97" s="240"/>
      <c r="AU97" s="239"/>
      <c r="AV97" s="240"/>
      <c r="AW97" s="239"/>
      <c r="AX97" s="240"/>
      <c r="AY97" s="239"/>
      <c r="AZ97" s="240"/>
      <c r="BA97" s="239"/>
      <c r="BB97" s="240"/>
      <c r="BC97" s="239"/>
      <c r="BD97" s="240"/>
      <c r="BE97" s="239"/>
      <c r="BF97" s="240"/>
      <c r="BG97" s="965"/>
      <c r="BK97" s="231"/>
      <c r="BL97" s="231"/>
      <c r="BM97" s="231"/>
      <c r="BN97" s="231"/>
    </row>
    <row r="98" spans="1:66" ht="13.9" thickBot="1">
      <c r="A98" s="638" t="s">
        <v>189</v>
      </c>
      <c r="B98" s="639" t="s">
        <v>192</v>
      </c>
      <c r="C98" s="640" t="s">
        <v>187</v>
      </c>
      <c r="D98" s="644">
        <v>210</v>
      </c>
      <c r="E98" s="644">
        <v>209</v>
      </c>
      <c r="F98" s="641">
        <f t="shared" si="34"/>
        <v>0.40740740740740738</v>
      </c>
      <c r="G98" s="1247"/>
      <c r="H98" s="642">
        <v>18</v>
      </c>
      <c r="I98" s="643">
        <v>3.2</v>
      </c>
      <c r="J98" s="644">
        <f t="shared" si="48"/>
        <v>57</v>
      </c>
      <c r="K98" s="639">
        <v>9</v>
      </c>
      <c r="L98" s="639">
        <f t="shared" si="41"/>
        <v>28</v>
      </c>
      <c r="M98" s="639">
        <f t="shared" si="42"/>
        <v>513</v>
      </c>
      <c r="N98" s="639">
        <f t="shared" si="37"/>
        <v>0</v>
      </c>
      <c r="O98" s="639"/>
      <c r="P98" s="1250"/>
      <c r="Q98" s="792">
        <f t="shared" si="32"/>
        <v>0</v>
      </c>
      <c r="R98" s="674"/>
      <c r="S98" s="644">
        <f t="shared" si="36"/>
        <v>209</v>
      </c>
      <c r="T98" s="639"/>
      <c r="U98" s="644">
        <f t="shared" si="39"/>
        <v>304</v>
      </c>
      <c r="V98" s="857"/>
      <c r="W98" s="649">
        <f t="shared" si="40"/>
        <v>0.40740740740740738</v>
      </c>
      <c r="X98" s="1197"/>
      <c r="Y98" s="283"/>
      <c r="Z98" s="1239"/>
      <c r="AB98" s="966"/>
      <c r="AC98" s="967"/>
      <c r="AD98" s="797"/>
      <c r="AE98" s="969"/>
      <c r="AF98" s="797"/>
      <c r="AG98" s="969"/>
      <c r="AH98" s="797"/>
      <c r="AI98" s="969"/>
      <c r="AJ98" s="797"/>
      <c r="AK98" s="969"/>
      <c r="AL98" s="797"/>
      <c r="AM98" s="969"/>
      <c r="AN98" s="797"/>
      <c r="AO98" s="969"/>
      <c r="AP98" s="797"/>
      <c r="AQ98" s="969"/>
      <c r="AR98" s="797"/>
      <c r="AS98" s="969"/>
      <c r="AT98" s="797"/>
      <c r="AU98" s="969"/>
      <c r="AV98" s="797"/>
      <c r="AW98" s="969"/>
      <c r="AX98" s="797"/>
      <c r="AY98" s="969"/>
      <c r="AZ98" s="797"/>
      <c r="BA98" s="969"/>
      <c r="BB98" s="797"/>
      <c r="BC98" s="969"/>
      <c r="BD98" s="797"/>
      <c r="BE98" s="969"/>
      <c r="BF98" s="797"/>
      <c r="BG98" s="970"/>
      <c r="BK98" s="231"/>
      <c r="BL98" s="231"/>
      <c r="BM98" s="231"/>
      <c r="BN98" s="231"/>
    </row>
    <row r="99" spans="1:66" ht="13.15">
      <c r="A99" s="621" t="s">
        <v>193</v>
      </c>
      <c r="B99" s="622" t="s">
        <v>194</v>
      </c>
      <c r="C99" s="623" t="s">
        <v>187</v>
      </c>
      <c r="D99" s="627">
        <v>395</v>
      </c>
      <c r="E99" s="627">
        <v>399</v>
      </c>
      <c r="F99" s="645">
        <f t="shared" si="34"/>
        <v>0.38181818181818183</v>
      </c>
      <c r="G99" s="1246">
        <f>SUM(E99:E100)*54.5/1000</f>
        <v>46.216000000000001</v>
      </c>
      <c r="H99" s="625">
        <v>36</v>
      </c>
      <c r="I99" s="626">
        <v>3.2</v>
      </c>
      <c r="J99" s="622">
        <f t="shared" si="48"/>
        <v>115</v>
      </c>
      <c r="K99" s="622">
        <v>18</v>
      </c>
      <c r="L99" s="622">
        <f t="shared" si="41"/>
        <v>57</v>
      </c>
      <c r="M99" s="622">
        <f t="shared" si="42"/>
        <v>1045</v>
      </c>
      <c r="N99" s="622">
        <f t="shared" si="37"/>
        <v>0</v>
      </c>
      <c r="O99" s="622"/>
      <c r="P99" s="1248">
        <f>SUM(N99:N100)*54.5/1000</f>
        <v>0</v>
      </c>
      <c r="Q99" s="721">
        <f t="shared" si="32"/>
        <v>134</v>
      </c>
      <c r="R99" s="806">
        <f>SUM(Q99:Q100)*54.5/1000</f>
        <v>14.606</v>
      </c>
      <c r="S99" s="627">
        <f t="shared" si="36"/>
        <v>533</v>
      </c>
      <c r="T99" s="622"/>
      <c r="U99" s="627">
        <f t="shared" si="39"/>
        <v>512</v>
      </c>
      <c r="V99" s="856"/>
      <c r="W99" s="648">
        <f t="shared" si="40"/>
        <v>0.51004784688995219</v>
      </c>
      <c r="X99" s="1240"/>
      <c r="Y99" s="284"/>
      <c r="Z99" s="1238"/>
      <c r="AA99" s="279"/>
      <c r="AB99" s="424"/>
      <c r="AC99" s="431"/>
      <c r="AD99" s="535" t="s">
        <v>73</v>
      </c>
      <c r="AE99" s="536">
        <v>44</v>
      </c>
      <c r="AF99" s="497" t="s">
        <v>195</v>
      </c>
      <c r="AG99" s="499">
        <v>48</v>
      </c>
      <c r="AH99" s="240" t="s">
        <v>196</v>
      </c>
      <c r="AI99" s="239">
        <v>13</v>
      </c>
      <c r="AJ99" s="535" t="s">
        <v>197</v>
      </c>
      <c r="AK99" s="536">
        <v>29</v>
      </c>
      <c r="AL99" s="240"/>
      <c r="AM99" s="907"/>
      <c r="AN99" s="240"/>
      <c r="AO99" s="239"/>
      <c r="AP99" s="240"/>
      <c r="AQ99" s="239"/>
      <c r="AR99" s="240"/>
      <c r="AS99" s="239"/>
      <c r="AT99" s="240"/>
      <c r="AU99" s="239"/>
      <c r="AV99" s="240"/>
      <c r="AW99" s="239"/>
      <c r="AX99" s="240"/>
      <c r="AY99" s="239"/>
      <c r="AZ99" s="240"/>
      <c r="BA99" s="239"/>
      <c r="BB99" s="240"/>
      <c r="BC99" s="239"/>
      <c r="BD99" s="240"/>
      <c r="BE99" s="239"/>
      <c r="BF99" s="240"/>
      <c r="BG99" s="241"/>
      <c r="BK99" s="231"/>
      <c r="BL99" s="231"/>
      <c r="BM99" s="231"/>
      <c r="BN99" s="231"/>
    </row>
    <row r="100" spans="1:66" ht="13.9" thickBot="1">
      <c r="A100" s="638" t="s">
        <v>193</v>
      </c>
      <c r="B100" s="639" t="s">
        <v>198</v>
      </c>
      <c r="C100" s="640" t="s">
        <v>187</v>
      </c>
      <c r="D100" s="644">
        <v>442</v>
      </c>
      <c r="E100" s="644">
        <v>449</v>
      </c>
      <c r="F100" s="641">
        <f t="shared" ref="F100:F118" si="49">E100/M100</f>
        <v>0.42966507177033492</v>
      </c>
      <c r="G100" s="1247"/>
      <c r="H100" s="642">
        <v>36</v>
      </c>
      <c r="I100" s="643">
        <v>3.2</v>
      </c>
      <c r="J100" s="639">
        <f t="shared" si="48"/>
        <v>115</v>
      </c>
      <c r="K100" s="639">
        <v>18</v>
      </c>
      <c r="L100" s="639">
        <f t="shared" si="41"/>
        <v>57</v>
      </c>
      <c r="M100" s="639">
        <f t="shared" si="42"/>
        <v>1045</v>
      </c>
      <c r="N100" s="639">
        <f t="shared" si="37"/>
        <v>0</v>
      </c>
      <c r="O100" s="639"/>
      <c r="P100" s="1250"/>
      <c r="Q100" s="792">
        <f t="shared" si="32"/>
        <v>134</v>
      </c>
      <c r="R100" s="674"/>
      <c r="S100" s="644">
        <f t="shared" ref="S100:S118" si="50">SUM(E100+N100+Q100)</f>
        <v>583</v>
      </c>
      <c r="T100" s="639"/>
      <c r="U100" s="644">
        <f t="shared" si="39"/>
        <v>462</v>
      </c>
      <c r="V100" s="857"/>
      <c r="W100" s="649">
        <f t="shared" si="40"/>
        <v>0.55789473684210522</v>
      </c>
      <c r="X100" s="1241"/>
      <c r="Y100" s="285"/>
      <c r="Z100" s="1239"/>
      <c r="AA100" s="279"/>
      <c r="AB100" s="424"/>
      <c r="AC100" s="431"/>
      <c r="AD100" s="535" t="s">
        <v>73</v>
      </c>
      <c r="AE100" s="536">
        <v>44</v>
      </c>
      <c r="AF100" s="497" t="s">
        <v>195</v>
      </c>
      <c r="AG100" s="499">
        <v>48</v>
      </c>
      <c r="AH100" s="240" t="s">
        <v>196</v>
      </c>
      <c r="AI100" s="239">
        <v>13</v>
      </c>
      <c r="AJ100" s="535" t="s">
        <v>197</v>
      </c>
      <c r="AK100" s="536">
        <v>29</v>
      </c>
      <c r="AL100" s="240"/>
      <c r="AM100" s="907"/>
      <c r="AN100" s="240"/>
      <c r="AO100" s="239"/>
      <c r="AP100" s="240"/>
      <c r="AQ100" s="239"/>
      <c r="AR100" s="249"/>
      <c r="AS100" s="239"/>
      <c r="AT100" s="240"/>
      <c r="AU100" s="239"/>
      <c r="AV100" s="240"/>
      <c r="AW100" s="239"/>
      <c r="AX100" s="240"/>
      <c r="AY100" s="239"/>
      <c r="AZ100" s="240"/>
      <c r="BA100" s="239"/>
      <c r="BB100" s="240"/>
      <c r="BC100" s="239"/>
      <c r="BD100" s="240"/>
      <c r="BE100" s="239"/>
      <c r="BF100" s="240"/>
      <c r="BG100" s="241"/>
      <c r="BK100" s="231"/>
      <c r="BL100" s="231"/>
      <c r="BM100" s="231"/>
      <c r="BN100" s="231"/>
    </row>
    <row r="101" spans="1:66" ht="13.15">
      <c r="A101" s="621" t="s">
        <v>199</v>
      </c>
      <c r="B101" s="622" t="s">
        <v>200</v>
      </c>
      <c r="C101" s="623" t="s">
        <v>187</v>
      </c>
      <c r="D101" s="627">
        <v>314</v>
      </c>
      <c r="E101" s="627">
        <v>303</v>
      </c>
      <c r="F101" s="645">
        <f t="shared" si="49"/>
        <v>0.28995215311004785</v>
      </c>
      <c r="G101" s="1246">
        <f>SUM(E101:E102)*54.5/1000</f>
        <v>38.040999999999997</v>
      </c>
      <c r="H101" s="627">
        <v>36</v>
      </c>
      <c r="I101" s="626">
        <v>3.2</v>
      </c>
      <c r="J101" s="622">
        <f>INT(I101*H101)</f>
        <v>115</v>
      </c>
      <c r="K101" s="622">
        <v>18</v>
      </c>
      <c r="L101" s="622">
        <f t="shared" si="41"/>
        <v>57</v>
      </c>
      <c r="M101" s="622">
        <f t="shared" si="42"/>
        <v>1045</v>
      </c>
      <c r="N101" s="622">
        <f t="shared" si="37"/>
        <v>0</v>
      </c>
      <c r="O101" s="622"/>
      <c r="P101" s="1248">
        <f>SUM(N101:N102)*54.5/1000</f>
        <v>0</v>
      </c>
      <c r="Q101" s="721">
        <f t="shared" si="32"/>
        <v>44</v>
      </c>
      <c r="R101" s="806">
        <f>SUM(Q101:Q102)*54.5/1000</f>
        <v>4.7960000000000003</v>
      </c>
      <c r="S101" s="627">
        <f t="shared" si="50"/>
        <v>347</v>
      </c>
      <c r="T101" s="622"/>
      <c r="U101" s="627">
        <f t="shared" si="39"/>
        <v>698</v>
      </c>
      <c r="V101" s="856"/>
      <c r="W101" s="648">
        <f t="shared" si="40"/>
        <v>0.33205741626794261</v>
      </c>
      <c r="X101" s="1240"/>
      <c r="Y101" s="287"/>
      <c r="Z101" s="1238"/>
      <c r="AA101" s="279"/>
      <c r="AB101" s="426"/>
      <c r="AC101" s="433"/>
      <c r="AD101" s="533" t="s">
        <v>73</v>
      </c>
      <c r="AE101" s="534">
        <v>44</v>
      </c>
      <c r="AF101" s="229"/>
      <c r="AG101" s="228"/>
      <c r="AH101" s="229"/>
      <c r="AI101" s="228"/>
      <c r="AJ101" s="229"/>
      <c r="AK101" s="228"/>
      <c r="AL101" s="229"/>
      <c r="AM101" s="228"/>
      <c r="AN101" s="229"/>
      <c r="AO101" s="228"/>
      <c r="AP101" s="229"/>
      <c r="AQ101" s="228"/>
      <c r="AR101" s="240"/>
      <c r="AS101" s="228"/>
      <c r="AT101" s="229"/>
      <c r="AU101" s="228"/>
      <c r="AV101" s="229"/>
      <c r="AW101" s="228"/>
      <c r="AX101" s="229"/>
      <c r="AY101" s="228"/>
      <c r="AZ101" s="229"/>
      <c r="BA101" s="228"/>
      <c r="BB101" s="229"/>
      <c r="BC101" s="228"/>
      <c r="BD101" s="229"/>
      <c r="BE101" s="228"/>
      <c r="BF101" s="229"/>
      <c r="BG101" s="230"/>
      <c r="BK101" s="231"/>
      <c r="BL101" s="231"/>
      <c r="BM101" s="231"/>
      <c r="BN101" s="231"/>
    </row>
    <row r="102" spans="1:66" ht="13.9" thickBot="1">
      <c r="A102" s="638" t="s">
        <v>199</v>
      </c>
      <c r="B102" s="639" t="s">
        <v>201</v>
      </c>
      <c r="C102" s="640" t="s">
        <v>187</v>
      </c>
      <c r="D102" s="644">
        <v>385</v>
      </c>
      <c r="E102" s="644">
        <v>395</v>
      </c>
      <c r="F102" s="641">
        <f t="shared" si="49"/>
        <v>0.37799043062200954</v>
      </c>
      <c r="G102" s="1247"/>
      <c r="H102" s="642">
        <v>36</v>
      </c>
      <c r="I102" s="643">
        <v>3.2</v>
      </c>
      <c r="J102" s="639">
        <f t="shared" ref="J102:J106" si="51">INT(H102*I102)</f>
        <v>115</v>
      </c>
      <c r="K102" s="639">
        <v>18</v>
      </c>
      <c r="L102" s="639">
        <f t="shared" si="41"/>
        <v>57</v>
      </c>
      <c r="M102" s="639">
        <f t="shared" si="42"/>
        <v>1045</v>
      </c>
      <c r="N102" s="639">
        <f t="shared" si="37"/>
        <v>0</v>
      </c>
      <c r="O102" s="639"/>
      <c r="P102" s="1250"/>
      <c r="Q102" s="792">
        <f t="shared" si="32"/>
        <v>44</v>
      </c>
      <c r="R102" s="674"/>
      <c r="S102" s="644">
        <f t="shared" si="50"/>
        <v>439</v>
      </c>
      <c r="T102" s="639"/>
      <c r="U102" s="644">
        <f t="shared" si="39"/>
        <v>606</v>
      </c>
      <c r="V102" s="857"/>
      <c r="W102" s="649">
        <f t="shared" si="40"/>
        <v>0.4200956937799043</v>
      </c>
      <c r="X102" s="1241"/>
      <c r="Y102" s="288"/>
      <c r="Z102" s="1239"/>
      <c r="AA102" s="279"/>
      <c r="AB102" s="425"/>
      <c r="AC102" s="432"/>
      <c r="AD102" s="537" t="s">
        <v>73</v>
      </c>
      <c r="AE102" s="538">
        <v>44</v>
      </c>
      <c r="AF102" s="249"/>
      <c r="AG102" s="248"/>
      <c r="AH102" s="249"/>
      <c r="AI102" s="248"/>
      <c r="AJ102" s="249"/>
      <c r="AK102" s="248"/>
      <c r="AL102" s="249"/>
      <c r="AM102" s="248"/>
      <c r="AN102" s="249"/>
      <c r="AO102" s="248"/>
      <c r="AP102" s="249"/>
      <c r="AQ102" s="248"/>
      <c r="AR102" s="249"/>
      <c r="AS102" s="248"/>
      <c r="AT102" s="249"/>
      <c r="AU102" s="248"/>
      <c r="AV102" s="249"/>
      <c r="AW102" s="248"/>
      <c r="AX102" s="249"/>
      <c r="AY102" s="248"/>
      <c r="AZ102" s="249"/>
      <c r="BA102" s="248"/>
      <c r="BB102" s="249"/>
      <c r="BC102" s="248"/>
      <c r="BD102" s="249"/>
      <c r="BE102" s="248"/>
      <c r="BF102" s="249"/>
      <c r="BG102" s="250"/>
      <c r="BK102" s="231"/>
      <c r="BL102" s="231"/>
      <c r="BM102" s="231"/>
      <c r="BN102" s="231"/>
    </row>
    <row r="103" spans="1:66" ht="13.9" thickBot="1">
      <c r="A103" s="621" t="s">
        <v>202</v>
      </c>
      <c r="B103" s="622" t="s">
        <v>203</v>
      </c>
      <c r="C103" s="623" t="s">
        <v>38</v>
      </c>
      <c r="D103" s="821">
        <v>88</v>
      </c>
      <c r="E103" s="821">
        <v>90</v>
      </c>
      <c r="F103" s="658">
        <f t="shared" si="49"/>
        <v>0.23376623376623376</v>
      </c>
      <c r="G103" s="1246">
        <f>SUM(E103:E104)*54.5/1000</f>
        <v>9.5374999999999996</v>
      </c>
      <c r="H103" s="625">
        <v>9</v>
      </c>
      <c r="I103" s="626">
        <v>3.5</v>
      </c>
      <c r="J103" s="622">
        <f t="shared" si="51"/>
        <v>31</v>
      </c>
      <c r="K103" s="622">
        <v>3</v>
      </c>
      <c r="L103" s="622">
        <f t="shared" si="41"/>
        <v>21</v>
      </c>
      <c r="M103" s="622">
        <f t="shared" si="42"/>
        <v>385</v>
      </c>
      <c r="N103" s="622">
        <f t="shared" si="37"/>
        <v>0</v>
      </c>
      <c r="O103" s="622"/>
      <c r="P103" s="1248">
        <f>(SUM(N103:N104)*54.5)/1000</f>
        <v>0</v>
      </c>
      <c r="Q103" s="721">
        <f t="shared" si="32"/>
        <v>0</v>
      </c>
      <c r="R103" s="806">
        <f>SUM(Q103:Q104)*54.5/1000</f>
        <v>0</v>
      </c>
      <c r="S103" s="627">
        <f t="shared" si="50"/>
        <v>90</v>
      </c>
      <c r="T103" s="622"/>
      <c r="U103" s="627">
        <f t="shared" si="39"/>
        <v>295</v>
      </c>
      <c r="V103" s="856"/>
      <c r="W103" s="628">
        <f t="shared" si="40"/>
        <v>0.23376623376623376</v>
      </c>
      <c r="X103" s="650"/>
      <c r="Y103" s="289"/>
      <c r="Z103" s="1242"/>
      <c r="AA103" s="279"/>
      <c r="AB103" s="426"/>
      <c r="AC103" s="433"/>
      <c r="AD103" s="240"/>
      <c r="AE103" s="228"/>
      <c r="AF103" s="229"/>
      <c r="AG103" s="228"/>
      <c r="AH103" s="229"/>
      <c r="AI103" s="228"/>
      <c r="AJ103" s="229"/>
      <c r="AK103" s="228"/>
      <c r="AL103" s="229"/>
      <c r="AM103" s="228"/>
      <c r="AN103" s="229"/>
      <c r="AO103" s="228"/>
      <c r="AP103" s="229"/>
      <c r="AQ103" s="228"/>
      <c r="AR103" s="240"/>
      <c r="AS103" s="228"/>
      <c r="AT103" s="229"/>
      <c r="AU103" s="228"/>
      <c r="AV103" s="229"/>
      <c r="AW103" s="228"/>
      <c r="AX103" s="229"/>
      <c r="AY103" s="228"/>
      <c r="AZ103" s="229"/>
      <c r="BA103" s="228"/>
      <c r="BB103" s="229"/>
      <c r="BC103" s="228"/>
      <c r="BD103" s="229"/>
      <c r="BE103" s="228"/>
      <c r="BF103" s="229"/>
      <c r="BG103" s="230"/>
      <c r="BK103" s="231"/>
      <c r="BL103" s="231"/>
      <c r="BM103" s="231"/>
      <c r="BN103" s="231"/>
    </row>
    <row r="104" spans="1:66" ht="13.9" thickBot="1">
      <c r="A104" s="629" t="s">
        <v>202</v>
      </c>
      <c r="B104" s="630" t="s">
        <v>204</v>
      </c>
      <c r="C104" s="631" t="s">
        <v>38</v>
      </c>
      <c r="D104" s="635">
        <v>84</v>
      </c>
      <c r="E104" s="635">
        <v>85</v>
      </c>
      <c r="F104" s="632">
        <f t="shared" si="49"/>
        <v>0.22077922077922077</v>
      </c>
      <c r="G104" s="1255"/>
      <c r="H104" s="633">
        <v>9</v>
      </c>
      <c r="I104" s="634">
        <v>3.5</v>
      </c>
      <c r="J104" s="630">
        <f t="shared" si="51"/>
        <v>31</v>
      </c>
      <c r="K104" s="630">
        <v>3</v>
      </c>
      <c r="L104" s="630">
        <f t="shared" si="41"/>
        <v>21</v>
      </c>
      <c r="M104" s="630">
        <f t="shared" si="42"/>
        <v>385</v>
      </c>
      <c r="N104" s="630">
        <f t="shared" si="37"/>
        <v>0</v>
      </c>
      <c r="O104" s="630"/>
      <c r="P104" s="1260"/>
      <c r="Q104" s="792">
        <f t="shared" si="32"/>
        <v>0</v>
      </c>
      <c r="R104" s="675"/>
      <c r="S104" s="635">
        <f t="shared" si="50"/>
        <v>85</v>
      </c>
      <c r="T104" s="630"/>
      <c r="U104" s="635">
        <f t="shared" si="39"/>
        <v>300</v>
      </c>
      <c r="V104" s="859"/>
      <c r="W104" s="637">
        <f t="shared" si="40"/>
        <v>0.22077922077922077</v>
      </c>
      <c r="X104" s="650"/>
      <c r="Y104" s="289"/>
      <c r="Z104" s="1243"/>
      <c r="AA104" s="279"/>
      <c r="AB104" s="425"/>
      <c r="AC104" s="432"/>
      <c r="AD104" s="240"/>
      <c r="AE104" s="248"/>
      <c r="AF104" s="249"/>
      <c r="AG104" s="248"/>
      <c r="AH104" s="249"/>
      <c r="AI104" s="248"/>
      <c r="AJ104" s="249"/>
      <c r="AK104" s="248"/>
      <c r="AL104" s="249"/>
      <c r="AM104" s="248"/>
      <c r="AN104" s="249"/>
      <c r="AO104" s="248"/>
      <c r="AP104" s="249"/>
      <c r="AQ104" s="248"/>
      <c r="AR104" s="249"/>
      <c r="AS104" s="248"/>
      <c r="AT104" s="249"/>
      <c r="AU104" s="248"/>
      <c r="AV104" s="249"/>
      <c r="AW104" s="248"/>
      <c r="AX104" s="249"/>
      <c r="AY104" s="248"/>
      <c r="AZ104" s="249"/>
      <c r="BA104" s="248"/>
      <c r="BB104" s="249"/>
      <c r="BC104" s="248"/>
      <c r="BD104" s="249"/>
      <c r="BE104" s="248"/>
      <c r="BF104" s="249"/>
      <c r="BG104" s="250"/>
      <c r="BK104" s="231"/>
      <c r="BL104" s="231"/>
      <c r="BM104" s="231"/>
      <c r="BN104" s="231"/>
    </row>
    <row r="105" spans="1:66" ht="13.15">
      <c r="A105" s="663" t="s">
        <v>205</v>
      </c>
      <c r="B105" s="664" t="s">
        <v>206</v>
      </c>
      <c r="C105" s="665" t="s">
        <v>187</v>
      </c>
      <c r="D105" s="1093">
        <v>623</v>
      </c>
      <c r="E105" s="1093">
        <v>622</v>
      </c>
      <c r="F105" s="672">
        <f t="shared" si="49"/>
        <v>0.59521531100478464</v>
      </c>
      <c r="G105" s="1253">
        <f>SUM(E105:E106)*54.5/1000</f>
        <v>62.347999999999999</v>
      </c>
      <c r="H105" s="664">
        <v>36</v>
      </c>
      <c r="I105" s="664">
        <v>3.2</v>
      </c>
      <c r="J105" s="664">
        <f t="shared" si="51"/>
        <v>115</v>
      </c>
      <c r="K105" s="664">
        <v>18</v>
      </c>
      <c r="L105" s="664">
        <f t="shared" si="41"/>
        <v>57</v>
      </c>
      <c r="M105" s="664">
        <f t="shared" si="42"/>
        <v>1045</v>
      </c>
      <c r="N105" s="664">
        <f t="shared" si="37"/>
        <v>0</v>
      </c>
      <c r="O105" s="664"/>
      <c r="P105" s="1258">
        <f>SUM(N105:N106)*54.5/1000</f>
        <v>0</v>
      </c>
      <c r="Q105" s="721">
        <f t="shared" si="32"/>
        <v>0</v>
      </c>
      <c r="R105" s="676">
        <f>SUM(Q105:Q106)*54.5/1000</f>
        <v>0</v>
      </c>
      <c r="S105" s="669">
        <f t="shared" si="50"/>
        <v>622</v>
      </c>
      <c r="T105" s="664"/>
      <c r="U105" s="669">
        <f t="shared" si="39"/>
        <v>423</v>
      </c>
      <c r="V105" s="860"/>
      <c r="W105" s="673">
        <f t="shared" si="40"/>
        <v>0.59521531100478464</v>
      </c>
      <c r="X105" s="1257"/>
      <c r="Y105" s="285"/>
      <c r="Z105" s="1235"/>
      <c r="AA105" s="279"/>
      <c r="AB105" s="426"/>
      <c r="AC105" s="433"/>
      <c r="AD105" s="229"/>
      <c r="AE105" s="228"/>
      <c r="AF105" s="229"/>
      <c r="AG105" s="228"/>
      <c r="AH105" s="229"/>
      <c r="AI105" s="228"/>
      <c r="AJ105" s="229"/>
      <c r="AK105" s="228"/>
      <c r="AL105" s="229"/>
      <c r="AM105" s="228"/>
      <c r="AN105" s="229"/>
      <c r="AO105" s="228"/>
      <c r="AP105" s="229"/>
      <c r="AQ105" s="228"/>
      <c r="AR105" s="240"/>
      <c r="AS105" s="228"/>
      <c r="AT105" s="229"/>
      <c r="AU105" s="228"/>
      <c r="AV105" s="229"/>
      <c r="AW105" s="228"/>
      <c r="AX105" s="229"/>
      <c r="AY105" s="228"/>
      <c r="AZ105" s="229"/>
      <c r="BA105" s="228"/>
      <c r="BB105" s="229"/>
      <c r="BC105" s="228"/>
      <c r="BD105" s="229"/>
      <c r="BE105" s="228"/>
      <c r="BF105" s="229"/>
      <c r="BG105" s="230"/>
      <c r="BK105" s="231"/>
      <c r="BL105" s="231"/>
      <c r="BM105" s="231"/>
      <c r="BN105" s="231"/>
    </row>
    <row r="106" spans="1:66" ht="13.9" thickBot="1">
      <c r="A106" s="629" t="s">
        <v>205</v>
      </c>
      <c r="B106" s="630" t="s">
        <v>207</v>
      </c>
      <c r="C106" s="631" t="s">
        <v>187</v>
      </c>
      <c r="D106" s="822">
        <v>521</v>
      </c>
      <c r="E106" s="822">
        <v>522</v>
      </c>
      <c r="F106" s="671">
        <f t="shared" si="49"/>
        <v>0.49952153110047848</v>
      </c>
      <c r="G106" s="1254"/>
      <c r="H106" s="633">
        <v>36</v>
      </c>
      <c r="I106" s="634">
        <v>3.2</v>
      </c>
      <c r="J106" s="630">
        <f t="shared" si="51"/>
        <v>115</v>
      </c>
      <c r="K106" s="630">
        <v>18</v>
      </c>
      <c r="L106" s="630">
        <f t="shared" si="41"/>
        <v>57</v>
      </c>
      <c r="M106" s="630">
        <f t="shared" si="42"/>
        <v>1045</v>
      </c>
      <c r="N106" s="630">
        <f t="shared" si="37"/>
        <v>0</v>
      </c>
      <c r="O106" s="630"/>
      <c r="P106" s="1259"/>
      <c r="Q106" s="792">
        <f t="shared" si="32"/>
        <v>0</v>
      </c>
      <c r="R106" s="675"/>
      <c r="S106" s="635">
        <f t="shared" si="50"/>
        <v>522</v>
      </c>
      <c r="T106" s="630"/>
      <c r="U106" s="635">
        <f t="shared" si="39"/>
        <v>523</v>
      </c>
      <c r="V106" s="859"/>
      <c r="W106" s="637">
        <f t="shared" si="40"/>
        <v>0.49952153110047848</v>
      </c>
      <c r="X106" s="1241"/>
      <c r="Y106" s="292"/>
      <c r="Z106" s="1237"/>
      <c r="AA106" s="279"/>
      <c r="AB106" s="425"/>
      <c r="AC106" s="432"/>
      <c r="AD106" s="249"/>
      <c r="AE106" s="248"/>
      <c r="AF106" s="249"/>
      <c r="AG106" s="248"/>
      <c r="AH106" s="249"/>
      <c r="AI106" s="248"/>
      <c r="AJ106" s="249"/>
      <c r="AK106" s="248"/>
      <c r="AL106" s="249"/>
      <c r="AM106" s="248"/>
      <c r="AN106" s="249"/>
      <c r="AO106" s="248"/>
      <c r="AP106" s="249"/>
      <c r="AQ106" s="248"/>
      <c r="AR106" s="249"/>
      <c r="AS106" s="248"/>
      <c r="AT106" s="249"/>
      <c r="AU106" s="248"/>
      <c r="AV106" s="249"/>
      <c r="AW106" s="248"/>
      <c r="AX106" s="249"/>
      <c r="AY106" s="248"/>
      <c r="AZ106" s="249"/>
      <c r="BA106" s="248"/>
      <c r="BB106" s="249"/>
      <c r="BC106" s="248"/>
      <c r="BD106" s="249"/>
      <c r="BE106" s="248"/>
      <c r="BF106" s="249"/>
      <c r="BG106" s="250"/>
      <c r="BK106" s="231"/>
      <c r="BL106" s="231"/>
      <c r="BM106" s="231"/>
      <c r="BN106" s="231"/>
    </row>
    <row r="107" spans="1:66" ht="13.15">
      <c r="A107" s="663" t="s">
        <v>208</v>
      </c>
      <c r="B107" s="664" t="s">
        <v>209</v>
      </c>
      <c r="C107" s="665" t="s">
        <v>187</v>
      </c>
      <c r="D107" s="669">
        <v>322</v>
      </c>
      <c r="E107" s="669">
        <v>324</v>
      </c>
      <c r="F107" s="666">
        <f t="shared" si="49"/>
        <v>0.31004784688995213</v>
      </c>
      <c r="G107" s="1251">
        <f>SUM(E107:E108)*54.5/1000</f>
        <v>33.735500000000002</v>
      </c>
      <c r="H107" s="667">
        <v>36</v>
      </c>
      <c r="I107" s="668">
        <v>3.2</v>
      </c>
      <c r="J107" s="664">
        <f t="shared" ref="J107:J112" si="52">INT(H107*I107)</f>
        <v>115</v>
      </c>
      <c r="K107" s="664">
        <v>18</v>
      </c>
      <c r="L107" s="664">
        <f t="shared" si="41"/>
        <v>57</v>
      </c>
      <c r="M107" s="664">
        <f t="shared" si="42"/>
        <v>1045</v>
      </c>
      <c r="N107" s="664">
        <f t="shared" si="37"/>
        <v>0</v>
      </c>
      <c r="O107" s="664"/>
      <c r="P107" s="1256">
        <f>SUM(N107:N108)*54.5/1000</f>
        <v>0</v>
      </c>
      <c r="Q107" s="793">
        <f t="shared" si="32"/>
        <v>0</v>
      </c>
      <c r="R107" s="676">
        <f>SUM(Q107:Q108)*54.5/1000</f>
        <v>0</v>
      </c>
      <c r="S107" s="669">
        <f t="shared" si="50"/>
        <v>324</v>
      </c>
      <c r="T107" s="664"/>
      <c r="U107" s="669">
        <f t="shared" si="39"/>
        <v>721</v>
      </c>
      <c r="V107" s="860"/>
      <c r="W107" s="670">
        <f t="shared" si="40"/>
        <v>0.31004784688995213</v>
      </c>
      <c r="X107" s="1240"/>
      <c r="Y107" s="285"/>
      <c r="Z107" s="1244"/>
      <c r="AA107" s="279"/>
      <c r="AB107" s="426"/>
      <c r="AC107" s="433"/>
      <c r="AD107" s="229"/>
      <c r="AE107" s="228"/>
      <c r="AF107" s="229"/>
      <c r="AG107" s="228"/>
      <c r="AH107" s="229"/>
      <c r="AI107" s="228"/>
      <c r="AJ107" s="229"/>
      <c r="AK107" s="228"/>
      <c r="AL107" s="229"/>
      <c r="AM107" s="228"/>
      <c r="AN107" s="229"/>
      <c r="AO107" s="228"/>
      <c r="AP107" s="229"/>
      <c r="AQ107" s="228"/>
      <c r="AR107" s="240"/>
      <c r="AS107" s="228"/>
      <c r="AT107" s="229"/>
      <c r="AU107" s="228"/>
      <c r="AV107" s="229"/>
      <c r="AW107" s="228"/>
      <c r="AX107" s="229"/>
      <c r="AY107" s="228"/>
      <c r="AZ107" s="229"/>
      <c r="BA107" s="228"/>
      <c r="BB107" s="229"/>
      <c r="BC107" s="228"/>
      <c r="BD107" s="229"/>
      <c r="BE107" s="228"/>
      <c r="BF107" s="229"/>
      <c r="BG107" s="230"/>
      <c r="BK107" s="231"/>
      <c r="BL107" s="231"/>
      <c r="BM107" s="231"/>
      <c r="BN107" s="231"/>
    </row>
    <row r="108" spans="1:66" ht="13.9" thickBot="1">
      <c r="A108" s="646" t="s">
        <v>208</v>
      </c>
      <c r="B108" s="615" t="s">
        <v>210</v>
      </c>
      <c r="C108" s="616" t="s">
        <v>187</v>
      </c>
      <c r="D108" s="619">
        <v>294</v>
      </c>
      <c r="E108" s="619">
        <v>295</v>
      </c>
      <c r="F108" s="620">
        <f t="shared" si="49"/>
        <v>0.28229665071770332</v>
      </c>
      <c r="G108" s="1252"/>
      <c r="H108" s="617">
        <v>36</v>
      </c>
      <c r="I108" s="618">
        <v>3.2</v>
      </c>
      <c r="J108" s="615">
        <f t="shared" si="52"/>
        <v>115</v>
      </c>
      <c r="K108" s="615">
        <v>18</v>
      </c>
      <c r="L108" s="615">
        <f t="shared" si="41"/>
        <v>57</v>
      </c>
      <c r="M108" s="615">
        <f t="shared" si="42"/>
        <v>1045</v>
      </c>
      <c r="N108" s="615">
        <f t="shared" si="37"/>
        <v>0</v>
      </c>
      <c r="O108" s="615"/>
      <c r="P108" s="1249"/>
      <c r="Q108" s="847">
        <f t="shared" si="32"/>
        <v>0</v>
      </c>
      <c r="R108" s="807"/>
      <c r="S108" s="619">
        <f t="shared" si="50"/>
        <v>295</v>
      </c>
      <c r="T108" s="615"/>
      <c r="U108" s="619">
        <f t="shared" si="39"/>
        <v>750</v>
      </c>
      <c r="V108" s="858"/>
      <c r="W108" s="651">
        <f t="shared" ref="W108:W118" si="53">S108/M108</f>
        <v>0.28229665071770332</v>
      </c>
      <c r="X108" s="1241"/>
      <c r="Y108" s="278"/>
      <c r="Z108" s="1245"/>
      <c r="AB108" s="424"/>
      <c r="AC108" s="431"/>
      <c r="AD108" s="240"/>
      <c r="AE108" s="239"/>
      <c r="AF108" s="240"/>
      <c r="AG108" s="239"/>
      <c r="AH108" s="240"/>
      <c r="AI108" s="239"/>
      <c r="AJ108" s="240"/>
      <c r="AK108" s="239"/>
      <c r="AL108" s="240"/>
      <c r="AM108" s="239"/>
      <c r="AN108" s="240"/>
      <c r="AO108" s="239"/>
      <c r="AP108" s="240"/>
      <c r="AQ108" s="239"/>
      <c r="AR108" s="797"/>
      <c r="AS108" s="239"/>
      <c r="AT108" s="240"/>
      <c r="AU108" s="239"/>
      <c r="AV108" s="240"/>
      <c r="AW108" s="239"/>
      <c r="AX108" s="240"/>
      <c r="AY108" s="239"/>
      <c r="AZ108" s="240"/>
      <c r="BA108" s="239"/>
      <c r="BB108" s="240"/>
      <c r="BC108" s="239"/>
      <c r="BD108" s="240"/>
      <c r="BE108" s="239"/>
      <c r="BF108" s="240"/>
      <c r="BG108" s="241"/>
      <c r="BK108" s="231"/>
      <c r="BL108" s="231"/>
      <c r="BM108" s="231"/>
      <c r="BN108" s="231"/>
    </row>
    <row r="109" spans="1:66" ht="13.15">
      <c r="A109" s="621" t="s">
        <v>211</v>
      </c>
      <c r="B109" s="622" t="s">
        <v>212</v>
      </c>
      <c r="C109" s="623" t="s">
        <v>187</v>
      </c>
      <c r="D109" s="1077">
        <v>306</v>
      </c>
      <c r="E109" s="1077">
        <v>306</v>
      </c>
      <c r="F109" s="653">
        <f t="shared" si="49"/>
        <v>0.29282296650717704</v>
      </c>
      <c r="G109" s="1246">
        <f>SUM(E109:E111)*54.5/1000</f>
        <v>44.581000000000003</v>
      </c>
      <c r="H109" s="625">
        <v>36</v>
      </c>
      <c r="I109" s="626">
        <v>3.2</v>
      </c>
      <c r="J109" s="622">
        <f t="shared" si="52"/>
        <v>115</v>
      </c>
      <c r="K109" s="622">
        <v>18</v>
      </c>
      <c r="L109" s="622">
        <f t="shared" si="41"/>
        <v>57</v>
      </c>
      <c r="M109" s="622">
        <f t="shared" si="42"/>
        <v>1045</v>
      </c>
      <c r="N109" s="622">
        <f t="shared" si="37"/>
        <v>0</v>
      </c>
      <c r="O109" s="622"/>
      <c r="P109" s="1248">
        <f>SUM(N109:N111)*54.5/1000</f>
        <v>0</v>
      </c>
      <c r="Q109" s="793">
        <f t="shared" si="32"/>
        <v>59</v>
      </c>
      <c r="R109" s="806">
        <f>SUM(Q109:Q111)*54.5/1000</f>
        <v>8.6110000000000007</v>
      </c>
      <c r="S109" s="627">
        <f t="shared" si="50"/>
        <v>365</v>
      </c>
      <c r="T109" s="622"/>
      <c r="U109" s="627">
        <f t="shared" si="39"/>
        <v>680</v>
      </c>
      <c r="V109" s="856"/>
      <c r="W109" s="648">
        <f t="shared" si="53"/>
        <v>0.34928229665071769</v>
      </c>
      <c r="X109" s="1240"/>
      <c r="Y109" s="285"/>
      <c r="Z109" s="1236"/>
      <c r="AA109" s="279"/>
      <c r="AB109" s="426"/>
      <c r="AC109" s="433"/>
      <c r="AD109" s="498" t="s">
        <v>213</v>
      </c>
      <c r="AE109" s="500">
        <v>59</v>
      </c>
      <c r="AF109" s="229"/>
      <c r="AG109" s="228"/>
      <c r="AH109" s="229"/>
      <c r="AI109" s="228"/>
      <c r="AJ109" s="229"/>
      <c r="AK109" s="228"/>
      <c r="AL109" s="229"/>
      <c r="AM109" s="228"/>
      <c r="AN109" s="229"/>
      <c r="AO109" s="228"/>
      <c r="AP109" s="229"/>
      <c r="AQ109" s="228"/>
      <c r="AR109" s="240"/>
      <c r="AS109" s="228"/>
      <c r="AT109" s="229"/>
      <c r="AU109" s="228"/>
      <c r="AV109" s="229"/>
      <c r="AW109" s="228"/>
      <c r="AX109" s="229"/>
      <c r="AY109" s="228"/>
      <c r="AZ109" s="229"/>
      <c r="BA109" s="228"/>
      <c r="BB109" s="229"/>
      <c r="BC109" s="228"/>
      <c r="BD109" s="229"/>
      <c r="BE109" s="228"/>
      <c r="BF109" s="229"/>
      <c r="BG109" s="230"/>
      <c r="BK109" s="231"/>
      <c r="BL109" s="231"/>
      <c r="BM109" s="231"/>
      <c r="BN109" s="231"/>
    </row>
    <row r="110" spans="1:66" ht="13.15">
      <c r="A110" s="646" t="s">
        <v>211</v>
      </c>
      <c r="B110" s="615" t="s">
        <v>214</v>
      </c>
      <c r="C110" s="616" t="s">
        <v>187</v>
      </c>
      <c r="D110" s="823">
        <v>358</v>
      </c>
      <c r="E110" s="823">
        <v>360</v>
      </c>
      <c r="F110" s="652">
        <f t="shared" si="49"/>
        <v>0.34449760765550241</v>
      </c>
      <c r="G110" s="1252"/>
      <c r="H110" s="617">
        <v>36</v>
      </c>
      <c r="I110" s="618">
        <v>3.2</v>
      </c>
      <c r="J110" s="615">
        <f t="shared" si="52"/>
        <v>115</v>
      </c>
      <c r="K110" s="615">
        <v>18</v>
      </c>
      <c r="L110" s="615">
        <f t="shared" si="41"/>
        <v>57</v>
      </c>
      <c r="M110" s="615">
        <f t="shared" si="42"/>
        <v>1045</v>
      </c>
      <c r="N110" s="615">
        <f t="shared" si="37"/>
        <v>0</v>
      </c>
      <c r="O110" s="615"/>
      <c r="P110" s="1249"/>
      <c r="Q110" s="791">
        <f t="shared" si="32"/>
        <v>79</v>
      </c>
      <c r="R110" s="807"/>
      <c r="S110" s="619">
        <f t="shared" si="50"/>
        <v>439</v>
      </c>
      <c r="T110" s="615"/>
      <c r="U110" s="619">
        <f t="shared" si="39"/>
        <v>606</v>
      </c>
      <c r="V110" s="858"/>
      <c r="W110" s="651">
        <f t="shared" si="53"/>
        <v>0.4200956937799043</v>
      </c>
      <c r="X110" s="1240"/>
      <c r="Y110" s="285"/>
      <c r="Z110" s="1236"/>
      <c r="AA110" s="279"/>
      <c r="AB110" s="424"/>
      <c r="AC110" s="431"/>
      <c r="AD110" s="467" t="s">
        <v>196</v>
      </c>
      <c r="AE110" s="468">
        <v>20</v>
      </c>
      <c r="AF110" s="497" t="s">
        <v>213</v>
      </c>
      <c r="AG110" s="499">
        <v>59</v>
      </c>
      <c r="AH110" s="240"/>
      <c r="AI110" s="239"/>
      <c r="AJ110" s="240"/>
      <c r="AK110" s="239"/>
      <c r="AL110" s="240"/>
      <c r="AM110" s="239"/>
      <c r="AN110" s="240"/>
      <c r="AO110" s="239"/>
      <c r="AP110" s="240"/>
      <c r="AQ110" s="239"/>
      <c r="AR110" s="240"/>
      <c r="AS110" s="239"/>
      <c r="AT110" s="240"/>
      <c r="AU110" s="239"/>
      <c r="AV110" s="240"/>
      <c r="AW110" s="239"/>
      <c r="AX110" s="240"/>
      <c r="AY110" s="239"/>
      <c r="AZ110" s="240"/>
      <c r="BA110" s="239"/>
      <c r="BB110" s="240"/>
      <c r="BC110" s="239"/>
      <c r="BD110" s="240"/>
      <c r="BE110" s="239"/>
      <c r="BF110" s="240"/>
      <c r="BG110" s="241"/>
      <c r="BK110" s="231"/>
      <c r="BL110" s="231"/>
      <c r="BM110" s="231"/>
      <c r="BN110" s="231"/>
    </row>
    <row r="111" spans="1:66" ht="13.9" thickBot="1">
      <c r="A111" s="638" t="s">
        <v>211</v>
      </c>
      <c r="B111" s="639" t="s">
        <v>215</v>
      </c>
      <c r="C111" s="640" t="s">
        <v>187</v>
      </c>
      <c r="D111" s="824">
        <v>152</v>
      </c>
      <c r="E111" s="824">
        <v>152</v>
      </c>
      <c r="F111" s="654">
        <f t="shared" si="49"/>
        <v>0.29629629629629628</v>
      </c>
      <c r="G111" s="1247"/>
      <c r="H111" s="642">
        <v>18</v>
      </c>
      <c r="I111" s="643">
        <v>3.2</v>
      </c>
      <c r="J111" s="639">
        <f t="shared" si="52"/>
        <v>57</v>
      </c>
      <c r="K111" s="639">
        <v>9</v>
      </c>
      <c r="L111" s="639">
        <f t="shared" si="41"/>
        <v>28</v>
      </c>
      <c r="M111" s="639">
        <f t="shared" si="42"/>
        <v>513</v>
      </c>
      <c r="N111" s="639">
        <f t="shared" si="37"/>
        <v>0</v>
      </c>
      <c r="O111" s="639"/>
      <c r="P111" s="1250"/>
      <c r="Q111" s="792">
        <f t="shared" si="32"/>
        <v>20</v>
      </c>
      <c r="R111" s="674"/>
      <c r="S111" s="644">
        <f t="shared" si="50"/>
        <v>172</v>
      </c>
      <c r="T111" s="639"/>
      <c r="U111" s="644">
        <f t="shared" si="39"/>
        <v>341</v>
      </c>
      <c r="V111" s="857"/>
      <c r="W111" s="649">
        <f t="shared" si="53"/>
        <v>0.33528265107212474</v>
      </c>
      <c r="X111" s="1241"/>
      <c r="Y111" s="290"/>
      <c r="Z111" s="1237"/>
      <c r="AA111" s="279"/>
      <c r="AB111" s="425"/>
      <c r="AC111" s="432"/>
      <c r="AD111" s="249" t="s">
        <v>196</v>
      </c>
      <c r="AE111" s="248">
        <v>20</v>
      </c>
      <c r="AF111" s="249"/>
      <c r="AG111" s="248"/>
      <c r="AH111" s="249"/>
      <c r="AI111" s="248"/>
      <c r="AJ111" s="249"/>
      <c r="AK111" s="248"/>
      <c r="AL111" s="249"/>
      <c r="AM111" s="248"/>
      <c r="AN111" s="249"/>
      <c r="AO111" s="248"/>
      <c r="AP111" s="249"/>
      <c r="AQ111" s="248"/>
      <c r="AR111" s="249"/>
      <c r="AS111" s="248"/>
      <c r="AT111" s="249"/>
      <c r="AU111" s="248"/>
      <c r="AV111" s="249"/>
      <c r="AW111" s="248"/>
      <c r="AX111" s="249"/>
      <c r="AY111" s="248"/>
      <c r="AZ111" s="249"/>
      <c r="BA111" s="248"/>
      <c r="BB111" s="249"/>
      <c r="BC111" s="248"/>
      <c r="BD111" s="249"/>
      <c r="BE111" s="248"/>
      <c r="BF111" s="249"/>
      <c r="BG111" s="250"/>
      <c r="BK111" s="231"/>
      <c r="BL111" s="231"/>
      <c r="BM111" s="231"/>
      <c r="BN111" s="231"/>
    </row>
    <row r="112" spans="1:66" ht="13.15">
      <c r="A112" s="621" t="s">
        <v>216</v>
      </c>
      <c r="B112" s="622" t="s">
        <v>217</v>
      </c>
      <c r="C112" s="655" t="s">
        <v>187</v>
      </c>
      <c r="D112" s="1062">
        <v>236</v>
      </c>
      <c r="E112" s="1077">
        <v>214</v>
      </c>
      <c r="F112" s="656">
        <f t="shared" si="49"/>
        <v>0.20478468899521532</v>
      </c>
      <c r="G112" s="1246">
        <f>SUM(E112:E113)*54.5/1000</f>
        <v>19.292999999999999</v>
      </c>
      <c r="H112" s="625">
        <v>36</v>
      </c>
      <c r="I112" s="626">
        <v>3.2</v>
      </c>
      <c r="J112" s="622">
        <f t="shared" si="52"/>
        <v>115</v>
      </c>
      <c r="K112" s="622">
        <v>18</v>
      </c>
      <c r="L112" s="622">
        <f t="shared" si="41"/>
        <v>57</v>
      </c>
      <c r="M112" s="622">
        <f t="shared" si="42"/>
        <v>1045</v>
      </c>
      <c r="N112" s="622">
        <f t="shared" si="37"/>
        <v>0</v>
      </c>
      <c r="O112" s="622"/>
      <c r="P112" s="1248">
        <f>SUM(N112:N113)*54.5/1000</f>
        <v>0</v>
      </c>
      <c r="Q112" s="721">
        <f t="shared" si="32"/>
        <v>107</v>
      </c>
      <c r="R112" s="806">
        <f>SUM(Q112:Q113)*54.5/1000</f>
        <v>11.663</v>
      </c>
      <c r="S112" s="627">
        <f t="shared" si="50"/>
        <v>321</v>
      </c>
      <c r="T112" s="622"/>
      <c r="U112" s="627">
        <f t="shared" si="39"/>
        <v>724</v>
      </c>
      <c r="V112" s="856"/>
      <c r="W112" s="648">
        <f t="shared" si="53"/>
        <v>0.30717703349282299</v>
      </c>
      <c r="X112" s="1240"/>
      <c r="Y112" s="282"/>
      <c r="Z112" s="1236"/>
      <c r="AB112" s="426"/>
      <c r="AC112" s="433"/>
      <c r="AD112" s="498" t="s">
        <v>218</v>
      </c>
      <c r="AE112" s="500">
        <v>107</v>
      </c>
      <c r="AF112" s="229"/>
      <c r="AG112" s="228"/>
      <c r="AH112" s="229"/>
      <c r="AI112" s="228"/>
      <c r="AJ112" s="229"/>
      <c r="AK112" s="228"/>
      <c r="AL112" s="229"/>
      <c r="AM112" s="228"/>
      <c r="AN112" s="229"/>
      <c r="AO112" s="228"/>
      <c r="AP112" s="229"/>
      <c r="AQ112" s="228"/>
      <c r="AR112" s="240"/>
      <c r="AS112" s="228"/>
      <c r="AT112" s="229"/>
      <c r="AU112" s="228"/>
      <c r="AV112" s="229"/>
      <c r="AW112" s="228"/>
      <c r="AX112" s="229"/>
      <c r="AY112" s="228"/>
      <c r="AZ112" s="229"/>
      <c r="BA112" s="228"/>
      <c r="BB112" s="229"/>
      <c r="BC112" s="228"/>
      <c r="BD112" s="229"/>
      <c r="BE112" s="228"/>
      <c r="BF112" s="229"/>
      <c r="BG112" s="230"/>
      <c r="BK112" s="231"/>
      <c r="BL112" s="231"/>
      <c r="BM112" s="231"/>
      <c r="BN112" s="231"/>
    </row>
    <row r="113" spans="1:66" ht="13.9" thickBot="1">
      <c r="A113" s="638" t="s">
        <v>216</v>
      </c>
      <c r="B113" s="639" t="s">
        <v>219</v>
      </c>
      <c r="C113" s="640" t="s">
        <v>187</v>
      </c>
      <c r="D113" s="825">
        <v>140</v>
      </c>
      <c r="E113" s="825">
        <v>140</v>
      </c>
      <c r="F113" s="657">
        <f t="shared" si="49"/>
        <v>0.15909090909090909</v>
      </c>
      <c r="G113" s="1247"/>
      <c r="H113" s="642">
        <v>30</v>
      </c>
      <c r="I113" s="643">
        <v>3.2</v>
      </c>
      <c r="J113" s="639">
        <f t="shared" ref="J113:J118" si="54">INT(H113*I113)</f>
        <v>96</v>
      </c>
      <c r="K113" s="639">
        <v>15</v>
      </c>
      <c r="L113" s="639">
        <f t="shared" si="41"/>
        <v>48</v>
      </c>
      <c r="M113" s="639">
        <f t="shared" si="42"/>
        <v>880</v>
      </c>
      <c r="N113" s="639">
        <f t="shared" si="37"/>
        <v>0</v>
      </c>
      <c r="O113" s="639"/>
      <c r="P113" s="1250"/>
      <c r="Q113" s="792">
        <f t="shared" si="32"/>
        <v>107</v>
      </c>
      <c r="R113" s="674"/>
      <c r="S113" s="644">
        <f t="shared" si="50"/>
        <v>247</v>
      </c>
      <c r="T113" s="639"/>
      <c r="U113" s="644">
        <f t="shared" si="39"/>
        <v>633</v>
      </c>
      <c r="V113" s="857"/>
      <c r="W113" s="649">
        <f t="shared" si="53"/>
        <v>0.2806818181818182</v>
      </c>
      <c r="X113" s="1241"/>
      <c r="Y113" s="283"/>
      <c r="Z113" s="1237"/>
      <c r="AA113" s="254"/>
      <c r="AB113" s="429"/>
      <c r="AC113" s="432"/>
      <c r="AD113" s="509" t="s">
        <v>218</v>
      </c>
      <c r="AE113" s="510">
        <v>107</v>
      </c>
      <c r="AF113" s="249"/>
      <c r="AG113" s="248"/>
      <c r="AH113" s="249"/>
      <c r="AI113" s="248"/>
      <c r="AJ113" s="249"/>
      <c r="AK113" s="248"/>
      <c r="AL113" s="249"/>
      <c r="AM113" s="248"/>
      <c r="AN113" s="249"/>
      <c r="AO113" s="248"/>
      <c r="AP113" s="249"/>
      <c r="AQ113" s="248"/>
      <c r="AR113" s="249"/>
      <c r="AS113" s="248"/>
      <c r="AT113" s="249"/>
      <c r="AU113" s="248"/>
      <c r="AV113" s="249"/>
      <c r="AW113" s="248"/>
      <c r="AX113" s="249"/>
      <c r="AY113" s="248"/>
      <c r="AZ113" s="249"/>
      <c r="BA113" s="248"/>
      <c r="BB113" s="249"/>
      <c r="BC113" s="248"/>
      <c r="BD113" s="249"/>
      <c r="BE113" s="248"/>
      <c r="BF113" s="249"/>
      <c r="BG113" s="250"/>
      <c r="BK113" s="231"/>
      <c r="BL113" s="231"/>
      <c r="BM113" s="231"/>
      <c r="BN113" s="231"/>
    </row>
    <row r="114" spans="1:66" ht="13.15">
      <c r="A114" s="621" t="s">
        <v>220</v>
      </c>
      <c r="B114" s="622" t="s">
        <v>221</v>
      </c>
      <c r="C114" s="623" t="s">
        <v>187</v>
      </c>
      <c r="D114" s="1094">
        <v>397</v>
      </c>
      <c r="E114" s="1094">
        <v>393</v>
      </c>
      <c r="F114" s="653">
        <f t="shared" si="49"/>
        <v>0.37607655502392345</v>
      </c>
      <c r="G114" s="1246">
        <f>SUM(E114:E115)*54.5/1000</f>
        <v>44.253999999999998</v>
      </c>
      <c r="H114" s="625">
        <v>36</v>
      </c>
      <c r="I114" s="626">
        <v>3.2</v>
      </c>
      <c r="J114" s="627">
        <f t="shared" si="54"/>
        <v>115</v>
      </c>
      <c r="K114" s="622">
        <v>18</v>
      </c>
      <c r="L114" s="622">
        <f t="shared" si="41"/>
        <v>57</v>
      </c>
      <c r="M114" s="622">
        <f t="shared" si="42"/>
        <v>1045</v>
      </c>
      <c r="N114" s="622">
        <f t="shared" si="37"/>
        <v>0</v>
      </c>
      <c r="O114" s="622"/>
      <c r="P114" s="1248">
        <f>SUM(N114:N115)*54.5/1000</f>
        <v>0</v>
      </c>
      <c r="Q114" s="721">
        <f t="shared" si="32"/>
        <v>0</v>
      </c>
      <c r="R114" s="806">
        <f>SUM(Q114:Q115)*54.5/1000</f>
        <v>0</v>
      </c>
      <c r="S114" s="627">
        <f t="shared" si="50"/>
        <v>393</v>
      </c>
      <c r="T114" s="622"/>
      <c r="U114" s="627">
        <f t="shared" si="39"/>
        <v>652</v>
      </c>
      <c r="V114" s="856"/>
      <c r="W114" s="648">
        <f t="shared" si="53"/>
        <v>0.37607655502392345</v>
      </c>
      <c r="X114" s="1240"/>
      <c r="Y114" s="285"/>
      <c r="Z114" s="1244"/>
      <c r="AA114" s="334"/>
      <c r="AB114" s="428"/>
      <c r="AC114" s="433"/>
      <c r="AD114" s="229"/>
      <c r="AE114" s="228"/>
      <c r="AF114" s="498"/>
      <c r="AG114" s="500"/>
      <c r="AH114" s="229"/>
      <c r="AI114" s="228"/>
      <c r="AJ114" s="240"/>
      <c r="AK114" s="906"/>
      <c r="AL114" s="229"/>
      <c r="AM114" s="228"/>
      <c r="AN114" s="229"/>
      <c r="AO114" s="228"/>
      <c r="AP114" s="229"/>
      <c r="AQ114" s="228"/>
      <c r="AR114" s="240"/>
      <c r="AS114" s="228"/>
      <c r="AT114" s="229"/>
      <c r="AU114" s="228"/>
      <c r="AV114" s="229"/>
      <c r="AW114" s="228"/>
      <c r="AX114" s="229"/>
      <c r="AY114" s="228"/>
      <c r="AZ114" s="229"/>
      <c r="BA114" s="228"/>
      <c r="BB114" s="229"/>
      <c r="BC114" s="228"/>
      <c r="BD114" s="229"/>
      <c r="BE114" s="228"/>
      <c r="BF114" s="229"/>
      <c r="BG114" s="230"/>
      <c r="BK114" s="231"/>
      <c r="BL114" s="231"/>
      <c r="BM114" s="231"/>
      <c r="BN114" s="231"/>
    </row>
    <row r="115" spans="1:66" ht="13.9" thickBot="1">
      <c r="A115" s="638" t="s">
        <v>220</v>
      </c>
      <c r="B115" s="639" t="s">
        <v>222</v>
      </c>
      <c r="C115" s="640" t="s">
        <v>187</v>
      </c>
      <c r="D115" s="825">
        <v>421</v>
      </c>
      <c r="E115" s="825">
        <v>419</v>
      </c>
      <c r="F115" s="657">
        <f t="shared" si="49"/>
        <v>0.40095693779904307</v>
      </c>
      <c r="G115" s="1247"/>
      <c r="H115" s="642">
        <v>36</v>
      </c>
      <c r="I115" s="643">
        <v>3.2</v>
      </c>
      <c r="J115" s="639">
        <f t="shared" si="54"/>
        <v>115</v>
      </c>
      <c r="K115" s="639">
        <v>18</v>
      </c>
      <c r="L115" s="639">
        <f t="shared" si="41"/>
        <v>57</v>
      </c>
      <c r="M115" s="639">
        <f t="shared" si="42"/>
        <v>1045</v>
      </c>
      <c r="N115" s="639">
        <f t="shared" si="37"/>
        <v>0</v>
      </c>
      <c r="O115" s="639"/>
      <c r="P115" s="1250"/>
      <c r="Q115" s="792">
        <f t="shared" si="32"/>
        <v>0</v>
      </c>
      <c r="R115" s="674"/>
      <c r="S115" s="644">
        <f t="shared" si="50"/>
        <v>419</v>
      </c>
      <c r="T115" s="639"/>
      <c r="U115" s="644">
        <f t="shared" si="39"/>
        <v>626</v>
      </c>
      <c r="V115" s="857"/>
      <c r="W115" s="649">
        <f t="shared" si="53"/>
        <v>0.40095693779904307</v>
      </c>
      <c r="X115" s="1241"/>
      <c r="Y115" s="279"/>
      <c r="Z115" s="1245"/>
      <c r="AA115" s="279"/>
      <c r="AB115" s="424"/>
      <c r="AC115" s="431"/>
      <c r="AD115" s="240"/>
      <c r="AE115" s="239"/>
      <c r="AF115" s="497"/>
      <c r="AG115" s="499"/>
      <c r="AH115" s="240"/>
      <c r="AI115" s="239"/>
      <c r="AJ115" s="240"/>
      <c r="AK115" s="907"/>
      <c r="AL115" s="240"/>
      <c r="AM115" s="239"/>
      <c r="AN115" s="240"/>
      <c r="AO115" s="239"/>
      <c r="AP115" s="240"/>
      <c r="AQ115" s="239"/>
      <c r="AR115" s="240"/>
      <c r="AS115" s="239"/>
      <c r="AT115" s="240"/>
      <c r="AU115" s="239"/>
      <c r="AV115" s="240"/>
      <c r="AW115" s="239"/>
      <c r="AX115" s="240"/>
      <c r="AY115" s="239"/>
      <c r="AZ115" s="240"/>
      <c r="BA115" s="239"/>
      <c r="BB115" s="240"/>
      <c r="BC115" s="239"/>
      <c r="BD115" s="240"/>
      <c r="BE115" s="239"/>
      <c r="BF115" s="240"/>
      <c r="BG115" s="241"/>
      <c r="BK115" s="231"/>
      <c r="BL115" s="231"/>
      <c r="BM115" s="231"/>
      <c r="BN115" s="231"/>
    </row>
    <row r="116" spans="1:66" ht="15" customHeight="1">
      <c r="A116" s="621" t="s">
        <v>223</v>
      </c>
      <c r="B116" s="622" t="s">
        <v>224</v>
      </c>
      <c r="C116" s="623" t="s">
        <v>187</v>
      </c>
      <c r="D116" s="821">
        <v>208</v>
      </c>
      <c r="E116" s="821">
        <v>209</v>
      </c>
      <c r="F116" s="658">
        <f t="shared" si="49"/>
        <v>0.40740740740740738</v>
      </c>
      <c r="G116" s="1246">
        <f>SUM(E116:E118)*54.5/1000</f>
        <v>39.512500000000003</v>
      </c>
      <c r="H116" s="625">
        <v>18</v>
      </c>
      <c r="I116" s="626">
        <v>3.2</v>
      </c>
      <c r="J116" s="622">
        <f t="shared" si="54"/>
        <v>57</v>
      </c>
      <c r="K116" s="622">
        <v>9</v>
      </c>
      <c r="L116" s="622">
        <f t="shared" si="41"/>
        <v>28</v>
      </c>
      <c r="M116" s="622">
        <f t="shared" si="42"/>
        <v>513</v>
      </c>
      <c r="N116" s="622">
        <f t="shared" si="37"/>
        <v>0</v>
      </c>
      <c r="O116" s="622"/>
      <c r="P116" s="1248">
        <f>SUM(N116:N118)*54.5/1000</f>
        <v>0</v>
      </c>
      <c r="Q116" s="793">
        <f t="shared" si="32"/>
        <v>0</v>
      </c>
      <c r="R116" s="806">
        <f>SUM(Q116:Q118)*54.5/1000</f>
        <v>0</v>
      </c>
      <c r="S116" s="627">
        <f t="shared" si="50"/>
        <v>209</v>
      </c>
      <c r="T116" s="622"/>
      <c r="U116" s="627">
        <f t="shared" si="39"/>
        <v>304</v>
      </c>
      <c r="V116" s="856"/>
      <c r="W116" s="628">
        <f t="shared" si="53"/>
        <v>0.40740740740740738</v>
      </c>
      <c r="X116" s="582"/>
      <c r="Y116" s="252"/>
      <c r="Z116" s="1235"/>
      <c r="AA116" s="279"/>
      <c r="AB116" s="958"/>
      <c r="AC116" s="959"/>
      <c r="AD116" s="960"/>
      <c r="AE116" s="961"/>
      <c r="AF116" s="960"/>
      <c r="AG116" s="961"/>
      <c r="AH116" s="960"/>
      <c r="AI116" s="961"/>
      <c r="AJ116" s="960"/>
      <c r="AK116" s="961"/>
      <c r="AL116" s="960"/>
      <c r="AM116" s="961"/>
      <c r="AN116" s="960"/>
      <c r="AO116" s="961"/>
      <c r="AP116" s="960"/>
      <c r="AQ116" s="961"/>
      <c r="AR116" s="960"/>
      <c r="AS116" s="961"/>
      <c r="AT116" s="960"/>
      <c r="AU116" s="961"/>
      <c r="AV116" s="960"/>
      <c r="AW116" s="961"/>
      <c r="AX116" s="960"/>
      <c r="AY116" s="961"/>
      <c r="AZ116" s="960"/>
      <c r="BA116" s="961"/>
      <c r="BB116" s="960"/>
      <c r="BC116" s="961"/>
      <c r="BD116" s="960"/>
      <c r="BE116" s="961"/>
      <c r="BF116" s="960"/>
      <c r="BG116" s="962"/>
      <c r="BK116" s="231"/>
      <c r="BL116" s="231"/>
      <c r="BM116" s="231"/>
      <c r="BN116" s="231"/>
    </row>
    <row r="117" spans="1:66" ht="13.15">
      <c r="A117" s="646" t="s">
        <v>223</v>
      </c>
      <c r="B117" s="615" t="s">
        <v>225</v>
      </c>
      <c r="C117" s="616" t="s">
        <v>187</v>
      </c>
      <c r="D117" s="823">
        <v>155</v>
      </c>
      <c r="E117" s="823">
        <v>156</v>
      </c>
      <c r="F117" s="652">
        <f t="shared" si="49"/>
        <v>0.30409356725146197</v>
      </c>
      <c r="G117" s="1252"/>
      <c r="H117" s="617">
        <v>18</v>
      </c>
      <c r="I117" s="618">
        <v>3.2</v>
      </c>
      <c r="J117" s="615">
        <f t="shared" si="54"/>
        <v>57</v>
      </c>
      <c r="K117" s="615">
        <v>9</v>
      </c>
      <c r="L117" s="615">
        <f t="shared" si="41"/>
        <v>28</v>
      </c>
      <c r="M117" s="615">
        <f t="shared" si="42"/>
        <v>513</v>
      </c>
      <c r="N117" s="615">
        <f t="shared" si="37"/>
        <v>0</v>
      </c>
      <c r="O117" s="615"/>
      <c r="P117" s="1249"/>
      <c r="Q117" s="791">
        <f t="shared" si="32"/>
        <v>0</v>
      </c>
      <c r="R117" s="807"/>
      <c r="S117" s="619">
        <f t="shared" si="50"/>
        <v>156</v>
      </c>
      <c r="T117" s="615"/>
      <c r="U117" s="619">
        <f t="shared" si="39"/>
        <v>357</v>
      </c>
      <c r="V117" s="858"/>
      <c r="W117" s="647">
        <f t="shared" si="53"/>
        <v>0.30409356725146197</v>
      </c>
      <c r="X117" s="582"/>
      <c r="Z117" s="1236"/>
      <c r="AA117" s="279"/>
      <c r="AB117" s="963"/>
      <c r="AC117" s="431"/>
      <c r="AD117" s="240"/>
      <c r="AE117" s="239"/>
      <c r="AF117" s="240"/>
      <c r="AG117" s="907"/>
      <c r="AH117" s="964"/>
      <c r="AI117" s="907"/>
      <c r="AJ117" s="240"/>
      <c r="AK117" s="239"/>
      <c r="AL117" s="240"/>
      <c r="AM117" s="239"/>
      <c r="AN117" s="240"/>
      <c r="AO117" s="239"/>
      <c r="AP117" s="240"/>
      <c r="AQ117" s="239"/>
      <c r="AR117" s="240"/>
      <c r="AS117" s="239"/>
      <c r="AT117" s="240"/>
      <c r="AU117" s="239"/>
      <c r="AV117" s="240"/>
      <c r="AW117" s="239"/>
      <c r="AX117" s="240"/>
      <c r="AY117" s="239"/>
      <c r="AZ117" s="240"/>
      <c r="BA117" s="239"/>
      <c r="BB117" s="240"/>
      <c r="BC117" s="239"/>
      <c r="BD117" s="240"/>
      <c r="BE117" s="239"/>
      <c r="BF117" s="240"/>
      <c r="BG117" s="965"/>
      <c r="BK117" s="231"/>
      <c r="BL117" s="231"/>
      <c r="BM117" s="231"/>
      <c r="BN117" s="231"/>
    </row>
    <row r="118" spans="1:66" ht="13.9" thickBot="1">
      <c r="A118" s="629" t="s">
        <v>223</v>
      </c>
      <c r="B118" s="630" t="s">
        <v>226</v>
      </c>
      <c r="C118" s="631" t="s">
        <v>187</v>
      </c>
      <c r="D118" s="635">
        <v>360</v>
      </c>
      <c r="E118" s="635">
        <v>360</v>
      </c>
      <c r="F118" s="632">
        <f t="shared" si="49"/>
        <v>0.70175438596491224</v>
      </c>
      <c r="G118" s="1255"/>
      <c r="H118" s="633">
        <v>18</v>
      </c>
      <c r="I118" s="634">
        <v>3.2</v>
      </c>
      <c r="J118" s="630">
        <f t="shared" si="54"/>
        <v>57</v>
      </c>
      <c r="K118" s="630">
        <v>9</v>
      </c>
      <c r="L118" s="630">
        <f t="shared" si="41"/>
        <v>28</v>
      </c>
      <c r="M118" s="630">
        <f t="shared" si="42"/>
        <v>513</v>
      </c>
      <c r="N118" s="630">
        <f t="shared" si="37"/>
        <v>0</v>
      </c>
      <c r="O118" s="630"/>
      <c r="P118" s="1260"/>
      <c r="Q118" s="792">
        <f t="shared" si="32"/>
        <v>0</v>
      </c>
      <c r="R118" s="675"/>
      <c r="S118" s="635">
        <f t="shared" si="50"/>
        <v>360</v>
      </c>
      <c r="T118" s="630"/>
      <c r="U118" s="635">
        <f t="shared" si="39"/>
        <v>153</v>
      </c>
      <c r="V118" s="859"/>
      <c r="W118" s="637">
        <f t="shared" si="53"/>
        <v>0.70175438596491224</v>
      </c>
      <c r="X118" s="583"/>
      <c r="Y118" s="263"/>
      <c r="Z118" s="1237"/>
      <c r="AA118" s="279"/>
      <c r="AB118" s="966"/>
      <c r="AC118" s="967"/>
      <c r="AD118" s="797"/>
      <c r="AE118" s="968"/>
      <c r="AF118" s="797"/>
      <c r="AG118" s="969"/>
      <c r="AH118" s="797"/>
      <c r="AI118" s="969"/>
      <c r="AJ118" s="797"/>
      <c r="AK118" s="969"/>
      <c r="AL118" s="797"/>
      <c r="AM118" s="969"/>
      <c r="AN118" s="797"/>
      <c r="AO118" s="969"/>
      <c r="AP118" s="797"/>
      <c r="AQ118" s="969"/>
      <c r="AR118" s="797"/>
      <c r="AS118" s="969"/>
      <c r="AT118" s="797"/>
      <c r="AU118" s="969"/>
      <c r="AV118" s="797"/>
      <c r="AW118" s="969"/>
      <c r="AX118" s="797"/>
      <c r="AY118" s="969"/>
      <c r="AZ118" s="797"/>
      <c r="BA118" s="969"/>
      <c r="BB118" s="797"/>
      <c r="BC118" s="969"/>
      <c r="BD118" s="797"/>
      <c r="BE118" s="969"/>
      <c r="BF118" s="797"/>
      <c r="BG118" s="970"/>
      <c r="BK118" s="231"/>
      <c r="BL118" s="231"/>
      <c r="BM118" s="231"/>
      <c r="BN118" s="231"/>
    </row>
    <row r="119" spans="1:66" ht="13.15">
      <c r="AR119" s="531"/>
      <c r="BK119" s="231"/>
      <c r="BL119" s="231"/>
      <c r="BM119" s="231"/>
      <c r="BN119" s="231"/>
    </row>
    <row r="120" spans="1:66" ht="13.35" customHeight="1" thickBot="1">
      <c r="F120" s="591"/>
      <c r="G120" s="591"/>
      <c r="H120" s="591"/>
      <c r="I120" s="591"/>
      <c r="J120" s="591"/>
      <c r="K120" s="591"/>
      <c r="L120" s="591"/>
      <c r="M120" s="591"/>
      <c r="N120" s="591"/>
      <c r="O120" s="591"/>
      <c r="P120" s="591"/>
      <c r="Q120" s="591"/>
      <c r="R120" s="659"/>
      <c r="S120" s="939"/>
      <c r="T120" s="659"/>
      <c r="AW120" s="795"/>
      <c r="BK120" s="231"/>
      <c r="BL120" s="231"/>
      <c r="BM120" s="231"/>
      <c r="BN120" s="231"/>
    </row>
    <row r="121" spans="1:66" ht="13.35" customHeight="1">
      <c r="F121" s="769"/>
      <c r="G121" s="770"/>
      <c r="H121" s="205"/>
      <c r="I121" s="205"/>
      <c r="J121" s="205"/>
      <c r="K121" s="205"/>
      <c r="O121" s="493"/>
      <c r="P121" s="771"/>
      <c r="R121" s="771"/>
      <c r="AB121" s="531"/>
      <c r="AC121" s="487"/>
      <c r="AD121" s="531"/>
      <c r="AE121" s="487"/>
      <c r="AF121" s="531"/>
      <c r="AG121" s="487"/>
      <c r="AH121" s="531"/>
      <c r="AI121" s="487"/>
      <c r="AJ121" s="531"/>
      <c r="AK121" s="772"/>
      <c r="AL121" s="531"/>
      <c r="AM121" s="487"/>
      <c r="AN121" s="531"/>
      <c r="AO121" s="531"/>
      <c r="AP121" s="531"/>
      <c r="AQ121" s="487"/>
      <c r="AR121" s="531"/>
      <c r="AS121" s="487"/>
      <c r="AT121" s="531"/>
      <c r="AU121" s="487"/>
      <c r="AV121" s="531"/>
      <c r="AW121" s="487"/>
      <c r="AX121" s="531"/>
      <c r="AY121" s="487"/>
      <c r="AZ121" s="531"/>
      <c r="BA121" s="487"/>
      <c r="BB121" s="531"/>
      <c r="BC121" s="487"/>
      <c r="BD121" s="531"/>
      <c r="BE121" s="487"/>
      <c r="BF121" s="531"/>
      <c r="BG121" s="487"/>
      <c r="BK121" s="231"/>
      <c r="BL121" s="231"/>
      <c r="BM121" s="231"/>
      <c r="BN121" s="231"/>
    </row>
    <row r="122" spans="1:66" ht="13.15">
      <c r="H122" s="205"/>
      <c r="I122" s="205"/>
      <c r="J122" s="205"/>
      <c r="K122" s="205"/>
      <c r="BK122" s="231"/>
      <c r="BL122" s="231"/>
      <c r="BM122" s="231"/>
      <c r="BN122" s="231"/>
    </row>
    <row r="123" spans="1:66" ht="15" customHeight="1">
      <c r="B123" s="1323" t="s">
        <v>227</v>
      </c>
      <c r="C123" s="1324"/>
      <c r="D123" s="1324"/>
      <c r="E123" s="1324"/>
      <c r="F123" s="1324"/>
      <c r="G123" s="1325"/>
      <c r="H123" s="1326" t="s">
        <v>228</v>
      </c>
      <c r="I123" s="1326"/>
      <c r="J123" s="1326"/>
      <c r="K123" s="1326"/>
      <c r="W123" s="591"/>
      <c r="X123" s="591"/>
      <c r="Y123" s="591"/>
      <c r="Z123" s="591"/>
      <c r="BK123" s="231"/>
      <c r="BL123" s="231"/>
      <c r="BM123" s="231"/>
      <c r="BN123" s="231"/>
    </row>
    <row r="124" spans="1:66" ht="13.35" customHeight="1">
      <c r="B124" s="1327" t="s">
        <v>229</v>
      </c>
      <c r="C124" s="1327" t="s">
        <v>230</v>
      </c>
      <c r="D124" s="800"/>
      <c r="E124" s="1320" t="s">
        <v>231</v>
      </c>
      <c r="F124" s="1321"/>
      <c r="G124" s="1322"/>
      <c r="H124" s="1327" t="s">
        <v>232</v>
      </c>
      <c r="I124" s="1327" t="s">
        <v>233</v>
      </c>
      <c r="J124" s="1320" t="s">
        <v>231</v>
      </c>
      <c r="K124" s="1322"/>
      <c r="W124" s="302"/>
      <c r="X124" s="302"/>
      <c r="Y124" s="302"/>
      <c r="Z124" s="302"/>
      <c r="AN124" s="219"/>
      <c r="BK124" s="231"/>
      <c r="BL124" s="231"/>
      <c r="BM124" s="231"/>
      <c r="BN124" s="231"/>
    </row>
    <row r="125" spans="1:66" ht="13.35" customHeight="1">
      <c r="B125" s="1328"/>
      <c r="C125" s="1328"/>
      <c r="D125" s="294" t="s">
        <v>234</v>
      </c>
      <c r="E125" s="294" t="s">
        <v>234</v>
      </c>
      <c r="F125" s="487"/>
      <c r="G125" s="295" t="s">
        <v>235</v>
      </c>
      <c r="H125" s="1329"/>
      <c r="I125" s="1329"/>
      <c r="J125" s="294" t="s">
        <v>234</v>
      </c>
      <c r="K125" s="295" t="s">
        <v>235</v>
      </c>
      <c r="BK125" s="231"/>
      <c r="BL125" s="231"/>
      <c r="BM125" s="231"/>
      <c r="BN125" s="231"/>
    </row>
    <row r="126" spans="1:66" ht="13.15">
      <c r="A126" s="219" t="s">
        <v>187</v>
      </c>
      <c r="B126" s="233">
        <f>COUNTIF(C4:C118,"NetSure")</f>
        <v>23</v>
      </c>
      <c r="C126" s="237">
        <f>SUMIFS(H4:H118,C4:C118,"=NetSure")</f>
        <v>714</v>
      </c>
      <c r="D126" s="233">
        <f>SUMIFS(I4:I118,B4:B118,"=NetSure")</f>
        <v>0</v>
      </c>
      <c r="E126" s="233">
        <f>SUMIFS(J4:J118,C4:C118,"=NetSure")</f>
        <v>2278</v>
      </c>
      <c r="F126" s="233"/>
      <c r="G126" s="233">
        <f>E126/1000</f>
        <v>2.278</v>
      </c>
      <c r="H126" s="233">
        <f>COUNTIF(C4:C93,"Netsure")</f>
        <v>0</v>
      </c>
      <c r="I126" s="233">
        <f>SUMIFS(H4:H93,C4:C93,"=NetSure")</f>
        <v>0</v>
      </c>
      <c r="J126" s="233">
        <f>SUMIFS(J4:J93,C4:C93,"=NetSure")</f>
        <v>0</v>
      </c>
      <c r="K126" s="233">
        <f>J126/1000</f>
        <v>0</v>
      </c>
      <c r="BK126" s="231"/>
      <c r="BL126" s="231"/>
      <c r="BM126" s="231"/>
      <c r="BN126" s="231"/>
    </row>
    <row r="127" spans="1:66" ht="13.15">
      <c r="A127" s="219" t="s">
        <v>38</v>
      </c>
      <c r="B127" s="233">
        <f>COUNTIF(C4:C118,"eSure")</f>
        <v>64</v>
      </c>
      <c r="C127" s="233">
        <f>SUMIFS(H4:H118,C4:C118,"=eSure")</f>
        <v>2184</v>
      </c>
      <c r="D127" s="233">
        <f>SUMIFS(I4:I118,B4:B118,"=eSure")</f>
        <v>0</v>
      </c>
      <c r="E127" s="233">
        <f>SUMIFS(J4:J118,C4:C118,"=eSure")</f>
        <v>7643</v>
      </c>
      <c r="F127" s="233"/>
      <c r="G127" s="233">
        <f>E127/1000</f>
        <v>7.6429999999999998</v>
      </c>
      <c r="H127" s="233">
        <f>COUNTIF(C4:C93,"eSure")</f>
        <v>62</v>
      </c>
      <c r="I127" s="233">
        <f>SUMIFS(H4:H93,C4:C93,"=eSure")</f>
        <v>2166</v>
      </c>
      <c r="J127" s="233">
        <f>SUMIFS(J4:J93,C4:C93,"=eSure")</f>
        <v>7581</v>
      </c>
      <c r="K127" s="233">
        <f>J127/1000</f>
        <v>7.5810000000000004</v>
      </c>
      <c r="BK127" s="231"/>
      <c r="BL127" s="231"/>
      <c r="BM127" s="231"/>
      <c r="BN127" s="231"/>
    </row>
    <row r="128" spans="1:66" ht="13.15">
      <c r="A128" s="219" t="s">
        <v>101</v>
      </c>
      <c r="B128" s="233">
        <f>COUNTIF(C4:C118,"NPR48-ES")</f>
        <v>10</v>
      </c>
      <c r="C128" s="233">
        <f>SUMIFS(H4:H118,C4:C118,"=NPR48-ES")</f>
        <v>334</v>
      </c>
      <c r="D128" s="233"/>
      <c r="E128" s="233"/>
      <c r="F128" s="233"/>
      <c r="G128" s="233"/>
      <c r="H128" s="204"/>
      <c r="BK128" s="231"/>
      <c r="BL128" s="231"/>
      <c r="BM128" s="231"/>
      <c r="BN128" s="231"/>
    </row>
    <row r="129" spans="1:66" ht="13.15">
      <c r="A129" s="219" t="s">
        <v>106</v>
      </c>
      <c r="B129" s="233">
        <f>COUNTIF(C4:C118,"HDR48-ES")</f>
        <v>18</v>
      </c>
      <c r="C129" s="233">
        <f>SUMIFS(H4:H118,C4:C118,"=HDR48-ES")</f>
        <v>782</v>
      </c>
      <c r="D129" s="233"/>
      <c r="E129" s="233"/>
      <c r="F129" s="233"/>
      <c r="G129" s="233"/>
      <c r="H129" s="204"/>
      <c r="BK129" s="231"/>
      <c r="BL129" s="231"/>
      <c r="BM129" s="231"/>
      <c r="BN129" s="231"/>
    </row>
    <row r="130" spans="1:66" ht="13.15">
      <c r="BK130" s="231"/>
      <c r="BL130" s="231"/>
      <c r="BM130" s="231"/>
      <c r="BN130" s="231"/>
    </row>
    <row r="131" spans="1:66" ht="39.6">
      <c r="A131" s="296" t="s">
        <v>236</v>
      </c>
      <c r="B131" s="297">
        <f>SUM(K126:K127)</f>
        <v>7.5810000000000004</v>
      </c>
      <c r="BK131" s="231"/>
      <c r="BL131" s="231"/>
      <c r="BM131" s="231"/>
      <c r="BN131" s="231"/>
    </row>
    <row r="132" spans="1:66" ht="52.9">
      <c r="A132" s="298" t="s">
        <v>237</v>
      </c>
      <c r="B132" s="299">
        <f>K127/B131</f>
        <v>1</v>
      </c>
      <c r="BK132" s="231"/>
      <c r="BL132" s="231"/>
      <c r="BM132" s="231"/>
      <c r="BN132" s="231"/>
    </row>
    <row r="133" spans="1:66" ht="39.6">
      <c r="A133" s="298" t="s">
        <v>238</v>
      </c>
      <c r="B133" s="297">
        <f ca="1">(SUM('Battery Log'!R8:'Battery Log'!R97)+42)*330</f>
        <v>265320</v>
      </c>
      <c r="BK133" s="231"/>
      <c r="BL133" s="231"/>
      <c r="BM133" s="231"/>
      <c r="BN133" s="231"/>
    </row>
    <row r="134" spans="1:66" ht="13.15">
      <c r="A134" s="300"/>
      <c r="B134" s="301"/>
      <c r="BK134" s="231"/>
      <c r="BL134" s="231"/>
      <c r="BM134" s="231"/>
      <c r="BN134" s="231"/>
    </row>
    <row r="135" spans="1:66" ht="52.9">
      <c r="A135" s="298" t="s">
        <v>239</v>
      </c>
      <c r="B135" s="297">
        <f ca="1">SUM('Inverter Loading'!G2:'Inverter Loading'!G40)</f>
        <v>1557.5999999999997</v>
      </c>
      <c r="BK135" s="231"/>
      <c r="BL135" s="231"/>
      <c r="BM135" s="231"/>
      <c r="BN135" s="231"/>
    </row>
    <row r="136" spans="1:66" ht="52.9">
      <c r="A136" s="298" t="s">
        <v>240</v>
      </c>
      <c r="B136" s="299">
        <f ca="1">SUMIFS('Inverter Loading'!G2:'Inverter Loading'!G40,'Inverter Loading'!C2:'Inverter Loading'!C40,"=TSI")/B135</f>
        <v>3.8520801232665644E-2</v>
      </c>
      <c r="BK136" s="231"/>
      <c r="BL136" s="231"/>
      <c r="BM136" s="231"/>
      <c r="BN136" s="231"/>
    </row>
    <row r="137" spans="1:66" ht="13.15">
      <c r="BK137" s="231"/>
      <c r="BL137" s="231"/>
      <c r="BM137" s="231"/>
      <c r="BN137" s="231"/>
    </row>
    <row r="138" spans="1:66" ht="13.15">
      <c r="BK138" s="231"/>
      <c r="BL138" s="231"/>
      <c r="BM138" s="231"/>
      <c r="BN138" s="231"/>
    </row>
    <row r="139" spans="1:66" ht="13.15">
      <c r="BK139" s="231"/>
      <c r="BL139" s="231"/>
      <c r="BM139" s="231"/>
      <c r="BN139" s="231"/>
    </row>
    <row r="140" spans="1:66" ht="13.15">
      <c r="BK140" s="231"/>
      <c r="BL140" s="231"/>
      <c r="BM140" s="231"/>
      <c r="BN140" s="231"/>
    </row>
    <row r="141" spans="1:66" ht="13.15">
      <c r="BK141" s="231"/>
      <c r="BL141" s="231"/>
      <c r="BM141" s="231"/>
      <c r="BN141" s="231"/>
    </row>
    <row r="142" spans="1:66" ht="13.15">
      <c r="BK142" s="231"/>
      <c r="BL142" s="231"/>
      <c r="BM142" s="231"/>
      <c r="BN142" s="231"/>
    </row>
    <row r="143" spans="1:66" ht="13.15">
      <c r="BK143" s="231"/>
      <c r="BL143" s="231"/>
      <c r="BM143" s="231"/>
      <c r="BN143" s="231"/>
    </row>
    <row r="144" spans="1:66" ht="13.15">
      <c r="BK144" s="231"/>
      <c r="BL144" s="231"/>
      <c r="BM144" s="231"/>
      <c r="BN144" s="231"/>
    </row>
    <row r="145" spans="63:66" ht="13.15">
      <c r="BK145" s="231"/>
      <c r="BL145" s="231"/>
      <c r="BM145" s="231"/>
      <c r="BN145" s="231"/>
    </row>
    <row r="146" spans="63:66" ht="13.15">
      <c r="BK146" s="231"/>
      <c r="BL146" s="231"/>
      <c r="BM146" s="231"/>
      <c r="BN146" s="231"/>
    </row>
    <row r="147" spans="63:66" ht="13.15">
      <c r="BK147" s="231"/>
      <c r="BL147" s="231"/>
      <c r="BM147" s="231"/>
      <c r="BN147" s="231"/>
    </row>
    <row r="148" spans="63:66" ht="13.15">
      <c r="BK148" s="231"/>
      <c r="BL148" s="231"/>
      <c r="BM148" s="231"/>
      <c r="BN148" s="231"/>
    </row>
    <row r="149" spans="63:66" ht="13.15">
      <c r="BK149" s="231"/>
      <c r="BL149" s="231"/>
      <c r="BM149" s="231"/>
      <c r="BN149" s="231"/>
    </row>
    <row r="150" spans="63:66" ht="13.15">
      <c r="BK150" s="231"/>
      <c r="BL150" s="231"/>
      <c r="BM150" s="231"/>
      <c r="BN150" s="231"/>
    </row>
    <row r="151" spans="63:66" ht="13.15">
      <c r="BK151" s="231"/>
      <c r="BL151" s="231"/>
      <c r="BM151" s="231"/>
      <c r="BN151" s="231"/>
    </row>
    <row r="152" spans="63:66" ht="13.15">
      <c r="BK152" s="231"/>
      <c r="BL152" s="231"/>
      <c r="BM152" s="231"/>
      <c r="BN152" s="231"/>
    </row>
    <row r="153" spans="63:66" ht="13.15">
      <c r="BK153" s="231"/>
      <c r="BL153" s="231"/>
      <c r="BM153" s="231"/>
      <c r="BN153" s="231"/>
    </row>
    <row r="154" spans="63:66" ht="13.15">
      <c r="BK154" s="231"/>
      <c r="BL154" s="231"/>
      <c r="BM154" s="231"/>
      <c r="BN154" s="231"/>
    </row>
    <row r="155" spans="63:66" ht="13.15">
      <c r="BK155" s="231"/>
      <c r="BL155" s="231"/>
      <c r="BM155" s="231"/>
      <c r="BN155" s="231"/>
    </row>
    <row r="156" spans="63:66" ht="13.15">
      <c r="BK156" s="231"/>
      <c r="BL156" s="231"/>
      <c r="BM156" s="231"/>
      <c r="BN156" s="231"/>
    </row>
    <row r="157" spans="63:66" ht="13.15">
      <c r="BK157" s="231"/>
      <c r="BL157" s="231"/>
      <c r="BM157" s="231"/>
      <c r="BN157" s="231"/>
    </row>
    <row r="158" spans="63:66" ht="13.15">
      <c r="BK158" s="231"/>
      <c r="BL158" s="231"/>
      <c r="BM158" s="231"/>
      <c r="BN158" s="231"/>
    </row>
    <row r="159" spans="63:66" ht="13.15">
      <c r="BK159" s="231"/>
      <c r="BL159" s="231"/>
      <c r="BM159" s="231"/>
      <c r="BN159" s="231"/>
    </row>
    <row r="160" spans="63:66" ht="13.15">
      <c r="BK160" s="231"/>
      <c r="BL160" s="231"/>
      <c r="BM160" s="231"/>
      <c r="BN160" s="231"/>
    </row>
    <row r="161" spans="63:66" ht="13.15">
      <c r="BK161" s="231"/>
      <c r="BL161" s="231"/>
      <c r="BM161" s="231"/>
      <c r="BN161" s="231"/>
    </row>
    <row r="162" spans="63:66" ht="13.15">
      <c r="BK162" s="231"/>
      <c r="BL162" s="231"/>
      <c r="BM162" s="231"/>
      <c r="BN162" s="231"/>
    </row>
    <row r="163" spans="63:66" ht="13.15">
      <c r="BK163" s="231"/>
      <c r="BL163" s="231"/>
      <c r="BM163" s="231"/>
      <c r="BN163" s="231"/>
    </row>
    <row r="164" spans="63:66" ht="13.15">
      <c r="BK164" s="231"/>
      <c r="BL164" s="231"/>
      <c r="BM164" s="231"/>
      <c r="BN164" s="231"/>
    </row>
    <row r="165" spans="63:66" ht="13.15">
      <c r="BK165" s="231"/>
      <c r="BL165" s="231"/>
      <c r="BM165" s="231"/>
      <c r="BN165" s="231"/>
    </row>
    <row r="166" spans="63:66" ht="13.15">
      <c r="BK166" s="231"/>
      <c r="BL166" s="231"/>
      <c r="BM166" s="231"/>
      <c r="BN166" s="231"/>
    </row>
    <row r="167" spans="63:66" ht="13.15">
      <c r="BK167" s="231"/>
      <c r="BL167" s="231"/>
      <c r="BM167" s="231"/>
      <c r="BN167" s="231"/>
    </row>
    <row r="168" spans="63:66" ht="13.15">
      <c r="BK168" s="231"/>
      <c r="BL168" s="231"/>
      <c r="BM168" s="231"/>
      <c r="BN168" s="231"/>
    </row>
    <row r="169" spans="63:66" ht="13.15">
      <c r="BK169" s="231"/>
      <c r="BL169" s="231"/>
      <c r="BM169" s="231"/>
      <c r="BN169" s="231"/>
    </row>
    <row r="170" spans="63:66" ht="13.15">
      <c r="BK170" s="231"/>
      <c r="BL170" s="231"/>
      <c r="BM170" s="231"/>
      <c r="BN170" s="231"/>
    </row>
    <row r="171" spans="63:66" ht="13.15">
      <c r="BK171" s="231"/>
      <c r="BL171" s="231"/>
      <c r="BM171" s="231"/>
      <c r="BN171" s="231"/>
    </row>
    <row r="172" spans="63:66" ht="13.15">
      <c r="BK172" s="231"/>
      <c r="BL172" s="231"/>
      <c r="BM172" s="231"/>
      <c r="BN172" s="231"/>
    </row>
    <row r="173" spans="63:66" ht="13.15">
      <c r="BK173" s="231"/>
      <c r="BL173" s="231"/>
      <c r="BM173" s="231"/>
      <c r="BN173" s="231"/>
    </row>
    <row r="174" spans="63:66" ht="13.15">
      <c r="BK174" s="231"/>
      <c r="BL174" s="231"/>
      <c r="BM174" s="231"/>
      <c r="BN174" s="231"/>
    </row>
    <row r="175" spans="63:66" ht="13.15">
      <c r="BK175" s="231"/>
      <c r="BL175" s="231"/>
      <c r="BM175" s="231"/>
      <c r="BN175" s="231"/>
    </row>
    <row r="176" spans="63:66" ht="13.15">
      <c r="BK176" s="231"/>
      <c r="BL176" s="231"/>
      <c r="BM176" s="231"/>
      <c r="BN176" s="231"/>
    </row>
    <row r="177" spans="63:66" ht="13.15">
      <c r="BK177" s="231"/>
      <c r="BL177" s="231"/>
      <c r="BM177" s="231"/>
      <c r="BN177" s="231"/>
    </row>
    <row r="178" spans="63:66" ht="13.15">
      <c r="BK178" s="231"/>
      <c r="BL178" s="231"/>
      <c r="BM178" s="231"/>
      <c r="BN178" s="231"/>
    </row>
    <row r="179" spans="63:66" ht="13.15">
      <c r="BK179" s="231"/>
      <c r="BL179" s="231"/>
      <c r="BM179" s="231"/>
      <c r="BN179" s="231"/>
    </row>
    <row r="180" spans="63:66" ht="13.15">
      <c r="BK180" s="231"/>
      <c r="BL180" s="231"/>
      <c r="BM180" s="231"/>
      <c r="BN180" s="231"/>
    </row>
    <row r="181" spans="63:66" ht="13.15">
      <c r="BK181" s="231"/>
      <c r="BL181" s="231"/>
      <c r="BM181" s="231"/>
      <c r="BN181" s="231"/>
    </row>
    <row r="182" spans="63:66" ht="13.15">
      <c r="BK182" s="231"/>
      <c r="BL182" s="231"/>
      <c r="BM182" s="231"/>
      <c r="BN182" s="231"/>
    </row>
    <row r="183" spans="63:66" ht="13.15">
      <c r="BK183" s="231"/>
      <c r="BL183" s="231"/>
      <c r="BM183" s="231"/>
      <c r="BN183" s="231"/>
    </row>
    <row r="184" spans="63:66" ht="13.15">
      <c r="BK184" s="231"/>
      <c r="BL184" s="231"/>
      <c r="BM184" s="231"/>
      <c r="BN184" s="231"/>
    </row>
    <row r="185" spans="63:66" ht="13.15">
      <c r="BK185" s="231"/>
      <c r="BL185" s="231"/>
      <c r="BM185" s="231"/>
      <c r="BN185" s="231"/>
    </row>
    <row r="186" spans="63:66" ht="13.15">
      <c r="BK186" s="231"/>
      <c r="BL186" s="231"/>
      <c r="BM186" s="231"/>
      <c r="BN186" s="231"/>
    </row>
    <row r="187" spans="63:66" ht="13.15">
      <c r="BK187" s="231"/>
      <c r="BL187" s="231"/>
      <c r="BM187" s="231"/>
      <c r="BN187" s="231"/>
    </row>
    <row r="188" spans="63:66" ht="13.15">
      <c r="BK188" s="231"/>
      <c r="BL188" s="231"/>
      <c r="BM188" s="231"/>
      <c r="BN188" s="231"/>
    </row>
    <row r="189" spans="63:66" ht="13.15">
      <c r="BK189" s="231"/>
      <c r="BL189" s="231"/>
      <c r="BM189" s="231"/>
      <c r="BN189" s="231"/>
    </row>
    <row r="190" spans="63:66" ht="13.15">
      <c r="BK190" s="231"/>
      <c r="BL190" s="231"/>
      <c r="BM190" s="231"/>
      <c r="BN190" s="231"/>
    </row>
    <row r="191" spans="63:66" ht="13.15">
      <c r="BK191" s="231"/>
      <c r="BL191" s="231"/>
      <c r="BM191" s="231"/>
      <c r="BN191" s="231"/>
    </row>
    <row r="192" spans="63:66" ht="13.15">
      <c r="BK192" s="231"/>
      <c r="BL192" s="231"/>
      <c r="BM192" s="231"/>
      <c r="BN192" s="231"/>
    </row>
    <row r="193" spans="63:66" ht="13.15">
      <c r="BK193" s="231"/>
      <c r="BL193" s="231"/>
      <c r="BM193" s="231"/>
      <c r="BN193" s="231"/>
    </row>
    <row r="194" spans="63:66" ht="13.15">
      <c r="BK194" s="231"/>
      <c r="BL194" s="231"/>
      <c r="BM194" s="231"/>
      <c r="BN194" s="231"/>
    </row>
    <row r="195" spans="63:66" ht="13.15">
      <c r="BK195" s="231"/>
      <c r="BL195" s="231"/>
      <c r="BM195" s="231"/>
      <c r="BN195" s="231"/>
    </row>
    <row r="196" spans="63:66" ht="13.15">
      <c r="BK196" s="231"/>
      <c r="BL196" s="231"/>
      <c r="BM196" s="231"/>
      <c r="BN196" s="231"/>
    </row>
    <row r="197" spans="63:66" ht="13.15">
      <c r="BK197" s="231"/>
      <c r="BL197" s="231"/>
      <c r="BM197" s="231"/>
      <c r="BN197" s="231"/>
    </row>
    <row r="198" spans="63:66" ht="13.15">
      <c r="BK198" s="231"/>
      <c r="BL198" s="231"/>
      <c r="BM198" s="231"/>
      <c r="BN198" s="231"/>
    </row>
    <row r="199" spans="63:66" ht="13.15">
      <c r="BK199" s="231"/>
      <c r="BL199" s="231"/>
      <c r="BM199" s="231"/>
      <c r="BN199" s="231"/>
    </row>
    <row r="200" spans="63:66" ht="13.15">
      <c r="BK200" s="231"/>
      <c r="BL200" s="231"/>
      <c r="BM200" s="231"/>
      <c r="BN200" s="231"/>
    </row>
    <row r="201" spans="63:66" ht="13.15">
      <c r="BK201" s="231"/>
      <c r="BL201" s="231"/>
      <c r="BM201" s="231"/>
      <c r="BN201" s="231"/>
    </row>
    <row r="202" spans="63:66" ht="13.15">
      <c r="BK202" s="231"/>
      <c r="BL202" s="231"/>
      <c r="BM202" s="231"/>
      <c r="BN202" s="231"/>
    </row>
    <row r="203" spans="63:66" ht="13.15">
      <c r="BK203" s="231"/>
      <c r="BL203" s="231"/>
      <c r="BM203" s="231"/>
      <c r="BN203" s="231"/>
    </row>
    <row r="204" spans="63:66" ht="13.15">
      <c r="BK204" s="231"/>
      <c r="BL204" s="231"/>
      <c r="BM204" s="231"/>
      <c r="BN204" s="231"/>
    </row>
    <row r="205" spans="63:66" ht="13.15">
      <c r="BK205" s="231"/>
      <c r="BL205" s="231"/>
      <c r="BM205" s="231"/>
      <c r="BN205" s="231"/>
    </row>
    <row r="206" spans="63:66" ht="13.15">
      <c r="BK206" s="231"/>
      <c r="BL206" s="231"/>
      <c r="BM206" s="231"/>
      <c r="BN206" s="231"/>
    </row>
    <row r="207" spans="63:66" ht="13.15">
      <c r="BK207" s="231"/>
      <c r="BL207" s="231"/>
      <c r="BM207" s="231"/>
      <c r="BN207" s="231"/>
    </row>
    <row r="208" spans="63:66" ht="13.15">
      <c r="BK208" s="231"/>
      <c r="BL208" s="231"/>
      <c r="BM208" s="231"/>
      <c r="BN208" s="231"/>
    </row>
    <row r="209" spans="63:66" ht="13.15">
      <c r="BK209" s="231"/>
      <c r="BL209" s="231"/>
      <c r="BM209" s="231"/>
      <c r="BN209" s="231"/>
    </row>
    <row r="210" spans="63:66" ht="13.15">
      <c r="BK210" s="231"/>
      <c r="BL210" s="231"/>
      <c r="BM210" s="231"/>
      <c r="BN210" s="231"/>
    </row>
    <row r="211" spans="63:66" ht="13.15">
      <c r="BK211" s="231"/>
      <c r="BL211" s="231"/>
      <c r="BM211" s="231"/>
      <c r="BN211" s="231"/>
    </row>
    <row r="212" spans="63:66" ht="13.15">
      <c r="BK212" s="231"/>
      <c r="BL212" s="231"/>
      <c r="BM212" s="231"/>
      <c r="BN212" s="231"/>
    </row>
    <row r="213" spans="63:66" ht="13.15">
      <c r="BK213" s="231"/>
      <c r="BL213" s="231"/>
      <c r="BM213" s="231"/>
      <c r="BN213" s="231"/>
    </row>
    <row r="214" spans="63:66" ht="13.15">
      <c r="BK214" s="231"/>
      <c r="BL214" s="231"/>
      <c r="BM214" s="231"/>
      <c r="BN214" s="231"/>
    </row>
    <row r="215" spans="63:66" ht="13.15">
      <c r="BK215" s="231"/>
      <c r="BL215" s="231"/>
      <c r="BM215" s="231"/>
      <c r="BN215" s="231"/>
    </row>
    <row r="216" spans="63:66" ht="13.15">
      <c r="BK216" s="231"/>
      <c r="BL216" s="231"/>
      <c r="BM216" s="231"/>
      <c r="BN216" s="231"/>
    </row>
    <row r="217" spans="63:66" ht="13.15">
      <c r="BK217" s="231"/>
      <c r="BL217" s="231"/>
      <c r="BM217" s="231"/>
      <c r="BN217" s="231"/>
    </row>
    <row r="218" spans="63:66" ht="13.15">
      <c r="BK218" s="231"/>
      <c r="BL218" s="231"/>
      <c r="BM218" s="231"/>
      <c r="BN218" s="231"/>
    </row>
    <row r="219" spans="63:66" ht="13.15">
      <c r="BK219" s="231"/>
      <c r="BL219" s="231"/>
      <c r="BM219" s="231"/>
      <c r="BN219" s="231"/>
    </row>
    <row r="220" spans="63:66" ht="13.15">
      <c r="BK220" s="231"/>
      <c r="BL220" s="231"/>
      <c r="BM220" s="231"/>
      <c r="BN220" s="231"/>
    </row>
    <row r="221" spans="63:66" ht="13.15">
      <c r="BK221" s="231"/>
      <c r="BL221" s="231"/>
      <c r="BM221" s="231"/>
      <c r="BN221" s="231"/>
    </row>
    <row r="222" spans="63:66" ht="13.15">
      <c r="BK222" s="231"/>
      <c r="BL222" s="231"/>
      <c r="BM222" s="231"/>
      <c r="BN222" s="231"/>
    </row>
    <row r="223" spans="63:66" ht="13.15">
      <c r="BK223" s="231"/>
      <c r="BL223" s="231"/>
      <c r="BM223" s="231"/>
      <c r="BN223" s="231"/>
    </row>
    <row r="224" spans="63:66" ht="13.15">
      <c r="BK224" s="231"/>
      <c r="BL224" s="231"/>
      <c r="BM224" s="231"/>
      <c r="BN224" s="231"/>
    </row>
    <row r="225" spans="63:66" ht="13.15">
      <c r="BK225" s="231"/>
      <c r="BL225" s="231"/>
      <c r="BM225" s="231"/>
      <c r="BN225" s="231"/>
    </row>
    <row r="226" spans="63:66" ht="13.15">
      <c r="BK226" s="231"/>
      <c r="BL226" s="231"/>
      <c r="BM226" s="231"/>
      <c r="BN226" s="231"/>
    </row>
    <row r="227" spans="63:66" ht="13.15">
      <c r="BK227" s="231"/>
      <c r="BL227" s="231"/>
      <c r="BM227" s="231"/>
      <c r="BN227" s="231"/>
    </row>
    <row r="228" spans="63:66" ht="13.15">
      <c r="BK228" s="231"/>
      <c r="BL228" s="231"/>
      <c r="BM228" s="231"/>
      <c r="BN228" s="231"/>
    </row>
    <row r="229" spans="63:66" ht="13.15">
      <c r="BK229" s="231"/>
      <c r="BL229" s="231"/>
      <c r="BM229" s="231"/>
      <c r="BN229" s="231"/>
    </row>
    <row r="230" spans="63:66" ht="13.15">
      <c r="BK230" s="231"/>
      <c r="BL230" s="231"/>
      <c r="BM230" s="231"/>
      <c r="BN230" s="231"/>
    </row>
    <row r="231" spans="63:66" ht="13.15">
      <c r="BK231" s="231"/>
      <c r="BL231" s="231"/>
      <c r="BM231" s="231"/>
      <c r="BN231" s="231"/>
    </row>
    <row r="232" spans="63:66" ht="13.15">
      <c r="BK232" s="231"/>
      <c r="BL232" s="231"/>
      <c r="BM232" s="231"/>
      <c r="BN232" s="231"/>
    </row>
    <row r="233" spans="63:66" ht="13.15">
      <c r="BK233" s="231"/>
      <c r="BL233" s="231"/>
      <c r="BM233" s="231"/>
      <c r="BN233" s="231"/>
    </row>
    <row r="234" spans="63:66" ht="13.15">
      <c r="BK234" s="231"/>
      <c r="BL234" s="231"/>
      <c r="BM234" s="231"/>
      <c r="BN234" s="231"/>
    </row>
    <row r="235" spans="63:66" ht="13.15">
      <c r="BK235" s="231"/>
      <c r="BL235" s="231"/>
      <c r="BM235" s="231"/>
      <c r="BN235" s="231"/>
    </row>
    <row r="236" spans="63:66" ht="13.15">
      <c r="BK236" s="231"/>
      <c r="BL236" s="231"/>
      <c r="BM236" s="231"/>
      <c r="BN236" s="231"/>
    </row>
    <row r="237" spans="63:66" ht="13.15">
      <c r="BK237" s="231"/>
      <c r="BL237" s="231"/>
      <c r="BM237" s="231"/>
      <c r="BN237" s="231"/>
    </row>
    <row r="238" spans="63:66" ht="13.15">
      <c r="BK238" s="231"/>
      <c r="BL238" s="231"/>
      <c r="BM238" s="231"/>
      <c r="BN238" s="231"/>
    </row>
    <row r="239" spans="63:66" ht="13.15">
      <c r="BK239" s="231"/>
      <c r="BL239" s="231"/>
      <c r="BM239" s="231"/>
      <c r="BN239" s="231"/>
    </row>
    <row r="240" spans="63:66" ht="13.15">
      <c r="BK240" s="231"/>
      <c r="BL240" s="231"/>
      <c r="BM240" s="231"/>
      <c r="BN240" s="231"/>
    </row>
    <row r="241" spans="63:66" ht="13.15">
      <c r="BK241" s="231"/>
      <c r="BL241" s="231"/>
      <c r="BM241" s="231"/>
      <c r="BN241" s="231"/>
    </row>
    <row r="242" spans="63:66" ht="13.15">
      <c r="BK242" s="231"/>
      <c r="BL242" s="231"/>
      <c r="BM242" s="231"/>
      <c r="BN242" s="231"/>
    </row>
    <row r="243" spans="63:66" ht="13.15">
      <c r="BK243" s="231"/>
      <c r="BL243" s="231"/>
      <c r="BM243" s="231"/>
      <c r="BN243" s="231"/>
    </row>
    <row r="244" spans="63:66" ht="13.15">
      <c r="BK244" s="231"/>
      <c r="BL244" s="231"/>
      <c r="BM244" s="231"/>
      <c r="BN244" s="231"/>
    </row>
    <row r="245" spans="63:66" ht="13.15">
      <c r="BK245" s="231"/>
      <c r="BL245" s="231"/>
      <c r="BM245" s="231"/>
      <c r="BN245" s="231"/>
    </row>
    <row r="246" spans="63:66" ht="13.15">
      <c r="BK246" s="231"/>
      <c r="BL246" s="231"/>
      <c r="BM246" s="231"/>
      <c r="BN246" s="231"/>
    </row>
    <row r="247" spans="63:66" ht="13.15">
      <c r="BK247" s="231"/>
      <c r="BL247" s="231"/>
      <c r="BM247" s="231"/>
      <c r="BN247" s="231"/>
    </row>
    <row r="248" spans="63:66" ht="13.15">
      <c r="BK248" s="231"/>
      <c r="BL248" s="231"/>
      <c r="BM248" s="231"/>
      <c r="BN248" s="231"/>
    </row>
    <row r="249" spans="63:66" ht="13.15">
      <c r="BK249" s="231"/>
      <c r="BL249" s="231"/>
      <c r="BM249" s="231"/>
      <c r="BN249" s="231"/>
    </row>
    <row r="250" spans="63:66" ht="13.15">
      <c r="BK250" s="231"/>
      <c r="BL250" s="231"/>
      <c r="BM250" s="231"/>
      <c r="BN250" s="231"/>
    </row>
    <row r="251" spans="63:66" ht="13.15">
      <c r="BK251" s="231"/>
      <c r="BL251" s="231"/>
      <c r="BM251" s="231"/>
      <c r="BN251" s="231"/>
    </row>
    <row r="252" spans="63:66" ht="13.15">
      <c r="BK252" s="231"/>
      <c r="BL252" s="231"/>
      <c r="BM252" s="231"/>
      <c r="BN252" s="231"/>
    </row>
    <row r="253" spans="63:66" ht="13.15">
      <c r="BK253" s="231"/>
      <c r="BL253" s="231"/>
      <c r="BM253" s="231"/>
      <c r="BN253" s="231"/>
    </row>
    <row r="254" spans="63:66" ht="13.15">
      <c r="BK254" s="231"/>
      <c r="BL254" s="231"/>
      <c r="BM254" s="231"/>
      <c r="BN254" s="231"/>
    </row>
    <row r="255" spans="63:66" ht="13.15">
      <c r="BK255" s="231"/>
      <c r="BL255" s="231"/>
      <c r="BM255" s="231"/>
      <c r="BN255" s="231"/>
    </row>
    <row r="256" spans="63:66" ht="13.15">
      <c r="BK256" s="231"/>
      <c r="BL256" s="231"/>
      <c r="BM256" s="231"/>
      <c r="BN256" s="231"/>
    </row>
    <row r="257" spans="63:66" ht="13.15">
      <c r="BK257" s="231"/>
      <c r="BL257" s="231"/>
      <c r="BM257" s="231"/>
      <c r="BN257" s="231"/>
    </row>
    <row r="258" spans="63:66" ht="13.15">
      <c r="BK258" s="231"/>
      <c r="BL258" s="231"/>
      <c r="BM258" s="231"/>
      <c r="BN258" s="231"/>
    </row>
    <row r="259" spans="63:66" ht="13.15">
      <c r="BK259" s="231"/>
      <c r="BL259" s="231"/>
      <c r="BM259" s="231"/>
      <c r="BN259" s="231"/>
    </row>
    <row r="260" spans="63:66" ht="13.15">
      <c r="BK260" s="231"/>
      <c r="BL260" s="231"/>
      <c r="BM260" s="231"/>
      <c r="BN260" s="231"/>
    </row>
    <row r="261" spans="63:66" ht="13.15">
      <c r="BK261" s="231"/>
      <c r="BL261" s="231"/>
      <c r="BM261" s="231"/>
      <c r="BN261" s="231"/>
    </row>
    <row r="262" spans="63:66" ht="13.15">
      <c r="BK262" s="231"/>
      <c r="BL262" s="231"/>
      <c r="BM262" s="231"/>
      <c r="BN262" s="231"/>
    </row>
    <row r="263" spans="63:66" ht="13.15">
      <c r="BK263" s="231"/>
      <c r="BL263" s="231"/>
      <c r="BM263" s="231"/>
      <c r="BN263" s="231"/>
    </row>
    <row r="264" spans="63:66" ht="13.15">
      <c r="BK264" s="231"/>
      <c r="BL264" s="231"/>
      <c r="BM264" s="231"/>
      <c r="BN264" s="231"/>
    </row>
    <row r="265" spans="63:66" ht="13.15">
      <c r="BK265" s="231"/>
      <c r="BL265" s="231"/>
      <c r="BM265" s="231"/>
      <c r="BN265" s="231"/>
    </row>
    <row r="266" spans="63:66" ht="13.15">
      <c r="BK266" s="231"/>
      <c r="BL266" s="231"/>
      <c r="BM266" s="231"/>
      <c r="BN266" s="231"/>
    </row>
    <row r="267" spans="63:66" ht="13.15">
      <c r="BK267" s="231"/>
      <c r="BL267" s="231"/>
      <c r="BM267" s="231"/>
      <c r="BN267" s="231"/>
    </row>
    <row r="268" spans="63:66" ht="13.15">
      <c r="BK268" s="231"/>
      <c r="BL268" s="231"/>
      <c r="BM268" s="231"/>
      <c r="BN268" s="231"/>
    </row>
    <row r="269" spans="63:66" ht="13.15">
      <c r="BK269" s="231"/>
      <c r="BL269" s="231"/>
      <c r="BM269" s="231"/>
      <c r="BN269" s="231"/>
    </row>
    <row r="270" spans="63:66" ht="13.15">
      <c r="BK270" s="231"/>
      <c r="BL270" s="231"/>
      <c r="BM270" s="231"/>
      <c r="BN270" s="231"/>
    </row>
    <row r="271" spans="63:66" ht="13.15">
      <c r="BK271" s="231"/>
      <c r="BL271" s="231"/>
      <c r="BM271" s="231"/>
      <c r="BN271" s="231"/>
    </row>
    <row r="272" spans="63:66" ht="13.15">
      <c r="BK272" s="231"/>
      <c r="BL272" s="231"/>
      <c r="BM272" s="231"/>
      <c r="BN272" s="231"/>
    </row>
    <row r="273" spans="63:66" ht="13.15">
      <c r="BK273" s="231"/>
      <c r="BL273" s="231"/>
      <c r="BM273" s="231"/>
      <c r="BN273" s="231"/>
    </row>
    <row r="274" spans="63:66" ht="13.15">
      <c r="BK274" s="231"/>
      <c r="BL274" s="231"/>
      <c r="BM274" s="231"/>
      <c r="BN274" s="231"/>
    </row>
    <row r="275" spans="63:66" ht="13.15">
      <c r="BK275" s="231"/>
      <c r="BL275" s="231"/>
      <c r="BM275" s="231"/>
      <c r="BN275" s="231"/>
    </row>
    <row r="276" spans="63:66" ht="13.15">
      <c r="BK276" s="231"/>
      <c r="BL276" s="231"/>
      <c r="BM276" s="231"/>
      <c r="BN276" s="231"/>
    </row>
    <row r="277" spans="63:66" ht="13.15">
      <c r="BK277" s="231"/>
      <c r="BL277" s="231"/>
      <c r="BM277" s="231"/>
      <c r="BN277" s="231"/>
    </row>
    <row r="278" spans="63:66" ht="13.15">
      <c r="BK278" s="231"/>
      <c r="BL278" s="231"/>
      <c r="BM278" s="231"/>
      <c r="BN278" s="231"/>
    </row>
    <row r="279" spans="63:66" ht="13.15">
      <c r="BK279" s="231"/>
      <c r="BL279" s="231"/>
      <c r="BM279" s="231"/>
      <c r="BN279" s="231"/>
    </row>
    <row r="280" spans="63:66" ht="13.15">
      <c r="BK280" s="231"/>
      <c r="BL280" s="231"/>
      <c r="BM280" s="231"/>
      <c r="BN280" s="231"/>
    </row>
    <row r="281" spans="63:66" ht="13.15">
      <c r="BK281" s="231"/>
      <c r="BL281" s="231"/>
      <c r="BM281" s="231"/>
      <c r="BN281" s="231"/>
    </row>
    <row r="282" spans="63:66" ht="13.15">
      <c r="BK282" s="231"/>
      <c r="BL282" s="231"/>
      <c r="BM282" s="231"/>
      <c r="BN282" s="231"/>
    </row>
    <row r="283" spans="63:66" ht="13.15">
      <c r="BK283" s="231"/>
      <c r="BL283" s="231"/>
      <c r="BM283" s="231"/>
      <c r="BN283" s="231"/>
    </row>
    <row r="284" spans="63:66" ht="13.15">
      <c r="BK284" s="231"/>
      <c r="BL284" s="231"/>
      <c r="BM284" s="231"/>
      <c r="BN284" s="231"/>
    </row>
    <row r="285" spans="63:66" ht="13.15">
      <c r="BK285" s="231"/>
      <c r="BL285" s="231"/>
      <c r="BM285" s="231"/>
      <c r="BN285" s="231"/>
    </row>
    <row r="286" spans="63:66" ht="13.15">
      <c r="BK286" s="231"/>
      <c r="BL286" s="231"/>
      <c r="BM286" s="231"/>
      <c r="BN286" s="231"/>
    </row>
    <row r="287" spans="63:66" ht="13.15">
      <c r="BK287" s="231"/>
      <c r="BL287" s="231"/>
      <c r="BM287" s="231"/>
      <c r="BN287" s="231"/>
    </row>
    <row r="288" spans="63:66" ht="13.15">
      <c r="BK288" s="231"/>
      <c r="BL288" s="231"/>
      <c r="BM288" s="231"/>
      <c r="BN288" s="231"/>
    </row>
    <row r="289" spans="63:66" ht="13.15">
      <c r="BK289" s="231"/>
      <c r="BL289" s="231"/>
      <c r="BM289" s="231"/>
      <c r="BN289" s="231"/>
    </row>
    <row r="290" spans="63:66" ht="13.15">
      <c r="BK290" s="231"/>
      <c r="BL290" s="231"/>
      <c r="BM290" s="231"/>
      <c r="BN290" s="231"/>
    </row>
    <row r="291" spans="63:66" ht="13.15">
      <c r="BK291" s="231"/>
      <c r="BL291" s="231"/>
      <c r="BM291" s="231"/>
      <c r="BN291" s="231"/>
    </row>
    <row r="292" spans="63:66" ht="13.15">
      <c r="BK292" s="231"/>
      <c r="BL292" s="231"/>
      <c r="BM292" s="231"/>
      <c r="BN292" s="231"/>
    </row>
    <row r="293" spans="63:66" ht="13.15">
      <c r="BK293" s="231"/>
      <c r="BL293" s="231"/>
      <c r="BM293" s="231"/>
      <c r="BN293" s="231"/>
    </row>
    <row r="294" spans="63:66" ht="13.15">
      <c r="BK294" s="231"/>
      <c r="BL294" s="231"/>
      <c r="BM294" s="231"/>
      <c r="BN294" s="231"/>
    </row>
    <row r="295" spans="63:66" ht="13.15">
      <c r="BK295" s="231"/>
      <c r="BL295" s="231"/>
      <c r="BM295" s="231"/>
      <c r="BN295" s="231"/>
    </row>
    <row r="296" spans="63:66" ht="13.15">
      <c r="BK296" s="231"/>
      <c r="BL296" s="231"/>
      <c r="BM296" s="231"/>
      <c r="BN296" s="231"/>
    </row>
    <row r="297" spans="63:66" ht="13.15">
      <c r="BK297" s="231"/>
      <c r="BL297" s="231"/>
      <c r="BM297" s="231"/>
      <c r="BN297" s="231"/>
    </row>
    <row r="298" spans="63:66" ht="13.15">
      <c r="BK298" s="231"/>
      <c r="BL298" s="231"/>
      <c r="BM298" s="231"/>
      <c r="BN298" s="231"/>
    </row>
    <row r="299" spans="63:66" ht="13.15">
      <c r="BK299" s="231"/>
      <c r="BL299" s="231"/>
      <c r="BM299" s="231"/>
      <c r="BN299" s="231"/>
    </row>
    <row r="300" spans="63:66" ht="13.15">
      <c r="BK300" s="231"/>
      <c r="BL300" s="231"/>
      <c r="BM300" s="231"/>
      <c r="BN300" s="231"/>
    </row>
    <row r="301" spans="63:66" ht="13.15">
      <c r="BK301" s="231"/>
      <c r="BL301" s="231"/>
      <c r="BM301" s="231"/>
      <c r="BN301" s="231"/>
    </row>
    <row r="302" spans="63:66" ht="13.15">
      <c r="BK302" s="231"/>
      <c r="BL302" s="231"/>
      <c r="BM302" s="231"/>
      <c r="BN302" s="231"/>
    </row>
    <row r="303" spans="63:66" ht="13.15">
      <c r="BK303" s="231"/>
      <c r="BL303" s="231"/>
      <c r="BM303" s="231"/>
      <c r="BN303" s="231"/>
    </row>
    <row r="304" spans="63:66" ht="13.15">
      <c r="BK304" s="231"/>
      <c r="BL304" s="231"/>
      <c r="BM304" s="231"/>
      <c r="BN304" s="231"/>
    </row>
    <row r="305" spans="63:66" ht="13.15">
      <c r="BK305" s="231"/>
      <c r="BL305" s="231"/>
      <c r="BM305" s="231"/>
      <c r="BN305" s="231"/>
    </row>
    <row r="306" spans="63:66" ht="13.15">
      <c r="BK306" s="231"/>
      <c r="BL306" s="231"/>
      <c r="BM306" s="231"/>
      <c r="BN306" s="231"/>
    </row>
    <row r="307" spans="63:66" ht="13.15">
      <c r="BK307" s="231"/>
      <c r="BL307" s="231"/>
      <c r="BM307" s="231"/>
      <c r="BN307" s="231"/>
    </row>
    <row r="308" spans="63:66" ht="13.15">
      <c r="BK308" s="231"/>
      <c r="BL308" s="231"/>
      <c r="BM308" s="231"/>
      <c r="BN308" s="231"/>
    </row>
    <row r="309" spans="63:66" ht="13.15">
      <c r="BK309" s="231"/>
      <c r="BL309" s="231"/>
      <c r="BM309" s="231"/>
      <c r="BN309" s="231"/>
    </row>
    <row r="310" spans="63:66" ht="13.15">
      <c r="BK310" s="231"/>
      <c r="BL310" s="231"/>
      <c r="BM310" s="231"/>
      <c r="BN310" s="231"/>
    </row>
    <row r="311" spans="63:66" ht="13.15">
      <c r="BK311" s="231"/>
      <c r="BL311" s="231"/>
      <c r="BM311" s="231"/>
      <c r="BN311" s="231"/>
    </row>
    <row r="312" spans="63:66" ht="13.15">
      <c r="BK312" s="231"/>
      <c r="BL312" s="231"/>
      <c r="BM312" s="231"/>
      <c r="BN312" s="231"/>
    </row>
    <row r="313" spans="63:66" ht="13.15">
      <c r="BK313" s="231"/>
      <c r="BL313" s="231"/>
      <c r="BM313" s="231"/>
      <c r="BN313" s="231"/>
    </row>
    <row r="314" spans="63:66" ht="13.15">
      <c r="BK314" s="231"/>
      <c r="BL314" s="231"/>
      <c r="BM314" s="231"/>
      <c r="BN314" s="231"/>
    </row>
    <row r="315" spans="63:66" ht="13.15">
      <c r="BK315" s="231"/>
      <c r="BL315" s="231"/>
      <c r="BM315" s="231"/>
      <c r="BN315" s="231"/>
    </row>
    <row r="316" spans="63:66" ht="13.15">
      <c r="BK316" s="231"/>
      <c r="BL316" s="231"/>
      <c r="BM316" s="231"/>
      <c r="BN316" s="231"/>
    </row>
    <row r="317" spans="63:66" ht="13.15">
      <c r="BK317" s="231"/>
      <c r="BL317" s="231"/>
      <c r="BM317" s="231"/>
      <c r="BN317" s="231"/>
    </row>
    <row r="318" spans="63:66" ht="13.15">
      <c r="BK318" s="231"/>
      <c r="BL318" s="231"/>
      <c r="BM318" s="231"/>
      <c r="BN318" s="231"/>
    </row>
    <row r="319" spans="63:66" ht="13.15">
      <c r="BK319" s="231"/>
      <c r="BL319" s="231"/>
      <c r="BM319" s="231"/>
      <c r="BN319" s="231"/>
    </row>
    <row r="320" spans="63:66" ht="13.15">
      <c r="BK320" s="231"/>
      <c r="BL320" s="231"/>
      <c r="BM320" s="231"/>
      <c r="BN320" s="231"/>
    </row>
    <row r="321" spans="63:66" ht="13.15">
      <c r="BK321" s="231"/>
      <c r="BL321" s="231"/>
      <c r="BM321" s="231"/>
      <c r="BN321" s="231"/>
    </row>
    <row r="322" spans="63:66" ht="13.15">
      <c r="BK322" s="231"/>
      <c r="BL322" s="231"/>
      <c r="BM322" s="231"/>
      <c r="BN322" s="231"/>
    </row>
    <row r="323" spans="63:66" ht="13.15">
      <c r="BK323" s="231"/>
      <c r="BL323" s="231"/>
      <c r="BM323" s="231"/>
      <c r="BN323" s="231"/>
    </row>
    <row r="324" spans="63:66" ht="13.15">
      <c r="BK324" s="231"/>
      <c r="BL324" s="231"/>
      <c r="BM324" s="231"/>
      <c r="BN324" s="231"/>
    </row>
    <row r="325" spans="63:66" ht="13.15">
      <c r="BK325" s="231"/>
      <c r="BL325" s="231"/>
      <c r="BM325" s="231"/>
      <c r="BN325" s="231"/>
    </row>
    <row r="326" spans="63:66" ht="13.15">
      <c r="BK326" s="231"/>
      <c r="BL326" s="231"/>
      <c r="BM326" s="231"/>
      <c r="BN326" s="231"/>
    </row>
    <row r="327" spans="63:66" ht="13.15">
      <c r="BK327" s="231"/>
      <c r="BL327" s="231"/>
      <c r="BM327" s="231"/>
      <c r="BN327" s="231"/>
    </row>
    <row r="328" spans="63:66" ht="13.15">
      <c r="BK328" s="231"/>
      <c r="BL328" s="231"/>
      <c r="BM328" s="231"/>
      <c r="BN328" s="231"/>
    </row>
    <row r="329" spans="63:66" ht="13.15">
      <c r="BK329" s="231"/>
      <c r="BL329" s="231"/>
      <c r="BM329" s="231"/>
      <c r="BN329" s="231"/>
    </row>
    <row r="330" spans="63:66" ht="13.15">
      <c r="BK330" s="231"/>
      <c r="BL330" s="231"/>
      <c r="BM330" s="231"/>
      <c r="BN330" s="231"/>
    </row>
    <row r="331" spans="63:66" ht="13.15">
      <c r="BK331" s="231"/>
      <c r="BL331" s="231"/>
      <c r="BM331" s="231"/>
      <c r="BN331" s="231"/>
    </row>
    <row r="332" spans="63:66" ht="13.15">
      <c r="BK332" s="231"/>
      <c r="BL332" s="231"/>
      <c r="BM332" s="231"/>
      <c r="BN332" s="231"/>
    </row>
    <row r="333" spans="63:66" ht="13.15">
      <c r="BK333" s="231"/>
      <c r="BL333" s="231"/>
      <c r="BM333" s="231"/>
      <c r="BN333" s="231"/>
    </row>
    <row r="334" spans="63:66" ht="13.15">
      <c r="BK334" s="231"/>
      <c r="BL334" s="231"/>
      <c r="BM334" s="231"/>
      <c r="BN334" s="231"/>
    </row>
  </sheetData>
  <autoFilter ref="A3:Z118" xr:uid="{00000000-0009-0000-0000-000000000000}"/>
  <customSheetViews>
    <customSheetView guid="{759D43B0-06FA-4A69-BB8B-D0E660486465}" scale="75" fitToPage="1" printArea="1" showAutoFilter="1" showRuler="0">
      <pane ySplit="4" topLeftCell="A5" activePane="bottomLeft" state="frozen"/>
      <selection pane="bottomLeft" activeCell="L108" sqref="L108"/>
      <pageMargins left="0" right="0" top="0" bottom="0" header="0" footer="0"/>
      <pageSetup paperSize="8" scale="71" orientation="landscape" r:id="rId1"/>
      <headerFooter alignWithMargins="0"/>
      <autoFilter ref="B1:L1" xr:uid="{E195D6A8-7E06-4BE3-91F3-8F133442B782}"/>
    </customSheetView>
  </customSheetViews>
  <mergeCells count="228">
    <mergeCell ref="V67:V71"/>
    <mergeCell ref="T87:T88"/>
    <mergeCell ref="V85:V86"/>
    <mergeCell ref="V87:V88"/>
    <mergeCell ref="V89:V91"/>
    <mergeCell ref="V92:V93"/>
    <mergeCell ref="T72:T74"/>
    <mergeCell ref="T75:T79"/>
    <mergeCell ref="V72:V74"/>
    <mergeCell ref="V75:V79"/>
    <mergeCell ref="T80:T82"/>
    <mergeCell ref="T83:T84"/>
    <mergeCell ref="V80:V82"/>
    <mergeCell ref="V83:V84"/>
    <mergeCell ref="T85:T86"/>
    <mergeCell ref="T67:T71"/>
    <mergeCell ref="T28:T29"/>
    <mergeCell ref="T30:T31"/>
    <mergeCell ref="V28:V29"/>
    <mergeCell ref="V30:V31"/>
    <mergeCell ref="T32:T34"/>
    <mergeCell ref="V32:V34"/>
    <mergeCell ref="T39:T41"/>
    <mergeCell ref="T42:T46"/>
    <mergeCell ref="V39:V41"/>
    <mergeCell ref="V42:V46"/>
    <mergeCell ref="R25:R27"/>
    <mergeCell ref="R4:R6"/>
    <mergeCell ref="R7:R8"/>
    <mergeCell ref="V4:V6"/>
    <mergeCell ref="V7:V8"/>
    <mergeCell ref="T4:T6"/>
    <mergeCell ref="T7:T8"/>
    <mergeCell ref="T9:T12"/>
    <mergeCell ref="T13:T16"/>
    <mergeCell ref="V9:V12"/>
    <mergeCell ref="V13:V16"/>
    <mergeCell ref="T17:T19"/>
    <mergeCell ref="T20:T21"/>
    <mergeCell ref="V17:V19"/>
    <mergeCell ref="V20:V21"/>
    <mergeCell ref="T22:T24"/>
    <mergeCell ref="T25:T27"/>
    <mergeCell ref="V22:V24"/>
    <mergeCell ref="V25:V27"/>
    <mergeCell ref="R30:R31"/>
    <mergeCell ref="R42:R46"/>
    <mergeCell ref="G30:G31"/>
    <mergeCell ref="N1:Q1"/>
    <mergeCell ref="P25:P27"/>
    <mergeCell ref="G47:G51"/>
    <mergeCell ref="G59:G63"/>
    <mergeCell ref="P59:P63"/>
    <mergeCell ref="R59:R63"/>
    <mergeCell ref="G9:G12"/>
    <mergeCell ref="G13:G16"/>
    <mergeCell ref="P9:P12"/>
    <mergeCell ref="P13:P16"/>
    <mergeCell ref="R9:R12"/>
    <mergeCell ref="R13:R16"/>
    <mergeCell ref="R32:R34"/>
    <mergeCell ref="G17:G19"/>
    <mergeCell ref="G20:G21"/>
    <mergeCell ref="P17:P19"/>
    <mergeCell ref="P20:P21"/>
    <mergeCell ref="G56:G58"/>
    <mergeCell ref="G22:G24"/>
    <mergeCell ref="G25:G27"/>
    <mergeCell ref="R22:R24"/>
    <mergeCell ref="G72:G74"/>
    <mergeCell ref="P64:P66"/>
    <mergeCell ref="P56:P58"/>
    <mergeCell ref="P83:P84"/>
    <mergeCell ref="G4:G6"/>
    <mergeCell ref="G7:G8"/>
    <mergeCell ref="P4:P6"/>
    <mergeCell ref="P7:P8"/>
    <mergeCell ref="G64:G66"/>
    <mergeCell ref="P30:P31"/>
    <mergeCell ref="G32:G34"/>
    <mergeCell ref="P39:P41"/>
    <mergeCell ref="G28:G29"/>
    <mergeCell ref="P22:P24"/>
    <mergeCell ref="P28:P29"/>
    <mergeCell ref="P42:P46"/>
    <mergeCell ref="P75:P79"/>
    <mergeCell ref="E124:G124"/>
    <mergeCell ref="B123:G123"/>
    <mergeCell ref="J124:K124"/>
    <mergeCell ref="H123:K123"/>
    <mergeCell ref="B124:B125"/>
    <mergeCell ref="C124:C125"/>
    <mergeCell ref="H124:H125"/>
    <mergeCell ref="I124:I125"/>
    <mergeCell ref="P114:P115"/>
    <mergeCell ref="G114:G115"/>
    <mergeCell ref="G116:G118"/>
    <mergeCell ref="P116:P118"/>
    <mergeCell ref="BL4:BM4"/>
    <mergeCell ref="Z22:Z27"/>
    <mergeCell ref="AA22:AA27"/>
    <mergeCell ref="AA56:AA61"/>
    <mergeCell ref="AA64:AA69"/>
    <mergeCell ref="Z85:Z88"/>
    <mergeCell ref="AA4:AA8"/>
    <mergeCell ref="Z4:Z8"/>
    <mergeCell ref="Z9:Z16"/>
    <mergeCell ref="Z17:Z21"/>
    <mergeCell ref="AA39:AA44"/>
    <mergeCell ref="AA32:AA36"/>
    <mergeCell ref="Z28:Z31"/>
    <mergeCell ref="AA72:AA77"/>
    <mergeCell ref="Z80:Z84"/>
    <mergeCell ref="Z56:Z63"/>
    <mergeCell ref="Z64:Z71"/>
    <mergeCell ref="Z47:Z55"/>
    <mergeCell ref="Z39:Z46"/>
    <mergeCell ref="Z72:Z79"/>
    <mergeCell ref="G85:G86"/>
    <mergeCell ref="G87:G88"/>
    <mergeCell ref="P92:P93"/>
    <mergeCell ref="P85:P86"/>
    <mergeCell ref="P87:P88"/>
    <mergeCell ref="P89:P91"/>
    <mergeCell ref="P96:P98"/>
    <mergeCell ref="T89:T91"/>
    <mergeCell ref="T92:T93"/>
    <mergeCell ref="G94:G95"/>
    <mergeCell ref="G96:G98"/>
    <mergeCell ref="R85:R86"/>
    <mergeCell ref="R87:R88"/>
    <mergeCell ref="Z89:Z93"/>
    <mergeCell ref="P94:P95"/>
    <mergeCell ref="R89:R91"/>
    <mergeCell ref="R92:R93"/>
    <mergeCell ref="X89:X93"/>
    <mergeCell ref="Z94:Z95"/>
    <mergeCell ref="Z96:Z98"/>
    <mergeCell ref="G89:G91"/>
    <mergeCell ref="G92:G93"/>
    <mergeCell ref="X4:X8"/>
    <mergeCell ref="X9:X16"/>
    <mergeCell ref="X17:X21"/>
    <mergeCell ref="X22:X27"/>
    <mergeCell ref="X28:X31"/>
    <mergeCell ref="R80:R82"/>
    <mergeCell ref="R83:R84"/>
    <mergeCell ref="R39:R41"/>
    <mergeCell ref="R47:R51"/>
    <mergeCell ref="R64:R66"/>
    <mergeCell ref="R56:R58"/>
    <mergeCell ref="R17:R19"/>
    <mergeCell ref="R20:R21"/>
    <mergeCell ref="R67:R71"/>
    <mergeCell ref="X64:X71"/>
    <mergeCell ref="R52:R55"/>
    <mergeCell ref="R28:R29"/>
    <mergeCell ref="X47:X55"/>
    <mergeCell ref="X80:X84"/>
    <mergeCell ref="X39:X46"/>
    <mergeCell ref="R75:R79"/>
    <mergeCell ref="X56:X63"/>
    <mergeCell ref="X72:X79"/>
    <mergeCell ref="R72:R74"/>
    <mergeCell ref="G99:G100"/>
    <mergeCell ref="P109:P111"/>
    <mergeCell ref="G107:G108"/>
    <mergeCell ref="G105:G106"/>
    <mergeCell ref="G109:G111"/>
    <mergeCell ref="P99:P100"/>
    <mergeCell ref="Z99:Z100"/>
    <mergeCell ref="X99:X100"/>
    <mergeCell ref="G112:G113"/>
    <mergeCell ref="G101:G102"/>
    <mergeCell ref="G103:G104"/>
    <mergeCell ref="P112:P113"/>
    <mergeCell ref="P107:P108"/>
    <mergeCell ref="X105:X106"/>
    <mergeCell ref="X107:X108"/>
    <mergeCell ref="Z105:Z106"/>
    <mergeCell ref="Z107:Z108"/>
    <mergeCell ref="P105:P106"/>
    <mergeCell ref="P103:P104"/>
    <mergeCell ref="P101:P102"/>
    <mergeCell ref="Z116:Z118"/>
    <mergeCell ref="Z112:Z113"/>
    <mergeCell ref="Z109:Z111"/>
    <mergeCell ref="Z101:Z102"/>
    <mergeCell ref="X112:X113"/>
    <mergeCell ref="Z103:Z104"/>
    <mergeCell ref="X109:X111"/>
    <mergeCell ref="X101:X102"/>
    <mergeCell ref="X114:X115"/>
    <mergeCell ref="Z114:Z115"/>
    <mergeCell ref="T47:T51"/>
    <mergeCell ref="T52:T55"/>
    <mergeCell ref="V47:V51"/>
    <mergeCell ref="V52:V55"/>
    <mergeCell ref="T56:T58"/>
    <mergeCell ref="T59:T63"/>
    <mergeCell ref="V56:V58"/>
    <mergeCell ref="V59:V63"/>
    <mergeCell ref="T64:T66"/>
    <mergeCell ref="V64:V66"/>
    <mergeCell ref="J1:M1"/>
    <mergeCell ref="X32:X38"/>
    <mergeCell ref="Z32:Z38"/>
    <mergeCell ref="G35:G38"/>
    <mergeCell ref="P35:P38"/>
    <mergeCell ref="R35:R38"/>
    <mergeCell ref="T35:T38"/>
    <mergeCell ref="V35:V38"/>
    <mergeCell ref="X96:X98"/>
    <mergeCell ref="X94:X95"/>
    <mergeCell ref="X85:X88"/>
    <mergeCell ref="G83:G84"/>
    <mergeCell ref="P80:P82"/>
    <mergeCell ref="G75:G79"/>
    <mergeCell ref="P72:P74"/>
    <mergeCell ref="G80:G82"/>
    <mergeCell ref="G67:G71"/>
    <mergeCell ref="P67:P71"/>
    <mergeCell ref="P32:P34"/>
    <mergeCell ref="G39:G41"/>
    <mergeCell ref="G52:G55"/>
    <mergeCell ref="P47:P51"/>
    <mergeCell ref="P52:P55"/>
    <mergeCell ref="G42:G46"/>
  </mergeCells>
  <phoneticPr fontId="0" type="noConversion"/>
  <conditionalFormatting sqref="F36:F38">
    <cfRule type="cellIs" dxfId="147" priority="5" stopIfTrue="1" operator="lessThanOrEqual">
      <formula>70%</formula>
    </cfRule>
    <cfRule type="cellIs" dxfId="146" priority="6" stopIfTrue="1" operator="between">
      <formula>70%</formula>
      <formula>80%</formula>
    </cfRule>
    <cfRule type="cellIs" dxfId="145" priority="7" stopIfTrue="1" operator="between">
      <formula>80%</formula>
      <formula>90%</formula>
    </cfRule>
  </conditionalFormatting>
  <conditionalFormatting sqref="F37:F38">
    <cfRule type="cellIs" dxfId="144" priority="8" stopIfTrue="1" operator="greaterThanOrEqual">
      <formula>90%</formula>
    </cfRule>
  </conditionalFormatting>
  <conditionalFormatting sqref="F64:G67 F4:G7 F9:G13 F17:G20 F22:G25 F28:G30 F32:G35 F39:G42 F47:G52 F56:G59 F72:G75 F80:G83 F85:G87 F89:G92 W4:X4 Z4:Z32 W5:W8 F8 W9:X9 W10:W16 F14:F16 W17:X17 W18:W21 F21 W22:X22 W23:W27 F26:F27 W28:X28 W29:W31 F31 W32:X32 W33:W38 W39:X39 Z39 W47:X47 Z47:Z56 W48:W55 F53:F55 W56:X56 W57:W63 F60:F63 W64:X64 Z64 W65:W71 F68:F71 W72:X72 Z72 W80:X80 Z80:Z118 W81:W84 F84 W85:X85 W86:W88 F88 W89:X89 W90:W93 F93 W94:X94 F94:G118 W95 W96:X96 W97:W98 W99:X99 W100 W101:X101 W102 W103:X105 W106 W107:X107 W108 W109:X109 W110:W111 W112:X112 W113 W114:X114 W115 W116:X118">
    <cfRule type="cellIs" dxfId="143" priority="85" stopIfTrue="1" operator="lessThanOrEqual">
      <formula>70%</formula>
    </cfRule>
  </conditionalFormatting>
  <conditionalFormatting sqref="G7">
    <cfRule type="cellIs" dxfId="142" priority="78" stopIfTrue="1" operator="greaterThanOrEqual">
      <formula>90%</formula>
    </cfRule>
  </conditionalFormatting>
  <conditionalFormatting sqref="G13">
    <cfRule type="cellIs" dxfId="141" priority="77" stopIfTrue="1" operator="greaterThanOrEqual">
      <formula>90%</formula>
    </cfRule>
  </conditionalFormatting>
  <conditionalFormatting sqref="G20">
    <cfRule type="cellIs" dxfId="140" priority="76" stopIfTrue="1" operator="greaterThanOrEqual">
      <formula>90%</formula>
    </cfRule>
  </conditionalFormatting>
  <conditionalFormatting sqref="G25">
    <cfRule type="cellIs" dxfId="139" priority="75" stopIfTrue="1" operator="greaterThanOrEqual">
      <formula>90%</formula>
    </cfRule>
  </conditionalFormatting>
  <conditionalFormatting sqref="G30">
    <cfRule type="cellIs" dxfId="138" priority="74" stopIfTrue="1" operator="greaterThanOrEqual">
      <formula>90%</formula>
    </cfRule>
  </conditionalFormatting>
  <conditionalFormatting sqref="G35">
    <cfRule type="cellIs" dxfId="137" priority="73" stopIfTrue="1" operator="greaterThanOrEqual">
      <formula>90%</formula>
    </cfRule>
  </conditionalFormatting>
  <conditionalFormatting sqref="G42">
    <cfRule type="cellIs" dxfId="136" priority="72" stopIfTrue="1" operator="greaterThanOrEqual">
      <formula>90%</formula>
    </cfRule>
  </conditionalFormatting>
  <conditionalFormatting sqref="G52">
    <cfRule type="cellIs" dxfId="135" priority="71" stopIfTrue="1" operator="greaterThanOrEqual">
      <formula>90%</formula>
    </cfRule>
  </conditionalFormatting>
  <conditionalFormatting sqref="G59">
    <cfRule type="cellIs" dxfId="134" priority="70" stopIfTrue="1" operator="greaterThanOrEqual">
      <formula>90%</formula>
    </cfRule>
  </conditionalFormatting>
  <conditionalFormatting sqref="G67">
    <cfRule type="cellIs" dxfId="133" priority="79" stopIfTrue="1" operator="greaterThanOrEqual">
      <formula>90%</formula>
    </cfRule>
  </conditionalFormatting>
  <conditionalFormatting sqref="G75">
    <cfRule type="cellIs" dxfId="132" priority="69" stopIfTrue="1" operator="greaterThanOrEqual">
      <formula>90%</formula>
    </cfRule>
  </conditionalFormatting>
  <conditionalFormatting sqref="G83">
    <cfRule type="cellIs" dxfId="131" priority="68" stopIfTrue="1" operator="greaterThanOrEqual">
      <formula>90%</formula>
    </cfRule>
  </conditionalFormatting>
  <conditionalFormatting sqref="G87">
    <cfRule type="cellIs" dxfId="130" priority="67" stopIfTrue="1" operator="greaterThanOrEqual">
      <formula>90%</formula>
    </cfRule>
  </conditionalFormatting>
  <conditionalFormatting sqref="G92">
    <cfRule type="cellIs" dxfId="129" priority="66" stopIfTrue="1" operator="greaterThanOrEqual">
      <formula>90%</formula>
    </cfRule>
  </conditionalFormatting>
  <conditionalFormatting sqref="O4:O118">
    <cfRule type="cellIs" dxfId="128" priority="1" stopIfTrue="1" operator="lessThanOrEqual">
      <formula>70%</formula>
    </cfRule>
    <cfRule type="cellIs" dxfId="127" priority="2" stopIfTrue="1" operator="between">
      <formula>70%</formula>
      <formula>80%</formula>
    </cfRule>
    <cfRule type="cellIs" dxfId="126" priority="3" stopIfTrue="1" operator="between">
      <formula>80%</formula>
      <formula>90%</formula>
    </cfRule>
    <cfRule type="cellIs" dxfId="125" priority="4" stopIfTrue="1" operator="greaterThanOrEqual">
      <formula>90%</formula>
    </cfRule>
  </conditionalFormatting>
  <conditionalFormatting sqref="V7:V8">
    <cfRule type="cellIs" dxfId="124" priority="26" operator="lessThanOrEqual">
      <formula>20%</formula>
    </cfRule>
  </conditionalFormatting>
  <conditionalFormatting sqref="V13">
    <cfRule type="cellIs" dxfId="123" priority="25" operator="lessThanOrEqual">
      <formula>0.2</formula>
    </cfRule>
  </conditionalFormatting>
  <conditionalFormatting sqref="V20:V21">
    <cfRule type="cellIs" dxfId="122" priority="24" operator="lessThanOrEqual">
      <formula>0.2</formula>
    </cfRule>
  </conditionalFormatting>
  <conditionalFormatting sqref="V25:V27">
    <cfRule type="cellIs" dxfId="121" priority="23" operator="lessThanOrEqual">
      <formula>0.2</formula>
    </cfRule>
  </conditionalFormatting>
  <conditionalFormatting sqref="V30">
    <cfRule type="cellIs" dxfId="120" priority="22" operator="lessThanOrEqual">
      <formula>0.2</formula>
    </cfRule>
  </conditionalFormatting>
  <conditionalFormatting sqref="V35">
    <cfRule type="cellIs" dxfId="119" priority="21" operator="lessThanOrEqual">
      <formula>0.2</formula>
    </cfRule>
  </conditionalFormatting>
  <conditionalFormatting sqref="V42">
    <cfRule type="cellIs" dxfId="118" priority="20" operator="lessThanOrEqual">
      <formula>0.2</formula>
    </cfRule>
  </conditionalFormatting>
  <conditionalFormatting sqref="V52">
    <cfRule type="cellIs" dxfId="117" priority="19" operator="lessThanOrEqual">
      <formula>0.2</formula>
    </cfRule>
  </conditionalFormatting>
  <conditionalFormatting sqref="V59">
    <cfRule type="cellIs" dxfId="116" priority="18" operator="lessThanOrEqual">
      <formula>0.2</formula>
    </cfRule>
  </conditionalFormatting>
  <conditionalFormatting sqref="V67">
    <cfRule type="cellIs" dxfId="115" priority="17" operator="lessThanOrEqual">
      <formula>0.2</formula>
    </cfRule>
  </conditionalFormatting>
  <conditionalFormatting sqref="V75">
    <cfRule type="cellIs" dxfId="114" priority="16" operator="lessThanOrEqual">
      <formula>0.2</formula>
    </cfRule>
  </conditionalFormatting>
  <conditionalFormatting sqref="V83">
    <cfRule type="cellIs" dxfId="113" priority="15" operator="lessThanOrEqual">
      <formula>0.2</formula>
    </cfRule>
  </conditionalFormatting>
  <conditionalFormatting sqref="V87">
    <cfRule type="cellIs" dxfId="112" priority="14" operator="lessThanOrEqual">
      <formula>0.2</formula>
    </cfRule>
  </conditionalFormatting>
  <conditionalFormatting sqref="V92">
    <cfRule type="cellIs" dxfId="111" priority="13" operator="lessThanOrEqual">
      <formula>0.2</formula>
    </cfRule>
  </conditionalFormatting>
  <conditionalFormatting sqref="W40:W46 F43:F46">
    <cfRule type="cellIs" dxfId="110" priority="31" stopIfTrue="1" operator="lessThanOrEqual">
      <formula>70%</formula>
    </cfRule>
    <cfRule type="cellIs" dxfId="109" priority="32" stopIfTrue="1" operator="between">
      <formula>70%</formula>
      <formula>80%</formula>
    </cfRule>
    <cfRule type="cellIs" dxfId="108" priority="33" stopIfTrue="1" operator="between">
      <formula>80%</formula>
      <formula>90%</formula>
    </cfRule>
  </conditionalFormatting>
  <conditionalFormatting sqref="W40:W46 F45:F46">
    <cfRule type="cellIs" dxfId="107" priority="34" stopIfTrue="1" operator="greaterThanOrEqual">
      <formula>90%</formula>
    </cfRule>
  </conditionalFormatting>
  <conditionalFormatting sqref="W73:W79 F76:F79">
    <cfRule type="cellIs" dxfId="106" priority="27" stopIfTrue="1" operator="lessThanOrEqual">
      <formula>70%</formula>
    </cfRule>
    <cfRule type="cellIs" dxfId="105" priority="28" stopIfTrue="1" operator="between">
      <formula>70%</formula>
      <formula>80%</formula>
    </cfRule>
    <cfRule type="cellIs" dxfId="104" priority="29" stopIfTrue="1" operator="between">
      <formula>80%</formula>
      <formula>90%</formula>
    </cfRule>
  </conditionalFormatting>
  <conditionalFormatting sqref="W73:W79 F78:F79">
    <cfRule type="cellIs" dxfId="103" priority="30" stopIfTrue="1" operator="greaterThanOrEqual">
      <formula>90%</formula>
    </cfRule>
  </conditionalFormatting>
  <conditionalFormatting sqref="W4:X4 F4:G7 Z4:Z32 W5:W8 F8 W9:X9 F9:G13 W10:W16 F14:F16 W17:X17 F17:G20 W18:W21 F21 W22:X22 F22:G25 W23:W27 F26:F27 W28:X28 F28:G30 W29:W31 F31 W32:X32 F32:G35 W33:W38 W39:X39 Z39 F39:G42 W47:X47 F47:G52 Z47:Z56 W48:W55 F53:F55 W56:X56 F56:G59 W57:W63 F60:F63 W64:X64 Z64 F64:G67 W65:W71 F68:F71 W72:X72 Z72 F72:G75 W80:X80 F80:G83 Z80:Z118 W81:W84 F84 W85:X85 F85:G87 W86:W88 F88 W89:X89 F89:G92 W90:W93 F93 W94:X94 F94:G118 W95 W96:X96 W97:W98 W99:X99 W100 W101:X101 W102 W103:X105 W106 W107:X107 W108 W109:X109 W110:W111 W112:X112 W113 W114:X114 W115 W116:X118">
    <cfRule type="cellIs" dxfId="102" priority="86" stopIfTrue="1" operator="between">
      <formula>70%</formula>
      <formula>80%</formula>
    </cfRule>
    <cfRule type="cellIs" dxfId="101" priority="87" stopIfTrue="1" operator="between">
      <formula>80%</formula>
      <formula>90%</formula>
    </cfRule>
  </conditionalFormatting>
  <conditionalFormatting sqref="W4:X4 Z4:Z32 F4:F36 W5:W8 W9:X9 W10:W16 W17:X17 W18:W21 W22:X22 W23:W27 W28:X28 W29:W31 W32:X32 W33:W38 W39:X39 Z39 F39:F44 W47:X47 Z47:Z56 F47:F77 W48:W55 W56:X56 W57:W63 W64:X64 Z64 W65:W71 W72:X72 Z72 W80:X80 F80:F118 Z80:Z118 W81:W84 W85:X85 W86:W88 W89:X89 W90:W93 W94:X94 W95 W96:X96 W97:W98 W99:X99 W100 W101:X101 W102 W103:X105 W106 W107:X107 W108 W109:X109 W110:W111 W112:X112 W113 W114:X114 W115 W116:X118">
    <cfRule type="cellIs" dxfId="100" priority="88" stopIfTrue="1" operator="greaterThanOrEqual">
      <formula>90%</formula>
    </cfRule>
  </conditionalFormatting>
  <dataValidations count="1">
    <dataValidation type="list" allowBlank="1" showInputMessage="1" showErrorMessage="1" sqref="C80:C118 C39:C44 C4:C36 C47:C77" xr:uid="{00000000-0002-0000-0000-000000000000}">
      <formula1>PowerElementType</formula1>
    </dataValidation>
  </dataValidations>
  <pageMargins left="0.75" right="0.75" top="1" bottom="1" header="0.5" footer="0.5"/>
  <pageSetup paperSize="8" orientation="landscape" r:id="rId2"/>
  <headerFooter alignWithMargins="0">
    <oddFooter>&amp;L&amp;1#&amp;"Calibri"&amp;7&amp;K000000C2 General</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K115"/>
  <sheetViews>
    <sheetView zoomScale="120" zoomScaleNormal="120" workbookViewId="0">
      <selection activeCell="E16" sqref="E16"/>
    </sheetView>
  </sheetViews>
  <sheetFormatPr defaultColWidth="10.6640625" defaultRowHeight="15"/>
  <cols>
    <col min="1" max="1" width="17" style="577" bestFit="1" customWidth="1"/>
    <col min="2" max="2" width="37.83203125" style="578" bestFit="1" customWidth="1"/>
    <col min="3" max="3" width="27.5" style="579" bestFit="1" customWidth="1"/>
    <col min="4" max="4" width="24.33203125" style="577" bestFit="1" customWidth="1"/>
    <col min="5" max="5" width="43.1640625" style="579" bestFit="1" customWidth="1"/>
    <col min="6" max="6" width="22.33203125" style="577" bestFit="1" customWidth="1"/>
    <col min="7" max="7" width="32.5" style="577" bestFit="1" customWidth="1"/>
    <col min="8" max="8" width="55.5" style="577" bestFit="1" customWidth="1"/>
    <col min="9" max="9" width="50.83203125" style="577" bestFit="1" customWidth="1"/>
    <col min="10" max="10" width="37.5" style="577" bestFit="1" customWidth="1"/>
    <col min="11" max="11" width="20.5" style="577" bestFit="1" customWidth="1"/>
    <col min="12" max="16384" width="10.6640625" style="577"/>
  </cols>
  <sheetData>
    <row r="2" spans="1:11">
      <c r="A2" s="1034" t="s">
        <v>7</v>
      </c>
      <c r="B2" s="578" t="s">
        <v>241</v>
      </c>
    </row>
    <row r="4" spans="1:11">
      <c r="A4" s="1034" t="s">
        <v>242</v>
      </c>
      <c r="B4" s="577" t="s">
        <v>243</v>
      </c>
      <c r="C4" s="577" t="s">
        <v>244</v>
      </c>
      <c r="D4" s="577" t="s">
        <v>245</v>
      </c>
      <c r="E4" s="577" t="s">
        <v>246</v>
      </c>
      <c r="F4" s="577" t="s">
        <v>247</v>
      </c>
      <c r="G4" s="577" t="s">
        <v>248</v>
      </c>
      <c r="H4" s="577" t="s">
        <v>249</v>
      </c>
      <c r="I4" s="577" t="s">
        <v>250</v>
      </c>
    </row>
    <row r="5" spans="1:11">
      <c r="A5" s="1035" t="s">
        <v>190</v>
      </c>
      <c r="B5" s="578">
        <v>400</v>
      </c>
      <c r="C5" s="1036">
        <v>0.38277511961722488</v>
      </c>
      <c r="D5" s="578">
        <v>76</v>
      </c>
      <c r="E5" s="1036"/>
      <c r="F5" s="578"/>
      <c r="G5" s="578"/>
      <c r="H5" s="578">
        <v>476</v>
      </c>
      <c r="I5" s="1036">
        <v>0.45550239234449763</v>
      </c>
      <c r="J5" s="578"/>
      <c r="K5"/>
    </row>
    <row r="6" spans="1:11">
      <c r="A6" s="1035" t="s">
        <v>191</v>
      </c>
      <c r="B6" s="578">
        <v>222</v>
      </c>
      <c r="C6" s="1036">
        <v>0.43274853801169588</v>
      </c>
      <c r="D6" s="578">
        <v>80</v>
      </c>
      <c r="E6" s="1036"/>
      <c r="F6" s="578"/>
      <c r="G6" s="578"/>
      <c r="H6" s="578">
        <v>302</v>
      </c>
      <c r="I6" s="1036">
        <v>0.58869395711500971</v>
      </c>
      <c r="J6" s="578"/>
      <c r="K6"/>
    </row>
    <row r="7" spans="1:11">
      <c r="A7" s="1035" t="s">
        <v>192</v>
      </c>
      <c r="B7" s="578">
        <v>350</v>
      </c>
      <c r="C7" s="1036">
        <v>0.68226120857699801</v>
      </c>
      <c r="D7" s="578">
        <v>0</v>
      </c>
      <c r="E7" s="1036"/>
      <c r="F7" s="578"/>
      <c r="G7" s="578"/>
      <c r="H7" s="578">
        <v>350</v>
      </c>
      <c r="I7" s="1036">
        <v>0.68226120857699801</v>
      </c>
      <c r="J7"/>
      <c r="K7"/>
    </row>
    <row r="8" spans="1:11">
      <c r="A8" s="1035" t="s">
        <v>186</v>
      </c>
      <c r="B8" s="578">
        <v>510</v>
      </c>
      <c r="C8" s="1036">
        <v>0.48803827751196172</v>
      </c>
      <c r="D8" s="578">
        <v>68</v>
      </c>
      <c r="E8" s="1036"/>
      <c r="F8" s="578"/>
      <c r="G8" s="578"/>
      <c r="H8" s="578">
        <v>578</v>
      </c>
      <c r="I8" s="1036">
        <v>0.55311004784689</v>
      </c>
      <c r="J8"/>
      <c r="K8"/>
    </row>
    <row r="9" spans="1:11">
      <c r="A9" s="1035" t="s">
        <v>188</v>
      </c>
      <c r="B9" s="578">
        <v>390</v>
      </c>
      <c r="C9" s="1036">
        <v>0.37320574162679426</v>
      </c>
      <c r="D9" s="578">
        <v>68</v>
      </c>
      <c r="E9" s="1036"/>
      <c r="F9" s="578"/>
      <c r="G9" s="578"/>
      <c r="H9" s="578">
        <v>458</v>
      </c>
      <c r="I9" s="1036">
        <v>0.43827751196172249</v>
      </c>
      <c r="J9"/>
      <c r="K9"/>
    </row>
    <row r="10" spans="1:11">
      <c r="A10"/>
      <c r="B10"/>
      <c r="C10"/>
      <c r="D10"/>
      <c r="E10"/>
      <c r="F10"/>
      <c r="G10"/>
      <c r="H10"/>
      <c r="I10"/>
      <c r="J10"/>
      <c r="K10"/>
    </row>
    <row r="11" spans="1:11">
      <c r="A11"/>
      <c r="B11"/>
      <c r="C11"/>
      <c r="D11"/>
      <c r="E11"/>
      <c r="F11"/>
      <c r="G11"/>
      <c r="H11"/>
      <c r="I11"/>
      <c r="J11"/>
    </row>
    <row r="12" spans="1:11">
      <c r="A12"/>
      <c r="B12"/>
      <c r="C12"/>
      <c r="D12"/>
      <c r="E12"/>
      <c r="F12"/>
      <c r="G12"/>
      <c r="H12"/>
      <c r="I12"/>
      <c r="J12"/>
    </row>
    <row r="13" spans="1:11">
      <c r="A13"/>
      <c r="B13"/>
      <c r="C13"/>
      <c r="D13"/>
      <c r="E13"/>
      <c r="F13"/>
      <c r="G13"/>
      <c r="H13"/>
      <c r="I13"/>
      <c r="J13"/>
    </row>
    <row r="14" spans="1:11">
      <c r="A14"/>
      <c r="B14"/>
      <c r="C14"/>
      <c r="D14"/>
      <c r="E14"/>
      <c r="F14"/>
      <c r="G14"/>
      <c r="H14"/>
      <c r="I14"/>
      <c r="J14"/>
    </row>
    <row r="15" spans="1:11">
      <c r="A15"/>
      <c r="B15"/>
      <c r="C15"/>
      <c r="D15"/>
      <c r="E15"/>
      <c r="F15"/>
      <c r="G15"/>
      <c r="H15"/>
      <c r="I15"/>
      <c r="J15"/>
    </row>
    <row r="16" spans="1:11">
      <c r="A16"/>
      <c r="B16"/>
      <c r="C16"/>
      <c r="D16"/>
      <c r="E16"/>
      <c r="F16"/>
      <c r="G16"/>
      <c r="H16"/>
      <c r="I16"/>
      <c r="J16"/>
    </row>
    <row r="17" spans="1:10">
      <c r="A17"/>
      <c r="B17"/>
      <c r="C17"/>
      <c r="D17"/>
      <c r="E17"/>
      <c r="F17"/>
      <c r="G17"/>
      <c r="H17"/>
      <c r="I17"/>
      <c r="J17"/>
    </row>
    <row r="18" spans="1:10">
      <c r="A18"/>
      <c r="B18"/>
      <c r="C18"/>
      <c r="D18"/>
      <c r="E18"/>
      <c r="F18"/>
      <c r="G18"/>
      <c r="H18"/>
      <c r="I18"/>
      <c r="J18"/>
    </row>
    <row r="19" spans="1:10">
      <c r="A19"/>
      <c r="B19"/>
      <c r="C19"/>
      <c r="D19"/>
      <c r="E19"/>
      <c r="F19"/>
      <c r="G19"/>
      <c r="H19"/>
      <c r="I19"/>
      <c r="J19"/>
    </row>
    <row r="20" spans="1:10">
      <c r="A20"/>
      <c r="B20"/>
      <c r="C20"/>
      <c r="D20"/>
      <c r="E20"/>
      <c r="F20"/>
      <c r="G20"/>
      <c r="H20"/>
      <c r="I20"/>
      <c r="J20"/>
    </row>
    <row r="21" spans="1:10">
      <c r="A21"/>
      <c r="B21"/>
      <c r="C21"/>
      <c r="D21"/>
      <c r="E21"/>
      <c r="F21"/>
      <c r="G21"/>
      <c r="H21"/>
      <c r="I21"/>
      <c r="J21"/>
    </row>
    <row r="22" spans="1:10">
      <c r="A22"/>
      <c r="B22"/>
      <c r="C22"/>
      <c r="D22"/>
      <c r="E22"/>
      <c r="F22"/>
      <c r="G22"/>
      <c r="H22"/>
      <c r="I22"/>
      <c r="J22"/>
    </row>
    <row r="23" spans="1:10">
      <c r="A23"/>
      <c r="B23"/>
      <c r="C23"/>
      <c r="D23"/>
      <c r="E23"/>
      <c r="F23"/>
      <c r="G23"/>
      <c r="H23"/>
      <c r="I23"/>
      <c r="J23"/>
    </row>
    <row r="24" spans="1:10">
      <c r="A24"/>
      <c r="B24"/>
      <c r="C24"/>
      <c r="D24"/>
      <c r="E24"/>
      <c r="F24"/>
      <c r="G24"/>
      <c r="H24"/>
      <c r="I24"/>
      <c r="J24"/>
    </row>
    <row r="25" spans="1:10">
      <c r="A25"/>
      <c r="B25"/>
      <c r="C25"/>
      <c r="D25"/>
      <c r="E25"/>
      <c r="F25"/>
      <c r="G25"/>
      <c r="H25"/>
      <c r="I25"/>
      <c r="J25"/>
    </row>
    <row r="26" spans="1:10">
      <c r="A26"/>
      <c r="B26"/>
      <c r="C26"/>
      <c r="D26"/>
      <c r="E26"/>
      <c r="F26"/>
      <c r="G26"/>
      <c r="H26"/>
      <c r="I26"/>
      <c r="J26"/>
    </row>
    <row r="27" spans="1:10">
      <c r="A27"/>
      <c r="B27"/>
      <c r="C27"/>
      <c r="D27"/>
      <c r="E27"/>
      <c r="F27"/>
      <c r="G27"/>
      <c r="H27"/>
      <c r="I27"/>
      <c r="J27"/>
    </row>
    <row r="28" spans="1:10">
      <c r="A28"/>
      <c r="B28"/>
      <c r="C28"/>
      <c r="D28"/>
      <c r="E28"/>
      <c r="F28"/>
      <c r="G28"/>
      <c r="H28"/>
      <c r="I28"/>
      <c r="J28"/>
    </row>
    <row r="29" spans="1:10">
      <c r="A29"/>
      <c r="B29"/>
      <c r="C29"/>
      <c r="D29"/>
      <c r="E29"/>
      <c r="F29"/>
      <c r="G29"/>
      <c r="H29"/>
      <c r="I29"/>
      <c r="J29"/>
    </row>
    <row r="30" spans="1:10">
      <c r="A30"/>
      <c r="B30"/>
      <c r="C30"/>
      <c r="D30"/>
      <c r="E30"/>
      <c r="F30"/>
      <c r="G30"/>
      <c r="H30"/>
      <c r="I30"/>
      <c r="J30"/>
    </row>
    <row r="31" spans="1:10">
      <c r="A31"/>
      <c r="B31"/>
      <c r="C31"/>
      <c r="D31"/>
      <c r="E31"/>
      <c r="F31"/>
      <c r="G31"/>
      <c r="H31"/>
      <c r="I31"/>
      <c r="J31"/>
    </row>
    <row r="32" spans="1:10">
      <c r="A32"/>
      <c r="B32"/>
      <c r="C32"/>
      <c r="D32"/>
      <c r="E32"/>
      <c r="F32"/>
      <c r="G32"/>
      <c r="H32"/>
      <c r="I32"/>
      <c r="J32"/>
    </row>
    <row r="33" spans="1:10">
      <c r="A33"/>
      <c r="B33"/>
      <c r="C33"/>
      <c r="D33"/>
      <c r="E33"/>
      <c r="F33"/>
      <c r="G33"/>
      <c r="H33"/>
      <c r="I33"/>
      <c r="J33"/>
    </row>
    <row r="34" spans="1:10">
      <c r="A34"/>
      <c r="B34"/>
      <c r="C34"/>
      <c r="D34"/>
      <c r="E34"/>
      <c r="F34"/>
      <c r="G34"/>
      <c r="H34"/>
      <c r="I34"/>
      <c r="J34"/>
    </row>
    <row r="35" spans="1:10">
      <c r="A35"/>
      <c r="B35"/>
      <c r="C35"/>
      <c r="D35"/>
      <c r="E35"/>
      <c r="F35"/>
      <c r="G35"/>
      <c r="H35"/>
      <c r="I35"/>
      <c r="J35"/>
    </row>
    <row r="36" spans="1:10">
      <c r="A36"/>
      <c r="B36"/>
      <c r="C36"/>
      <c r="D36"/>
      <c r="E36"/>
      <c r="F36"/>
      <c r="G36"/>
      <c r="H36"/>
      <c r="I36"/>
      <c r="J36"/>
    </row>
    <row r="37" spans="1:10">
      <c r="A37"/>
      <c r="B37"/>
      <c r="C37"/>
      <c r="D37"/>
      <c r="E37"/>
      <c r="F37"/>
      <c r="G37"/>
      <c r="H37"/>
      <c r="I37"/>
      <c r="J37"/>
    </row>
    <row r="38" spans="1:10">
      <c r="A38"/>
      <c r="B38"/>
      <c r="C38"/>
      <c r="D38"/>
      <c r="E38"/>
      <c r="F38"/>
      <c r="G38"/>
      <c r="H38"/>
      <c r="I38"/>
      <c r="J38"/>
    </row>
    <row r="39" spans="1:10">
      <c r="A39"/>
      <c r="B39"/>
      <c r="C39"/>
      <c r="D39"/>
      <c r="E39"/>
      <c r="F39"/>
      <c r="G39"/>
      <c r="H39"/>
      <c r="I39"/>
      <c r="J39"/>
    </row>
    <row r="40" spans="1:10">
      <c r="A40"/>
      <c r="B40"/>
      <c r="C40"/>
      <c r="D40"/>
      <c r="E40"/>
      <c r="F40"/>
      <c r="G40"/>
      <c r="H40"/>
      <c r="I40"/>
      <c r="J40"/>
    </row>
    <row r="41" spans="1:10">
      <c r="A41"/>
      <c r="B41"/>
      <c r="C41"/>
      <c r="D41"/>
      <c r="E41"/>
      <c r="F41"/>
      <c r="G41"/>
      <c r="H41"/>
      <c r="I41"/>
      <c r="J41"/>
    </row>
    <row r="42" spans="1:10">
      <c r="A42"/>
      <c r="B42"/>
      <c r="C42"/>
      <c r="D42"/>
      <c r="E42"/>
      <c r="F42"/>
      <c r="G42"/>
      <c r="H42"/>
      <c r="I42"/>
      <c r="J42"/>
    </row>
    <row r="43" spans="1:10">
      <c r="A43"/>
      <c r="B43"/>
      <c r="C43"/>
      <c r="D43"/>
      <c r="E43"/>
      <c r="F43"/>
      <c r="G43"/>
      <c r="H43"/>
      <c r="I43"/>
      <c r="J43"/>
    </row>
    <row r="44" spans="1:10">
      <c r="A44"/>
      <c r="B44"/>
      <c r="C44"/>
      <c r="D44"/>
      <c r="E44"/>
      <c r="F44"/>
      <c r="G44"/>
      <c r="H44"/>
      <c r="I44"/>
      <c r="J44"/>
    </row>
    <row r="45" spans="1:10">
      <c r="A45"/>
      <c r="B45"/>
      <c r="C45"/>
      <c r="D45"/>
      <c r="E45"/>
      <c r="F45"/>
      <c r="G45"/>
      <c r="H45"/>
      <c r="I45"/>
      <c r="J45"/>
    </row>
    <row r="46" spans="1:10">
      <c r="A46"/>
      <c r="B46"/>
      <c r="C46"/>
      <c r="D46"/>
      <c r="E46"/>
      <c r="F46"/>
      <c r="G46"/>
      <c r="H46"/>
      <c r="I46"/>
      <c r="J46"/>
    </row>
    <row r="47" spans="1:10">
      <c r="A47"/>
      <c r="B47"/>
      <c r="C47"/>
      <c r="D47"/>
      <c r="E47"/>
      <c r="F47"/>
      <c r="G47"/>
      <c r="H47"/>
      <c r="I47"/>
      <c r="J47"/>
    </row>
    <row r="48" spans="1:10">
      <c r="A48"/>
      <c r="B48"/>
      <c r="C48"/>
      <c r="D48"/>
      <c r="E48"/>
      <c r="F48"/>
      <c r="G48"/>
      <c r="H48"/>
      <c r="I48"/>
      <c r="J48"/>
    </row>
    <row r="49" spans="1:10">
      <c r="A49"/>
      <c r="B49"/>
      <c r="C49"/>
      <c r="D49"/>
      <c r="E49"/>
      <c r="F49"/>
      <c r="G49"/>
      <c r="H49"/>
      <c r="I49"/>
      <c r="J49"/>
    </row>
    <row r="50" spans="1:10">
      <c r="A50"/>
      <c r="B50"/>
      <c r="C50"/>
      <c r="D50"/>
      <c r="E50"/>
      <c r="F50"/>
      <c r="G50"/>
      <c r="H50"/>
      <c r="I50"/>
      <c r="J50"/>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row r="84" spans="1:10">
      <c r="A84"/>
      <c r="B84"/>
      <c r="C84"/>
      <c r="D84"/>
      <c r="E84"/>
      <c r="F84"/>
      <c r="G84"/>
      <c r="H84"/>
      <c r="I84"/>
      <c r="J84"/>
    </row>
    <row r="85" spans="1:10">
      <c r="A85"/>
      <c r="B85"/>
      <c r="C85"/>
      <c r="D85"/>
      <c r="E85"/>
      <c r="F85"/>
      <c r="G85"/>
      <c r="H85"/>
      <c r="I85"/>
      <c r="J85"/>
    </row>
    <row r="86" spans="1:10">
      <c r="A86"/>
      <c r="B86"/>
      <c r="C86"/>
      <c r="D86"/>
      <c r="E86"/>
      <c r="F86"/>
      <c r="G86"/>
      <c r="H86"/>
      <c r="I86"/>
      <c r="J86"/>
    </row>
    <row r="87" spans="1:10">
      <c r="A87"/>
      <c r="B87"/>
      <c r="C87"/>
      <c r="D87"/>
      <c r="E87"/>
      <c r="F87"/>
      <c r="G87"/>
      <c r="H87"/>
      <c r="I87"/>
      <c r="J87"/>
    </row>
    <row r="88" spans="1:10">
      <c r="A88"/>
      <c r="B88"/>
      <c r="C88"/>
      <c r="D88"/>
      <c r="E88"/>
      <c r="F88"/>
      <c r="G88"/>
      <c r="H88"/>
      <c r="I88"/>
      <c r="J88"/>
    </row>
    <row r="89" spans="1:10">
      <c r="A89"/>
      <c r="B89"/>
      <c r="C89"/>
      <c r="D89"/>
      <c r="E89"/>
      <c r="F89"/>
      <c r="G89"/>
      <c r="H89"/>
      <c r="I89"/>
      <c r="J89"/>
    </row>
    <row r="90" spans="1:10">
      <c r="A90"/>
      <c r="B90"/>
      <c r="C90"/>
      <c r="D90"/>
      <c r="E90"/>
      <c r="F90"/>
      <c r="G90"/>
      <c r="H90"/>
      <c r="I90"/>
      <c r="J90"/>
    </row>
    <row r="91" spans="1:10">
      <c r="A91"/>
      <c r="B91"/>
      <c r="C91"/>
      <c r="D91"/>
      <c r="E91"/>
      <c r="F91"/>
      <c r="G91"/>
      <c r="H91"/>
      <c r="I91"/>
      <c r="J91"/>
    </row>
    <row r="92" spans="1:10">
      <c r="A92"/>
      <c r="B92"/>
      <c r="C92"/>
      <c r="D92"/>
      <c r="E92"/>
      <c r="F92"/>
      <c r="G92"/>
      <c r="H92"/>
      <c r="I92"/>
      <c r="J92"/>
    </row>
    <row r="93" spans="1:10">
      <c r="A93"/>
      <c r="B93"/>
      <c r="C93"/>
      <c r="D93"/>
      <c r="E93"/>
      <c r="F93"/>
      <c r="G93"/>
      <c r="H93"/>
      <c r="I93"/>
      <c r="J93"/>
    </row>
    <row r="94" spans="1:10">
      <c r="A94"/>
      <c r="B94"/>
      <c r="C94"/>
      <c r="D94"/>
      <c r="E94"/>
      <c r="F94"/>
      <c r="G94"/>
      <c r="H94"/>
      <c r="I94"/>
      <c r="J94"/>
    </row>
    <row r="95" spans="1:10">
      <c r="A95"/>
      <c r="B95"/>
      <c r="C95"/>
      <c r="D95"/>
      <c r="E95"/>
      <c r="F95"/>
      <c r="G95"/>
      <c r="H95"/>
      <c r="I95"/>
      <c r="J95"/>
    </row>
    <row r="96" spans="1:10">
      <c r="A96"/>
      <c r="B96"/>
      <c r="C96"/>
      <c r="D96"/>
      <c r="E96"/>
      <c r="F96"/>
      <c r="G96"/>
      <c r="H96"/>
      <c r="I96"/>
      <c r="J96"/>
    </row>
    <row r="97" spans="1:10">
      <c r="A97"/>
      <c r="B97"/>
      <c r="C97"/>
      <c r="D97"/>
      <c r="E97"/>
      <c r="F97"/>
      <c r="G97"/>
      <c r="H97"/>
      <c r="I97"/>
      <c r="J97"/>
    </row>
    <row r="98" spans="1:10">
      <c r="A98"/>
      <c r="B98"/>
      <c r="C98"/>
      <c r="D98"/>
      <c r="E98"/>
      <c r="F98"/>
      <c r="G98"/>
      <c r="H98"/>
      <c r="I98"/>
      <c r="J98"/>
    </row>
    <row r="99" spans="1:10">
      <c r="A99"/>
      <c r="B99"/>
      <c r="C99"/>
      <c r="D99"/>
      <c r="E99"/>
      <c r="F99"/>
      <c r="G99"/>
      <c r="H99"/>
      <c r="I99"/>
      <c r="J99"/>
    </row>
    <row r="100" spans="1:10">
      <c r="A100"/>
      <c r="B100"/>
      <c r="C100"/>
      <c r="D100"/>
      <c r="E100"/>
      <c r="F100"/>
      <c r="G100"/>
      <c r="H100"/>
      <c r="I100"/>
      <c r="J100"/>
    </row>
    <row r="101" spans="1:10">
      <c r="A101"/>
      <c r="B101"/>
      <c r="C101"/>
      <c r="D101"/>
      <c r="E101"/>
      <c r="F101"/>
      <c r="G101"/>
      <c r="H101"/>
      <c r="I101"/>
      <c r="J101"/>
    </row>
    <row r="102" spans="1:10">
      <c r="A102"/>
      <c r="B102"/>
      <c r="C102"/>
      <c r="D102"/>
      <c r="E102"/>
      <c r="F102"/>
      <c r="G102"/>
      <c r="H102"/>
      <c r="I102"/>
      <c r="J102"/>
    </row>
    <row r="103" spans="1:10">
      <c r="A103"/>
      <c r="B103"/>
      <c r="C103"/>
      <c r="D103"/>
      <c r="E103"/>
      <c r="F103"/>
      <c r="G103"/>
      <c r="H103"/>
      <c r="I103"/>
      <c r="J103"/>
    </row>
    <row r="104" spans="1:10">
      <c r="A104"/>
      <c r="B104"/>
      <c r="C104"/>
      <c r="D104"/>
      <c r="E104"/>
      <c r="F104"/>
      <c r="G104"/>
      <c r="H104"/>
      <c r="I104"/>
      <c r="J104"/>
    </row>
    <row r="105" spans="1:10">
      <c r="A105"/>
      <c r="B105"/>
      <c r="C105"/>
      <c r="D105"/>
      <c r="E105"/>
      <c r="F105"/>
      <c r="G105"/>
      <c r="H105"/>
      <c r="I105"/>
      <c r="J105"/>
    </row>
    <row r="106" spans="1:10">
      <c r="A106"/>
      <c r="B106"/>
      <c r="C106"/>
      <c r="D106"/>
      <c r="E106"/>
      <c r="F106"/>
      <c r="G106"/>
      <c r="H106"/>
      <c r="I106"/>
      <c r="J106"/>
    </row>
    <row r="107" spans="1:10">
      <c r="A107"/>
      <c r="B107"/>
      <c r="C107"/>
      <c r="D107"/>
      <c r="E107"/>
      <c r="F107"/>
      <c r="G107"/>
      <c r="H107"/>
      <c r="I107"/>
      <c r="J107"/>
    </row>
    <row r="108" spans="1:10">
      <c r="A108"/>
      <c r="B108"/>
      <c r="C108"/>
      <c r="D108"/>
      <c r="E108"/>
      <c r="F108"/>
      <c r="G108"/>
      <c r="H108"/>
      <c r="I108"/>
      <c r="J108"/>
    </row>
    <row r="109" spans="1:10">
      <c r="A109"/>
      <c r="B109"/>
      <c r="C109"/>
      <c r="D109"/>
      <c r="E109"/>
      <c r="F109"/>
      <c r="G109"/>
      <c r="H109"/>
      <c r="I109"/>
      <c r="J109"/>
    </row>
    <row r="110" spans="1:10">
      <c r="A110"/>
      <c r="B110"/>
      <c r="C110"/>
      <c r="D110"/>
      <c r="E110"/>
      <c r="F110"/>
      <c r="G110"/>
      <c r="H110"/>
      <c r="I110"/>
      <c r="J110"/>
    </row>
    <row r="111" spans="1:10">
      <c r="A111"/>
      <c r="B111"/>
      <c r="C111"/>
      <c r="D111"/>
      <c r="E111"/>
      <c r="F111"/>
      <c r="G111"/>
      <c r="H111"/>
      <c r="I111"/>
      <c r="J111"/>
    </row>
    <row r="112" spans="1:10">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sheetData>
  <pageMargins left="0.7" right="0.7" top="0.75" bottom="0.75" header="0.3" footer="0.3"/>
  <pageSetup paperSize="9" orientation="portrait" r:id="rId2"/>
  <headerFooter>
    <oddFooter>&amp;L&amp;1#&amp;"Calibri"&amp;7&amp;K000000C2 General</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A118"/>
  <sheetViews>
    <sheetView zoomScale="80" zoomScaleNormal="80" workbookViewId="0">
      <pane ySplit="1" topLeftCell="A18" activePane="bottomLeft" state="frozen"/>
      <selection pane="bottomLeft" activeCell="M29" sqref="M29"/>
    </sheetView>
  </sheetViews>
  <sheetFormatPr defaultColWidth="13.6640625" defaultRowHeight="12.75" customHeight="1" outlineLevelCol="1"/>
  <cols>
    <col min="1" max="1" width="13.6640625" style="205"/>
    <col min="2" max="2" width="19" style="205" customWidth="1"/>
    <col min="3" max="3" width="13.6640625" style="205"/>
    <col min="4" max="5" width="13.6640625" style="205" customWidth="1" outlineLevel="1"/>
    <col min="6" max="6" width="16.1640625" style="205" customWidth="1" outlineLevel="1"/>
    <col min="7" max="7" width="14.1640625" style="205" customWidth="1" outlineLevel="1"/>
    <col min="8" max="9" width="13.6640625" style="205" customWidth="1" outlineLevel="1"/>
    <col min="10" max="12" width="13.6640625" style="205"/>
    <col min="13" max="13" width="13.6640625" style="1075"/>
    <col min="14" max="19" width="13.6640625" style="205"/>
    <col min="20" max="21" width="15.1640625" style="205" customWidth="1"/>
    <col min="22" max="22" width="11.1640625" style="205" bestFit="1" customWidth="1"/>
    <col min="23" max="24" width="34.6640625" style="205" customWidth="1"/>
    <col min="25" max="16384" width="13.6640625" style="205"/>
  </cols>
  <sheetData>
    <row r="1" spans="1:27" ht="51" customHeight="1">
      <c r="A1" s="309" t="s">
        <v>7</v>
      </c>
      <c r="B1" s="304" t="s">
        <v>8</v>
      </c>
      <c r="C1" s="304" t="s">
        <v>251</v>
      </c>
      <c r="D1" s="305" t="s">
        <v>252</v>
      </c>
      <c r="E1" s="305" t="s">
        <v>253</v>
      </c>
      <c r="F1" s="305" t="s">
        <v>254</v>
      </c>
      <c r="G1" s="305" t="s">
        <v>255</v>
      </c>
      <c r="H1" s="304" t="s">
        <v>256</v>
      </c>
      <c r="I1" s="304" t="s">
        <v>257</v>
      </c>
      <c r="J1" s="304" t="s">
        <v>19</v>
      </c>
      <c r="K1" s="304" t="s">
        <v>258</v>
      </c>
      <c r="L1" s="304" t="s">
        <v>259</v>
      </c>
      <c r="M1" s="1073" t="s">
        <v>260</v>
      </c>
      <c r="N1" s="304" t="s">
        <v>261</v>
      </c>
      <c r="O1" s="304" t="s">
        <v>262</v>
      </c>
      <c r="P1" s="304" t="s">
        <v>263</v>
      </c>
      <c r="Q1" s="304" t="s">
        <v>264</v>
      </c>
      <c r="R1" s="304" t="s">
        <v>265</v>
      </c>
      <c r="S1" s="304" t="s">
        <v>266</v>
      </c>
      <c r="T1" s="304" t="s">
        <v>267</v>
      </c>
      <c r="U1" s="304" t="s">
        <v>27</v>
      </c>
      <c r="V1" s="304" t="s">
        <v>268</v>
      </c>
      <c r="W1" s="304" t="s">
        <v>269</v>
      </c>
      <c r="X1" s="304" t="s">
        <v>270</v>
      </c>
      <c r="Y1" s="304"/>
      <c r="Z1" s="306"/>
      <c r="AA1" s="307"/>
    </row>
    <row r="2" spans="1:27" ht="13.15">
      <c r="A2" s="204" t="s">
        <v>271</v>
      </c>
      <c r="B2" s="204" t="s">
        <v>272</v>
      </c>
      <c r="C2" s="204" t="s">
        <v>273</v>
      </c>
      <c r="D2" s="204">
        <v>19</v>
      </c>
      <c r="E2" s="204">
        <v>2</v>
      </c>
      <c r="F2" s="204">
        <v>2.4</v>
      </c>
      <c r="G2" s="204">
        <f>(D2-E2)*F2</f>
        <v>40.799999999999997</v>
      </c>
      <c r="H2" s="204">
        <f t="shared" ref="H2:H41" si="0">INT((G2*1000)/230)</f>
        <v>177</v>
      </c>
      <c r="I2" s="204">
        <f>((26-E2)*F2)-G2</f>
        <v>16.799999999999997</v>
      </c>
      <c r="J2" s="204">
        <f>H2/2</f>
        <v>88.5</v>
      </c>
      <c r="K2" s="1054">
        <v>64</v>
      </c>
      <c r="L2" s="1055">
        <v>45312</v>
      </c>
      <c r="M2" s="293">
        <f t="shared" ref="M2:M41" si="1">ROUNDUP(((K2*230)/1000),0)</f>
        <v>15</v>
      </c>
      <c r="N2" s="492">
        <f t="shared" ref="N2:N5" si="2">(O2*1000)/54.5</f>
        <v>300.00000000000006</v>
      </c>
      <c r="O2" s="492">
        <f>M2*1.09</f>
        <v>16.350000000000001</v>
      </c>
      <c r="P2" s="204">
        <v>8</v>
      </c>
      <c r="Q2" s="492">
        <f>(P2*230)/1000</f>
        <v>1.84</v>
      </c>
      <c r="R2" s="204">
        <v>2.5</v>
      </c>
      <c r="S2" s="492">
        <f t="shared" ref="S2:S41" si="3">(R2*230)/1000</f>
        <v>0.57499999999999996</v>
      </c>
      <c r="T2" s="492">
        <f t="shared" ref="T2:T41" si="4">K2+P2+R2</f>
        <v>74.5</v>
      </c>
      <c r="U2" s="492">
        <f t="shared" ref="U2:U15" si="5">J2-T2</f>
        <v>14</v>
      </c>
      <c r="V2" s="493">
        <f t="shared" ref="V2:V15" si="6">U2/J2</f>
        <v>0.15819209039548024</v>
      </c>
      <c r="W2" s="204" t="s">
        <v>274</v>
      </c>
      <c r="X2" s="204" t="s">
        <v>275</v>
      </c>
      <c r="Y2" s="204"/>
      <c r="Z2"/>
    </row>
    <row r="3" spans="1:27" ht="13.15">
      <c r="A3" s="204" t="s">
        <v>271</v>
      </c>
      <c r="B3" s="204" t="s">
        <v>276</v>
      </c>
      <c r="C3" s="204" t="s">
        <v>273</v>
      </c>
      <c r="D3" s="204">
        <v>19</v>
      </c>
      <c r="E3" s="204">
        <v>2</v>
      </c>
      <c r="F3" s="204">
        <v>2.4</v>
      </c>
      <c r="G3" s="204">
        <f>(D3-E3)*F3</f>
        <v>40.799999999999997</v>
      </c>
      <c r="H3" s="204">
        <f t="shared" si="0"/>
        <v>177</v>
      </c>
      <c r="I3" s="204">
        <f>((26-E3)*F3)-G3</f>
        <v>16.799999999999997</v>
      </c>
      <c r="J3" s="204">
        <f t="shared" ref="J3:J41" si="7">H3/2</f>
        <v>88.5</v>
      </c>
      <c r="K3" s="1054">
        <v>55</v>
      </c>
      <c r="L3" s="1055">
        <v>45312</v>
      </c>
      <c r="M3" s="293">
        <f t="shared" si="1"/>
        <v>13</v>
      </c>
      <c r="N3" s="492">
        <f t="shared" si="2"/>
        <v>260.00000000000006</v>
      </c>
      <c r="O3" s="492">
        <f t="shared" ref="O3:O15" si="8">M3*1.09</f>
        <v>14.170000000000002</v>
      </c>
      <c r="P3" s="204">
        <v>10</v>
      </c>
      <c r="Q3" s="492">
        <f>(P3*230)/1000</f>
        <v>2.2999999999999998</v>
      </c>
      <c r="R3" s="204">
        <v>2.5</v>
      </c>
      <c r="S3" s="492">
        <f t="shared" si="3"/>
        <v>0.57499999999999996</v>
      </c>
      <c r="T3" s="492">
        <f t="shared" si="4"/>
        <v>67.5</v>
      </c>
      <c r="U3" s="492">
        <f t="shared" si="5"/>
        <v>21</v>
      </c>
      <c r="V3" s="493">
        <f t="shared" si="6"/>
        <v>0.23728813559322035</v>
      </c>
      <c r="W3" s="204" t="s">
        <v>274</v>
      </c>
      <c r="X3" s="204" t="s">
        <v>275</v>
      </c>
      <c r="Y3" s="204"/>
      <c r="Z3"/>
    </row>
    <row r="4" spans="1:27" ht="13.15">
      <c r="A4" s="204" t="s">
        <v>277</v>
      </c>
      <c r="B4" s="204" t="s">
        <v>278</v>
      </c>
      <c r="C4" s="204" t="s">
        <v>273</v>
      </c>
      <c r="D4" s="204">
        <v>26</v>
      </c>
      <c r="E4" s="204">
        <v>2</v>
      </c>
      <c r="F4" s="204">
        <v>2.4</v>
      </c>
      <c r="G4" s="204">
        <f t="shared" ref="G4:G15" si="9">(D4-E4)*F4</f>
        <v>57.599999999999994</v>
      </c>
      <c r="H4" s="204">
        <f t="shared" si="0"/>
        <v>250</v>
      </c>
      <c r="I4" s="204">
        <f t="shared" ref="I4:I9" si="10">((26-E4)*F4)-G4</f>
        <v>0</v>
      </c>
      <c r="J4" s="204">
        <f t="shared" si="7"/>
        <v>125</v>
      </c>
      <c r="K4" s="1096">
        <v>71</v>
      </c>
      <c r="L4" s="1055">
        <v>45312</v>
      </c>
      <c r="M4" s="293">
        <f t="shared" si="1"/>
        <v>17</v>
      </c>
      <c r="N4" s="492">
        <f t="shared" si="2"/>
        <v>340</v>
      </c>
      <c r="O4" s="492">
        <f t="shared" si="8"/>
        <v>18.53</v>
      </c>
      <c r="P4" s="204"/>
      <c r="Q4" s="492"/>
      <c r="R4" s="204">
        <v>0</v>
      </c>
      <c r="S4" s="492">
        <f t="shared" si="3"/>
        <v>0</v>
      </c>
      <c r="T4" s="492">
        <f t="shared" si="4"/>
        <v>71</v>
      </c>
      <c r="U4" s="492">
        <f t="shared" si="5"/>
        <v>54</v>
      </c>
      <c r="V4" s="493">
        <f t="shared" si="6"/>
        <v>0.432</v>
      </c>
      <c r="W4" s="532"/>
      <c r="X4" s="204"/>
      <c r="Y4" s="423"/>
      <c r="Z4"/>
      <c r="AA4" s="422"/>
    </row>
    <row r="5" spans="1:27" ht="13.15">
      <c r="A5" s="204" t="s">
        <v>277</v>
      </c>
      <c r="B5" s="204" t="s">
        <v>279</v>
      </c>
      <c r="C5" s="204" t="s">
        <v>273</v>
      </c>
      <c r="D5" s="204">
        <v>26</v>
      </c>
      <c r="E5" s="204">
        <v>2</v>
      </c>
      <c r="F5" s="204">
        <v>2.4</v>
      </c>
      <c r="G5" s="204">
        <f t="shared" si="9"/>
        <v>57.599999999999994</v>
      </c>
      <c r="H5" s="204">
        <f t="shared" si="0"/>
        <v>250</v>
      </c>
      <c r="I5" s="204">
        <f t="shared" si="10"/>
        <v>0</v>
      </c>
      <c r="J5" s="204">
        <f t="shared" si="7"/>
        <v>125</v>
      </c>
      <c r="K5" s="1054">
        <v>68</v>
      </c>
      <c r="L5" s="1055">
        <v>45312</v>
      </c>
      <c r="M5" s="293">
        <f t="shared" si="1"/>
        <v>16</v>
      </c>
      <c r="N5" s="492">
        <f t="shared" si="2"/>
        <v>320</v>
      </c>
      <c r="O5" s="492">
        <f t="shared" si="8"/>
        <v>17.440000000000001</v>
      </c>
      <c r="P5" s="204"/>
      <c r="Q5" s="492"/>
      <c r="R5" s="204">
        <v>0</v>
      </c>
      <c r="S5" s="492">
        <f t="shared" si="3"/>
        <v>0</v>
      </c>
      <c r="T5" s="492">
        <f t="shared" si="4"/>
        <v>68</v>
      </c>
      <c r="U5" s="492">
        <f t="shared" si="5"/>
        <v>57</v>
      </c>
      <c r="V5" s="493">
        <f t="shared" si="6"/>
        <v>0.45600000000000002</v>
      </c>
      <c r="W5" s="532"/>
      <c r="X5" s="204"/>
      <c r="Y5" s="423"/>
      <c r="Z5"/>
      <c r="AA5" s="422"/>
    </row>
    <row r="6" spans="1:27" ht="13.15">
      <c r="A6" s="204" t="s">
        <v>277</v>
      </c>
      <c r="B6" s="204" t="s">
        <v>280</v>
      </c>
      <c r="C6" s="204" t="s">
        <v>273</v>
      </c>
      <c r="D6" s="204">
        <v>26</v>
      </c>
      <c r="E6" s="204">
        <v>2</v>
      </c>
      <c r="F6" s="204">
        <v>2.4</v>
      </c>
      <c r="G6" s="204">
        <f t="shared" si="9"/>
        <v>57.599999999999994</v>
      </c>
      <c r="H6" s="204">
        <f t="shared" si="0"/>
        <v>250</v>
      </c>
      <c r="I6" s="204">
        <f t="shared" si="10"/>
        <v>0</v>
      </c>
      <c r="J6" s="204">
        <f t="shared" si="7"/>
        <v>125</v>
      </c>
      <c r="K6" s="1054">
        <v>66</v>
      </c>
      <c r="L6" s="1055">
        <v>45312</v>
      </c>
      <c r="M6" s="293">
        <f t="shared" si="1"/>
        <v>16</v>
      </c>
      <c r="N6" s="492">
        <f t="shared" ref="N6:N41" si="11">(O6*1000)/54.5</f>
        <v>320</v>
      </c>
      <c r="O6" s="492">
        <f t="shared" si="8"/>
        <v>17.440000000000001</v>
      </c>
      <c r="P6" s="204"/>
      <c r="Q6" s="204"/>
      <c r="R6" s="204">
        <v>0</v>
      </c>
      <c r="S6" s="492">
        <f t="shared" si="3"/>
        <v>0</v>
      </c>
      <c r="T6" s="492">
        <f t="shared" si="4"/>
        <v>66</v>
      </c>
      <c r="U6" s="492">
        <f t="shared" si="5"/>
        <v>59</v>
      </c>
      <c r="V6" s="493">
        <f t="shared" si="6"/>
        <v>0.47199999999999998</v>
      </c>
      <c r="W6" s="204"/>
      <c r="X6" s="204"/>
      <c r="Y6" s="423"/>
      <c r="Z6"/>
      <c r="AA6" s="422"/>
    </row>
    <row r="7" spans="1:27" ht="13.15">
      <c r="A7" s="204" t="s">
        <v>277</v>
      </c>
      <c r="B7" s="204" t="s">
        <v>281</v>
      </c>
      <c r="C7" s="204" t="s">
        <v>273</v>
      </c>
      <c r="D7" s="204">
        <v>26</v>
      </c>
      <c r="E7" s="204">
        <v>2</v>
      </c>
      <c r="F7" s="204">
        <v>2.4</v>
      </c>
      <c r="G7" s="204">
        <f t="shared" si="9"/>
        <v>57.599999999999994</v>
      </c>
      <c r="H7" s="204">
        <f t="shared" si="0"/>
        <v>250</v>
      </c>
      <c r="I7" s="204">
        <f t="shared" si="10"/>
        <v>0</v>
      </c>
      <c r="J7" s="204">
        <f t="shared" si="7"/>
        <v>125</v>
      </c>
      <c r="K7" s="1054">
        <v>58</v>
      </c>
      <c r="L7" s="1055">
        <v>45312</v>
      </c>
      <c r="M7" s="293">
        <f t="shared" si="1"/>
        <v>14</v>
      </c>
      <c r="N7" s="492">
        <f t="shared" si="11"/>
        <v>280.00000000000006</v>
      </c>
      <c r="O7" s="492">
        <f t="shared" si="8"/>
        <v>15.260000000000002</v>
      </c>
      <c r="P7" s="204"/>
      <c r="Q7" s="204"/>
      <c r="R7" s="204">
        <v>0</v>
      </c>
      <c r="S7" s="492">
        <f t="shared" si="3"/>
        <v>0</v>
      </c>
      <c r="T7" s="492">
        <f t="shared" si="4"/>
        <v>58</v>
      </c>
      <c r="U7" s="492">
        <f t="shared" si="5"/>
        <v>67</v>
      </c>
      <c r="V7" s="493">
        <f t="shared" si="6"/>
        <v>0.53600000000000003</v>
      </c>
      <c r="W7" s="204"/>
      <c r="X7" s="204"/>
      <c r="Y7" s="423"/>
      <c r="Z7"/>
      <c r="AA7" s="422"/>
    </row>
    <row r="8" spans="1:27" ht="13.15">
      <c r="A8" s="204" t="s">
        <v>277</v>
      </c>
      <c r="B8" s="204" t="s">
        <v>282</v>
      </c>
      <c r="C8" s="204" t="s">
        <v>273</v>
      </c>
      <c r="D8" s="204">
        <v>12</v>
      </c>
      <c r="E8" s="204">
        <v>2</v>
      </c>
      <c r="F8" s="204">
        <v>2.4</v>
      </c>
      <c r="G8" s="204">
        <f t="shared" si="9"/>
        <v>24</v>
      </c>
      <c r="H8" s="204">
        <f t="shared" si="0"/>
        <v>104</v>
      </c>
      <c r="I8" s="204">
        <f t="shared" si="10"/>
        <v>33.599999999999994</v>
      </c>
      <c r="J8" s="204">
        <f t="shared" si="7"/>
        <v>52</v>
      </c>
      <c r="K8" s="1054">
        <v>24</v>
      </c>
      <c r="L8" s="1055">
        <v>45320</v>
      </c>
      <c r="M8" s="293">
        <f>ROUNDUP(((K8*230)/1000),0)</f>
        <v>6</v>
      </c>
      <c r="N8" s="492">
        <f t="shared" si="11"/>
        <v>120.00000000000001</v>
      </c>
      <c r="O8" s="492">
        <f t="shared" si="8"/>
        <v>6.5400000000000009</v>
      </c>
      <c r="P8" s="204"/>
      <c r="Q8" s="204"/>
      <c r="R8" s="204">
        <v>0</v>
      </c>
      <c r="S8" s="492">
        <f t="shared" si="3"/>
        <v>0</v>
      </c>
      <c r="T8" s="492">
        <f t="shared" si="4"/>
        <v>24</v>
      </c>
      <c r="U8" s="492">
        <f t="shared" si="5"/>
        <v>28</v>
      </c>
      <c r="V8" s="493">
        <f t="shared" si="6"/>
        <v>0.53846153846153844</v>
      </c>
      <c r="W8" s="528"/>
      <c r="X8" s="204"/>
      <c r="Y8" s="423"/>
      <c r="Z8"/>
      <c r="AA8" s="422"/>
    </row>
    <row r="9" spans="1:27" ht="13.15">
      <c r="A9" s="204" t="s">
        <v>277</v>
      </c>
      <c r="B9" s="204" t="s">
        <v>283</v>
      </c>
      <c r="C9" s="204" t="s">
        <v>273</v>
      </c>
      <c r="D9" s="204">
        <v>12</v>
      </c>
      <c r="E9" s="204">
        <v>2</v>
      </c>
      <c r="F9" s="204">
        <v>2.4</v>
      </c>
      <c r="G9" s="204">
        <f t="shared" si="9"/>
        <v>24</v>
      </c>
      <c r="H9" s="204">
        <f t="shared" si="0"/>
        <v>104</v>
      </c>
      <c r="I9" s="204">
        <f t="shared" si="10"/>
        <v>33.599999999999994</v>
      </c>
      <c r="J9" s="204">
        <f t="shared" si="7"/>
        <v>52</v>
      </c>
      <c r="K9" s="1054">
        <v>23</v>
      </c>
      <c r="L9" s="1055">
        <v>45030</v>
      </c>
      <c r="M9" s="293">
        <f t="shared" si="1"/>
        <v>6</v>
      </c>
      <c r="N9" s="492">
        <f t="shared" si="11"/>
        <v>120.00000000000001</v>
      </c>
      <c r="O9" s="492">
        <f t="shared" si="8"/>
        <v>6.5400000000000009</v>
      </c>
      <c r="P9" s="204"/>
      <c r="Q9" s="204"/>
      <c r="R9" s="204">
        <v>0</v>
      </c>
      <c r="S9" s="492">
        <f t="shared" si="3"/>
        <v>0</v>
      </c>
      <c r="T9" s="492">
        <f t="shared" si="4"/>
        <v>23</v>
      </c>
      <c r="U9" s="492">
        <f t="shared" si="5"/>
        <v>29</v>
      </c>
      <c r="V9" s="493">
        <f t="shared" si="6"/>
        <v>0.55769230769230771</v>
      </c>
      <c r="W9" s="204"/>
      <c r="X9" s="204"/>
      <c r="Y9" s="423"/>
      <c r="Z9"/>
      <c r="AA9" s="422"/>
    </row>
    <row r="10" spans="1:27" ht="13.15">
      <c r="A10" s="204" t="s">
        <v>284</v>
      </c>
      <c r="B10" s="204" t="s">
        <v>285</v>
      </c>
      <c r="C10" s="204" t="s">
        <v>273</v>
      </c>
      <c r="D10" s="204">
        <v>12</v>
      </c>
      <c r="E10" s="204">
        <v>2</v>
      </c>
      <c r="F10" s="204">
        <v>2.4</v>
      </c>
      <c r="G10" s="204">
        <f t="shared" si="9"/>
        <v>24</v>
      </c>
      <c r="H10" s="204">
        <f t="shared" si="0"/>
        <v>104</v>
      </c>
      <c r="I10" s="204">
        <f>((14-E10)*F10)-G10</f>
        <v>4.7999999999999972</v>
      </c>
      <c r="J10" s="204">
        <f t="shared" si="7"/>
        <v>52</v>
      </c>
      <c r="K10" s="1054">
        <v>33</v>
      </c>
      <c r="L10" s="1055">
        <v>45347</v>
      </c>
      <c r="M10" s="293">
        <f t="shared" si="1"/>
        <v>8</v>
      </c>
      <c r="N10" s="492">
        <f t="shared" si="11"/>
        <v>160</v>
      </c>
      <c r="O10" s="492">
        <f t="shared" si="8"/>
        <v>8.7200000000000006</v>
      </c>
      <c r="P10" s="204"/>
      <c r="Q10" s="204"/>
      <c r="R10" s="204">
        <v>0</v>
      </c>
      <c r="S10" s="492">
        <f t="shared" si="3"/>
        <v>0</v>
      </c>
      <c r="T10" s="492">
        <f t="shared" si="4"/>
        <v>33</v>
      </c>
      <c r="U10" s="492">
        <f t="shared" si="5"/>
        <v>19</v>
      </c>
      <c r="V10" s="493">
        <f t="shared" si="6"/>
        <v>0.36538461538461536</v>
      </c>
      <c r="W10" s="204" t="s">
        <v>286</v>
      </c>
      <c r="X10" s="204"/>
      <c r="Z10"/>
    </row>
    <row r="11" spans="1:27" ht="13.15">
      <c r="A11" s="204" t="s">
        <v>284</v>
      </c>
      <c r="B11" s="204" t="s">
        <v>287</v>
      </c>
      <c r="C11" s="204" t="s">
        <v>273</v>
      </c>
      <c r="D11" s="204">
        <v>12</v>
      </c>
      <c r="E11" s="204">
        <v>2</v>
      </c>
      <c r="F11" s="204">
        <v>2.4</v>
      </c>
      <c r="G11" s="204">
        <f t="shared" si="9"/>
        <v>24</v>
      </c>
      <c r="H11" s="204">
        <f t="shared" si="0"/>
        <v>104</v>
      </c>
      <c r="I11" s="204">
        <f>((14-E11)*F11)-G11</f>
        <v>4.7999999999999972</v>
      </c>
      <c r="J11" s="204">
        <f t="shared" si="7"/>
        <v>52</v>
      </c>
      <c r="K11" s="1090">
        <v>31</v>
      </c>
      <c r="L11" s="1055">
        <v>45410</v>
      </c>
      <c r="M11" s="293">
        <f t="shared" si="1"/>
        <v>8</v>
      </c>
      <c r="N11" s="492">
        <f t="shared" si="11"/>
        <v>160</v>
      </c>
      <c r="O11" s="492">
        <f t="shared" si="8"/>
        <v>8.7200000000000006</v>
      </c>
      <c r="P11" s="204"/>
      <c r="Q11" s="204"/>
      <c r="R11" s="204">
        <v>0</v>
      </c>
      <c r="S11" s="492">
        <f t="shared" si="3"/>
        <v>0</v>
      </c>
      <c r="T11" s="492">
        <f t="shared" si="4"/>
        <v>31</v>
      </c>
      <c r="U11" s="492">
        <f t="shared" si="5"/>
        <v>21</v>
      </c>
      <c r="V11" s="493">
        <f t="shared" si="6"/>
        <v>0.40384615384615385</v>
      </c>
      <c r="W11" s="204"/>
      <c r="X11" s="204"/>
      <c r="Z11"/>
    </row>
    <row r="12" spans="1:27" ht="13.15">
      <c r="A12" s="204" t="s">
        <v>288</v>
      </c>
      <c r="B12" s="204" t="s">
        <v>289</v>
      </c>
      <c r="C12" s="204" t="s">
        <v>273</v>
      </c>
      <c r="D12" s="204">
        <v>22</v>
      </c>
      <c r="E12" s="204">
        <v>2</v>
      </c>
      <c r="F12" s="204">
        <v>2.4</v>
      </c>
      <c r="G12" s="204">
        <f t="shared" si="9"/>
        <v>48</v>
      </c>
      <c r="H12" s="204">
        <f t="shared" si="0"/>
        <v>208</v>
      </c>
      <c r="I12" s="204">
        <f>((26-E12)*F12)-G12</f>
        <v>9.5999999999999943</v>
      </c>
      <c r="J12" s="204">
        <f t="shared" si="7"/>
        <v>104</v>
      </c>
      <c r="K12" s="1096">
        <v>71</v>
      </c>
      <c r="L12" s="1055">
        <v>45312</v>
      </c>
      <c r="M12" s="293">
        <f t="shared" si="1"/>
        <v>17</v>
      </c>
      <c r="N12" s="492">
        <f t="shared" si="11"/>
        <v>340</v>
      </c>
      <c r="O12" s="492">
        <f t="shared" si="8"/>
        <v>18.53</v>
      </c>
      <c r="P12" s="204"/>
      <c r="Q12" s="204"/>
      <c r="R12" s="204">
        <v>3.3</v>
      </c>
      <c r="S12" s="492">
        <f t="shared" si="3"/>
        <v>0.75900000000000001</v>
      </c>
      <c r="T12" s="492">
        <f t="shared" si="4"/>
        <v>74.3</v>
      </c>
      <c r="U12" s="492">
        <f t="shared" si="5"/>
        <v>29.700000000000003</v>
      </c>
      <c r="V12" s="493">
        <f t="shared" si="6"/>
        <v>0.28557692307692312</v>
      </c>
      <c r="W12" s="204" t="s">
        <v>290</v>
      </c>
      <c r="X12" s="204" t="s">
        <v>291</v>
      </c>
      <c r="Y12" s="204"/>
      <c r="Z12"/>
    </row>
    <row r="13" spans="1:27" ht="13.15">
      <c r="A13" s="204" t="s">
        <v>288</v>
      </c>
      <c r="B13" s="204" t="s">
        <v>292</v>
      </c>
      <c r="C13" s="204" t="s">
        <v>273</v>
      </c>
      <c r="D13" s="204">
        <v>22</v>
      </c>
      <c r="E13" s="204">
        <v>2</v>
      </c>
      <c r="F13" s="204">
        <v>2.4</v>
      </c>
      <c r="G13" s="204">
        <f t="shared" si="9"/>
        <v>48</v>
      </c>
      <c r="H13" s="204">
        <f t="shared" si="0"/>
        <v>208</v>
      </c>
      <c r="I13" s="204">
        <f>((26-E13)*F13)-G13</f>
        <v>9.5999999999999943</v>
      </c>
      <c r="J13" s="204">
        <f t="shared" si="7"/>
        <v>104</v>
      </c>
      <c r="K13" s="1054">
        <v>69</v>
      </c>
      <c r="L13" s="1055">
        <v>45312</v>
      </c>
      <c r="M13" s="293">
        <f t="shared" si="1"/>
        <v>16</v>
      </c>
      <c r="N13" s="492">
        <f t="shared" si="11"/>
        <v>320</v>
      </c>
      <c r="O13" s="492">
        <f t="shared" si="8"/>
        <v>17.440000000000001</v>
      </c>
      <c r="P13" s="204"/>
      <c r="Q13" s="204"/>
      <c r="R13" s="204">
        <v>3.3</v>
      </c>
      <c r="S13" s="492">
        <f t="shared" si="3"/>
        <v>0.75900000000000001</v>
      </c>
      <c r="T13" s="492">
        <f t="shared" si="4"/>
        <v>72.3</v>
      </c>
      <c r="U13" s="492">
        <f t="shared" si="5"/>
        <v>31.700000000000003</v>
      </c>
      <c r="V13" s="493">
        <f t="shared" si="6"/>
        <v>0.30480769230769234</v>
      </c>
      <c r="W13" s="204" t="s">
        <v>290</v>
      </c>
      <c r="X13" s="204" t="s">
        <v>291</v>
      </c>
      <c r="Y13" s="204"/>
      <c r="Z13"/>
    </row>
    <row r="14" spans="1:27" ht="13.15">
      <c r="A14" s="204" t="s">
        <v>293</v>
      </c>
      <c r="B14" s="204" t="s">
        <v>294</v>
      </c>
      <c r="C14" s="204" t="s">
        <v>273</v>
      </c>
      <c r="D14" s="204">
        <v>12</v>
      </c>
      <c r="E14" s="204">
        <v>2</v>
      </c>
      <c r="F14" s="204">
        <v>2.4</v>
      </c>
      <c r="G14" s="204">
        <f t="shared" si="9"/>
        <v>24</v>
      </c>
      <c r="H14" s="204">
        <f t="shared" si="0"/>
        <v>104</v>
      </c>
      <c r="I14" s="204">
        <f>((26-E14)*F14)-G14</f>
        <v>33.599999999999994</v>
      </c>
      <c r="J14" s="204">
        <f t="shared" si="7"/>
        <v>52</v>
      </c>
      <c r="K14" s="1056">
        <v>15</v>
      </c>
      <c r="L14" s="1055" t="s">
        <v>295</v>
      </c>
      <c r="M14" s="293">
        <f t="shared" si="1"/>
        <v>4</v>
      </c>
      <c r="N14" s="492">
        <f t="shared" si="11"/>
        <v>80</v>
      </c>
      <c r="O14" s="492">
        <f t="shared" si="8"/>
        <v>4.3600000000000003</v>
      </c>
      <c r="P14" s="204"/>
      <c r="Q14" s="204"/>
      <c r="R14" s="204">
        <v>0</v>
      </c>
      <c r="S14" s="492">
        <f t="shared" si="3"/>
        <v>0</v>
      </c>
      <c r="T14" s="492">
        <f t="shared" si="4"/>
        <v>15</v>
      </c>
      <c r="U14" s="492">
        <f t="shared" si="5"/>
        <v>37</v>
      </c>
      <c r="V14" s="493">
        <f t="shared" si="6"/>
        <v>0.71153846153846156</v>
      </c>
      <c r="W14" s="204"/>
      <c r="X14" s="204"/>
      <c r="Y14" s="204"/>
      <c r="Z14" s="347"/>
    </row>
    <row r="15" spans="1:27" ht="13.5" customHeight="1">
      <c r="A15" s="204" t="s">
        <v>293</v>
      </c>
      <c r="B15" s="204" t="s">
        <v>296</v>
      </c>
      <c r="C15" s="204" t="s">
        <v>273</v>
      </c>
      <c r="D15" s="204">
        <v>12</v>
      </c>
      <c r="E15" s="204">
        <v>2</v>
      </c>
      <c r="F15" s="204">
        <v>2.4</v>
      </c>
      <c r="G15" s="204">
        <f t="shared" si="9"/>
        <v>24</v>
      </c>
      <c r="H15" s="204">
        <f t="shared" si="0"/>
        <v>104</v>
      </c>
      <c r="I15" s="204">
        <f>((26-E15)*F15)-G15</f>
        <v>33.599999999999994</v>
      </c>
      <c r="J15" s="204">
        <f t="shared" si="7"/>
        <v>52</v>
      </c>
      <c r="K15" s="1054">
        <v>11</v>
      </c>
      <c r="L15" s="1055">
        <v>45347</v>
      </c>
      <c r="M15" s="293">
        <f t="shared" si="1"/>
        <v>3</v>
      </c>
      <c r="N15" s="492">
        <f t="shared" si="11"/>
        <v>60.000000000000007</v>
      </c>
      <c r="O15" s="492">
        <f t="shared" si="8"/>
        <v>3.2700000000000005</v>
      </c>
      <c r="P15" s="204"/>
      <c r="Q15" s="204"/>
      <c r="R15" s="204">
        <v>0</v>
      </c>
      <c r="S15" s="492">
        <f t="shared" si="3"/>
        <v>0</v>
      </c>
      <c r="T15" s="492">
        <f t="shared" si="4"/>
        <v>11</v>
      </c>
      <c r="U15" s="492">
        <f t="shared" si="5"/>
        <v>41</v>
      </c>
      <c r="V15" s="493">
        <f t="shared" si="6"/>
        <v>0.78846153846153844</v>
      </c>
      <c r="W15" s="204"/>
      <c r="X15" s="204"/>
      <c r="Y15" s="204"/>
      <c r="Z15" s="347"/>
    </row>
    <row r="16" spans="1:27" ht="13.15">
      <c r="A16" s="204" t="s">
        <v>297</v>
      </c>
      <c r="B16" s="204" t="s">
        <v>298</v>
      </c>
      <c r="C16" s="204" t="s">
        <v>273</v>
      </c>
      <c r="D16" s="204">
        <v>21</v>
      </c>
      <c r="E16" s="204">
        <v>2</v>
      </c>
      <c r="F16" s="204">
        <v>2.4</v>
      </c>
      <c r="G16" s="204">
        <f t="shared" ref="G16:G25" si="12">(D16-E16)*F16</f>
        <v>45.6</v>
      </c>
      <c r="H16" s="204">
        <f t="shared" si="0"/>
        <v>198</v>
      </c>
      <c r="I16" s="204">
        <f>((30-E16)*F16)-G16</f>
        <v>21.6</v>
      </c>
      <c r="J16" s="204">
        <f t="shared" si="7"/>
        <v>99</v>
      </c>
      <c r="K16" s="204">
        <v>52</v>
      </c>
      <c r="L16" s="1055">
        <v>45410</v>
      </c>
      <c r="M16" s="293">
        <f t="shared" si="1"/>
        <v>12</v>
      </c>
      <c r="N16" s="492">
        <f t="shared" si="11"/>
        <v>240.00000000000003</v>
      </c>
      <c r="O16" s="492">
        <f t="shared" ref="O16:O25" si="13">M16*1.09</f>
        <v>13.080000000000002</v>
      </c>
      <c r="P16" s="204"/>
      <c r="Q16" s="204"/>
      <c r="R16" s="204">
        <v>6</v>
      </c>
      <c r="S16" s="492">
        <f t="shared" si="3"/>
        <v>1.38</v>
      </c>
      <c r="T16" s="492">
        <f t="shared" si="4"/>
        <v>58</v>
      </c>
      <c r="U16" s="492">
        <f t="shared" ref="U16:U25" si="14">J16-T16</f>
        <v>41</v>
      </c>
      <c r="V16" s="493">
        <f t="shared" ref="V16:V25" si="15">U16/J16</f>
        <v>0.41414141414141414</v>
      </c>
      <c r="W16" s="532" t="s">
        <v>299</v>
      </c>
      <c r="X16" s="532" t="s">
        <v>300</v>
      </c>
      <c r="Y16" s="204"/>
      <c r="Z16"/>
    </row>
    <row r="17" spans="1:27" ht="13.15">
      <c r="A17" s="204" t="s">
        <v>297</v>
      </c>
      <c r="B17" s="204" t="s">
        <v>301</v>
      </c>
      <c r="C17" s="204" t="s">
        <v>273</v>
      </c>
      <c r="D17" s="204">
        <v>21</v>
      </c>
      <c r="E17" s="204">
        <v>2</v>
      </c>
      <c r="F17" s="204">
        <v>2.4</v>
      </c>
      <c r="G17" s="204">
        <f t="shared" si="12"/>
        <v>45.6</v>
      </c>
      <c r="H17" s="204">
        <f t="shared" si="0"/>
        <v>198</v>
      </c>
      <c r="I17" s="204">
        <f>((30-E17)*F17)-G17</f>
        <v>21.6</v>
      </c>
      <c r="J17" s="204">
        <f t="shared" si="7"/>
        <v>99</v>
      </c>
      <c r="K17" s="204">
        <v>43</v>
      </c>
      <c r="L17" s="1055">
        <v>45410</v>
      </c>
      <c r="M17" s="293">
        <f t="shared" si="1"/>
        <v>10</v>
      </c>
      <c r="N17" s="492">
        <f t="shared" si="11"/>
        <v>200</v>
      </c>
      <c r="O17" s="492">
        <f t="shared" si="13"/>
        <v>10.9</v>
      </c>
      <c r="P17" s="204"/>
      <c r="Q17" s="204"/>
      <c r="R17" s="204">
        <v>6</v>
      </c>
      <c r="S17" s="492">
        <f t="shared" si="3"/>
        <v>1.38</v>
      </c>
      <c r="T17" s="492">
        <f t="shared" si="4"/>
        <v>49</v>
      </c>
      <c r="U17" s="492">
        <f t="shared" si="14"/>
        <v>50</v>
      </c>
      <c r="V17" s="493">
        <f t="shared" si="15"/>
        <v>0.50505050505050508</v>
      </c>
      <c r="W17" s="532" t="s">
        <v>299</v>
      </c>
      <c r="X17" s="532" t="s">
        <v>300</v>
      </c>
      <c r="Y17" s="204"/>
      <c r="Z17"/>
    </row>
    <row r="18" spans="1:27" ht="13.15">
      <c r="A18" s="204" t="s">
        <v>297</v>
      </c>
      <c r="B18" s="204" t="s">
        <v>302</v>
      </c>
      <c r="C18" s="204" t="s">
        <v>273</v>
      </c>
      <c r="D18" s="204">
        <v>21</v>
      </c>
      <c r="E18" s="204">
        <v>2</v>
      </c>
      <c r="F18" s="204">
        <v>2.4</v>
      </c>
      <c r="G18" s="204">
        <f t="shared" si="12"/>
        <v>45.6</v>
      </c>
      <c r="H18" s="204">
        <f t="shared" si="0"/>
        <v>198</v>
      </c>
      <c r="I18" s="204">
        <f>((30-E18)*F18)-G18</f>
        <v>21.6</v>
      </c>
      <c r="J18" s="204">
        <f t="shared" si="7"/>
        <v>99</v>
      </c>
      <c r="K18" s="204">
        <v>44</v>
      </c>
      <c r="L18" s="1055">
        <v>45410</v>
      </c>
      <c r="M18" s="293">
        <f t="shared" si="1"/>
        <v>11</v>
      </c>
      <c r="N18" s="492">
        <f t="shared" si="11"/>
        <v>220</v>
      </c>
      <c r="O18" s="492">
        <f t="shared" si="13"/>
        <v>11.99</v>
      </c>
      <c r="P18" s="204"/>
      <c r="Q18" s="204"/>
      <c r="R18" s="204">
        <v>2.5</v>
      </c>
      <c r="S18" s="492">
        <f t="shared" si="3"/>
        <v>0.57499999999999996</v>
      </c>
      <c r="T18" s="492">
        <f t="shared" si="4"/>
        <v>46.5</v>
      </c>
      <c r="U18" s="492">
        <f t="shared" si="14"/>
        <v>52.5</v>
      </c>
      <c r="V18" s="493">
        <f t="shared" si="15"/>
        <v>0.53030303030303028</v>
      </c>
      <c r="W18" s="532" t="s">
        <v>274</v>
      </c>
      <c r="X18" s="532" t="s">
        <v>303</v>
      </c>
      <c r="Y18" s="204"/>
      <c r="Z18"/>
    </row>
    <row r="19" spans="1:27" ht="13.15">
      <c r="A19" s="204" t="s">
        <v>297</v>
      </c>
      <c r="B19" s="204" t="s">
        <v>304</v>
      </c>
      <c r="C19" s="204" t="s">
        <v>273</v>
      </c>
      <c r="D19" s="204">
        <v>21</v>
      </c>
      <c r="E19" s="204">
        <v>2</v>
      </c>
      <c r="F19" s="204">
        <v>2.4</v>
      </c>
      <c r="G19" s="204">
        <f t="shared" si="12"/>
        <v>45.6</v>
      </c>
      <c r="H19" s="204">
        <f t="shared" si="0"/>
        <v>198</v>
      </c>
      <c r="I19" s="204">
        <f>((30-E19)*F19)-G19</f>
        <v>21.6</v>
      </c>
      <c r="J19" s="204">
        <f t="shared" si="7"/>
        <v>99</v>
      </c>
      <c r="K19" s="204">
        <v>47</v>
      </c>
      <c r="L19" s="1055">
        <v>45410</v>
      </c>
      <c r="M19" s="293">
        <f t="shared" si="1"/>
        <v>11</v>
      </c>
      <c r="N19" s="492">
        <f t="shared" si="11"/>
        <v>220</v>
      </c>
      <c r="O19" s="492">
        <f t="shared" si="13"/>
        <v>11.99</v>
      </c>
      <c r="P19" s="204"/>
      <c r="Q19" s="204"/>
      <c r="R19" s="204">
        <v>2.5</v>
      </c>
      <c r="S19" s="492">
        <f t="shared" si="3"/>
        <v>0.57499999999999996</v>
      </c>
      <c r="T19" s="492">
        <f t="shared" si="4"/>
        <v>49.5</v>
      </c>
      <c r="U19" s="492">
        <f t="shared" si="14"/>
        <v>49.5</v>
      </c>
      <c r="V19" s="493">
        <f t="shared" si="15"/>
        <v>0.5</v>
      </c>
      <c r="W19" s="532" t="s">
        <v>274</v>
      </c>
      <c r="X19" s="532" t="s">
        <v>303</v>
      </c>
      <c r="Y19" s="204"/>
      <c r="Z19"/>
    </row>
    <row r="20" spans="1:27" ht="13.15">
      <c r="A20" s="204" t="s">
        <v>305</v>
      </c>
      <c r="B20" s="204" t="s">
        <v>306</v>
      </c>
      <c r="C20" s="204" t="s">
        <v>273</v>
      </c>
      <c r="D20" s="204">
        <v>14</v>
      </c>
      <c r="E20" s="204">
        <v>2</v>
      </c>
      <c r="F20" s="204">
        <v>2.4</v>
      </c>
      <c r="G20" s="204">
        <f t="shared" si="12"/>
        <v>28.799999999999997</v>
      </c>
      <c r="H20" s="204">
        <f t="shared" si="0"/>
        <v>125</v>
      </c>
      <c r="I20" s="204">
        <f>((14-E20)*F20)-G20</f>
        <v>0</v>
      </c>
      <c r="J20" s="204">
        <f t="shared" si="7"/>
        <v>62.5</v>
      </c>
      <c r="K20" s="204">
        <v>10</v>
      </c>
      <c r="L20" s="1055">
        <v>45410</v>
      </c>
      <c r="M20" s="293">
        <f>((K20*230)/1000)</f>
        <v>2.2999999999999998</v>
      </c>
      <c r="N20" s="492">
        <f t="shared" si="11"/>
        <v>46</v>
      </c>
      <c r="O20" s="492">
        <f t="shared" si="13"/>
        <v>2.5070000000000001</v>
      </c>
      <c r="P20" s="204"/>
      <c r="Q20" s="204"/>
      <c r="R20" s="204">
        <v>10.8</v>
      </c>
      <c r="S20" s="492">
        <f t="shared" si="3"/>
        <v>2.484</v>
      </c>
      <c r="T20" s="492">
        <f t="shared" si="4"/>
        <v>20.8</v>
      </c>
      <c r="U20" s="492">
        <f t="shared" si="14"/>
        <v>41.7</v>
      </c>
      <c r="V20" s="493">
        <f t="shared" si="15"/>
        <v>0.66720000000000002</v>
      </c>
      <c r="W20" s="532" t="s">
        <v>307</v>
      </c>
      <c r="X20" s="532" t="s">
        <v>308</v>
      </c>
      <c r="Y20" s="204"/>
      <c r="Z20"/>
    </row>
    <row r="21" spans="1:27" ht="13.15">
      <c r="A21" s="204" t="s">
        <v>305</v>
      </c>
      <c r="B21" s="204" t="s">
        <v>309</v>
      </c>
      <c r="C21" s="204" t="s">
        <v>273</v>
      </c>
      <c r="D21" s="204">
        <v>14</v>
      </c>
      <c r="E21" s="204">
        <v>2</v>
      </c>
      <c r="F21" s="204">
        <v>2.4</v>
      </c>
      <c r="G21" s="204">
        <f t="shared" si="12"/>
        <v>28.799999999999997</v>
      </c>
      <c r="H21" s="204">
        <f t="shared" si="0"/>
        <v>125</v>
      </c>
      <c r="I21" s="204">
        <f>((14-E21)*F21)-G21</f>
        <v>0</v>
      </c>
      <c r="J21" s="204">
        <f t="shared" si="7"/>
        <v>62.5</v>
      </c>
      <c r="K21" s="204">
        <v>5</v>
      </c>
      <c r="L21" s="1055">
        <v>45410</v>
      </c>
      <c r="M21" s="293">
        <f>((K21*230)/1000)</f>
        <v>1.1499999999999999</v>
      </c>
      <c r="N21" s="492">
        <f t="shared" si="11"/>
        <v>23</v>
      </c>
      <c r="O21" s="492">
        <f t="shared" si="13"/>
        <v>1.2535000000000001</v>
      </c>
      <c r="P21" s="204"/>
      <c r="Q21" s="204"/>
      <c r="R21" s="204">
        <v>10.8</v>
      </c>
      <c r="S21" s="492">
        <f t="shared" si="3"/>
        <v>2.484</v>
      </c>
      <c r="T21" s="492">
        <f t="shared" si="4"/>
        <v>15.8</v>
      </c>
      <c r="U21" s="492">
        <f t="shared" si="14"/>
        <v>46.7</v>
      </c>
      <c r="V21" s="493">
        <f t="shared" si="15"/>
        <v>0.74720000000000009</v>
      </c>
      <c r="W21" s="532" t="s">
        <v>307</v>
      </c>
      <c r="X21" s="532" t="s">
        <v>308</v>
      </c>
      <c r="Y21" s="204"/>
      <c r="Z21"/>
    </row>
    <row r="22" spans="1:27" s="888" customFormat="1" ht="13.15">
      <c r="A22" s="532" t="s">
        <v>305</v>
      </c>
      <c r="B22" s="532" t="s">
        <v>310</v>
      </c>
      <c r="C22" s="532" t="s">
        <v>273</v>
      </c>
      <c r="D22" s="532">
        <v>14</v>
      </c>
      <c r="E22" s="532">
        <v>2</v>
      </c>
      <c r="F22" s="532">
        <v>2.4</v>
      </c>
      <c r="G22" s="532">
        <f t="shared" si="12"/>
        <v>28.799999999999997</v>
      </c>
      <c r="H22" s="532">
        <f t="shared" ref="H22:H23" si="16">INT((G22*1000)/230)</f>
        <v>125</v>
      </c>
      <c r="I22" s="532">
        <f>((14-E22)*F22)-G22</f>
        <v>0</v>
      </c>
      <c r="J22" s="532">
        <f t="shared" ref="J22:J23" si="17">H22/2</f>
        <v>62.5</v>
      </c>
      <c r="K22" s="1056">
        <v>53.6</v>
      </c>
      <c r="L22" s="1055">
        <v>45019</v>
      </c>
      <c r="M22" s="293">
        <f t="shared" ref="M22:M23" si="18">((K22*230)/1000)</f>
        <v>12.327999999999999</v>
      </c>
      <c r="N22" s="781">
        <f t="shared" ref="N22:N23" si="19">(O22*1000)/54.5</f>
        <v>246.56</v>
      </c>
      <c r="O22" s="781">
        <f t="shared" ref="O22:O23" si="20">M22*1.09</f>
        <v>13.437520000000001</v>
      </c>
      <c r="P22" s="532"/>
      <c r="Q22" s="532"/>
      <c r="R22" s="532">
        <v>3.5</v>
      </c>
      <c r="S22" s="781">
        <f t="shared" ref="S22:S23" si="21">(R22*230)/1000</f>
        <v>0.80500000000000005</v>
      </c>
      <c r="T22" s="492">
        <f>K22+P22+R22</f>
        <v>57.1</v>
      </c>
      <c r="U22" s="781">
        <f t="shared" ref="U22:U23" si="22">J22-T22</f>
        <v>5.3999999999999986</v>
      </c>
      <c r="V22" s="886">
        <f t="shared" si="15"/>
        <v>8.6399999999999977E-2</v>
      </c>
      <c r="W22" s="528" t="s">
        <v>311</v>
      </c>
      <c r="X22" s="528"/>
      <c r="Y22" s="532"/>
      <c r="Z22" s="887"/>
    </row>
    <row r="23" spans="1:27" s="888" customFormat="1" ht="13.15">
      <c r="A23" s="532" t="s">
        <v>305</v>
      </c>
      <c r="B23" s="532" t="s">
        <v>312</v>
      </c>
      <c r="C23" s="532" t="s">
        <v>273</v>
      </c>
      <c r="D23" s="532">
        <v>14</v>
      </c>
      <c r="E23" s="532">
        <v>2</v>
      </c>
      <c r="F23" s="532">
        <v>2.4</v>
      </c>
      <c r="G23" s="532">
        <f t="shared" si="12"/>
        <v>28.799999999999997</v>
      </c>
      <c r="H23" s="532">
        <f t="shared" si="16"/>
        <v>125</v>
      </c>
      <c r="I23" s="532">
        <f>((14-E23)*F23)-G23</f>
        <v>0</v>
      </c>
      <c r="J23" s="532">
        <f t="shared" si="17"/>
        <v>62.5</v>
      </c>
      <c r="K23" s="1056">
        <v>53.7</v>
      </c>
      <c r="L23" s="1055">
        <v>45019</v>
      </c>
      <c r="M23" s="293">
        <f t="shared" si="18"/>
        <v>12.351000000000001</v>
      </c>
      <c r="N23" s="781">
        <f t="shared" si="19"/>
        <v>247.02000000000004</v>
      </c>
      <c r="O23" s="781">
        <f t="shared" si="20"/>
        <v>13.462590000000002</v>
      </c>
      <c r="P23" s="532"/>
      <c r="Q23" s="532"/>
      <c r="R23" s="532">
        <v>3.5</v>
      </c>
      <c r="S23" s="781">
        <f t="shared" si="21"/>
        <v>0.80500000000000005</v>
      </c>
      <c r="T23" s="492">
        <f>K23+P23+R23</f>
        <v>57.2</v>
      </c>
      <c r="U23" s="781">
        <f t="shared" si="22"/>
        <v>5.2999999999999972</v>
      </c>
      <c r="V23" s="886">
        <f t="shared" si="15"/>
        <v>8.4799999999999959E-2</v>
      </c>
      <c r="W23" s="528" t="s">
        <v>313</v>
      </c>
      <c r="X23" s="528"/>
      <c r="Y23" s="532"/>
      <c r="Z23" s="887"/>
    </row>
    <row r="24" spans="1:27" ht="13.15">
      <c r="A24" s="204" t="s">
        <v>314</v>
      </c>
      <c r="B24" s="204" t="s">
        <v>315</v>
      </c>
      <c r="C24" s="204" t="s">
        <v>273</v>
      </c>
      <c r="D24" s="204">
        <v>24</v>
      </c>
      <c r="E24" s="204">
        <v>2</v>
      </c>
      <c r="F24" s="204">
        <v>2.4</v>
      </c>
      <c r="G24" s="204">
        <f t="shared" si="12"/>
        <v>52.8</v>
      </c>
      <c r="H24" s="204">
        <f t="shared" si="0"/>
        <v>229</v>
      </c>
      <c r="I24" s="204">
        <f>((26-E24)*F24)-G24</f>
        <v>4.7999999999999972</v>
      </c>
      <c r="J24" s="204">
        <f t="shared" si="7"/>
        <v>114.5</v>
      </c>
      <c r="K24" s="204">
        <v>82</v>
      </c>
      <c r="L24" s="1055">
        <v>45410</v>
      </c>
      <c r="M24" s="293">
        <f t="shared" si="1"/>
        <v>19</v>
      </c>
      <c r="N24" s="492">
        <f t="shared" si="11"/>
        <v>380</v>
      </c>
      <c r="O24" s="492">
        <f t="shared" si="13"/>
        <v>20.71</v>
      </c>
      <c r="P24" s="204"/>
      <c r="Q24" s="204"/>
      <c r="R24" s="204">
        <v>0</v>
      </c>
      <c r="S24" s="492">
        <f t="shared" si="3"/>
        <v>0</v>
      </c>
      <c r="T24" s="492">
        <f t="shared" si="4"/>
        <v>82</v>
      </c>
      <c r="U24" s="492">
        <f t="shared" si="14"/>
        <v>32.5</v>
      </c>
      <c r="V24" s="493">
        <f t="shared" si="15"/>
        <v>0.28384279475982532</v>
      </c>
      <c r="W24" s="532"/>
      <c r="X24" s="532"/>
      <c r="Y24" s="204"/>
      <c r="Z24"/>
    </row>
    <row r="25" spans="1:27" ht="13.15">
      <c r="A25" s="204" t="s">
        <v>314</v>
      </c>
      <c r="B25" s="204" t="s">
        <v>316</v>
      </c>
      <c r="C25" s="204" t="s">
        <v>273</v>
      </c>
      <c r="D25" s="204">
        <v>24</v>
      </c>
      <c r="E25" s="204">
        <v>2</v>
      </c>
      <c r="F25" s="204">
        <v>2.4</v>
      </c>
      <c r="G25" s="204">
        <f t="shared" si="12"/>
        <v>52.8</v>
      </c>
      <c r="H25" s="204">
        <f t="shared" si="0"/>
        <v>229</v>
      </c>
      <c r="I25" s="204">
        <f>((26-E25)*F25)-G25</f>
        <v>4.7999999999999972</v>
      </c>
      <c r="J25" s="204">
        <f t="shared" si="7"/>
        <v>114.5</v>
      </c>
      <c r="K25" s="1054">
        <v>77</v>
      </c>
      <c r="L25" s="1055">
        <v>45347</v>
      </c>
      <c r="M25" s="293">
        <f t="shared" si="1"/>
        <v>18</v>
      </c>
      <c r="N25" s="492">
        <f t="shared" si="11"/>
        <v>360</v>
      </c>
      <c r="O25" s="492">
        <f t="shared" si="13"/>
        <v>19.62</v>
      </c>
      <c r="P25" s="204"/>
      <c r="Q25" s="204"/>
      <c r="R25" s="204">
        <v>0</v>
      </c>
      <c r="S25" s="492">
        <f t="shared" si="3"/>
        <v>0</v>
      </c>
      <c r="T25" s="492">
        <f t="shared" si="4"/>
        <v>77</v>
      </c>
      <c r="U25" s="492">
        <f t="shared" si="14"/>
        <v>37.5</v>
      </c>
      <c r="V25" s="493">
        <f t="shared" si="15"/>
        <v>0.32751091703056767</v>
      </c>
      <c r="W25" s="532"/>
      <c r="X25" s="532"/>
      <c r="Y25" s="204"/>
      <c r="Z25"/>
    </row>
    <row r="26" spans="1:27" ht="13.15">
      <c r="A26" s="204" t="s">
        <v>317</v>
      </c>
      <c r="B26" s="204" t="s">
        <v>318</v>
      </c>
      <c r="C26" s="204" t="s">
        <v>273</v>
      </c>
      <c r="D26" s="204">
        <v>26</v>
      </c>
      <c r="E26" s="204">
        <v>2</v>
      </c>
      <c r="F26" s="204">
        <v>2.4</v>
      </c>
      <c r="G26" s="204">
        <f>(D26-E26)*F26</f>
        <v>57.599999999999994</v>
      </c>
      <c r="H26" s="204">
        <f t="shared" si="0"/>
        <v>250</v>
      </c>
      <c r="I26" s="204">
        <f>((26-E26)*F26)-G26</f>
        <v>0</v>
      </c>
      <c r="J26" s="204">
        <f t="shared" si="7"/>
        <v>125</v>
      </c>
      <c r="K26" s="204">
        <v>90</v>
      </c>
      <c r="L26" s="1055">
        <v>45411</v>
      </c>
      <c r="M26" s="293">
        <f t="shared" si="1"/>
        <v>21</v>
      </c>
      <c r="N26" s="492">
        <f t="shared" si="11"/>
        <v>420</v>
      </c>
      <c r="O26" s="492">
        <f>M26*1.09</f>
        <v>22.89</v>
      </c>
      <c r="P26" s="204"/>
      <c r="Q26" s="204"/>
      <c r="R26" s="204">
        <v>10</v>
      </c>
      <c r="S26" s="492">
        <f t="shared" si="3"/>
        <v>2.2999999999999998</v>
      </c>
      <c r="T26" s="492">
        <f t="shared" si="4"/>
        <v>100</v>
      </c>
      <c r="U26" s="492">
        <f>J26-T26</f>
        <v>25</v>
      </c>
      <c r="V26" s="493">
        <f>U26/J26</f>
        <v>0.2</v>
      </c>
      <c r="W26" s="204" t="s">
        <v>319</v>
      </c>
      <c r="X26" s="204" t="s">
        <v>320</v>
      </c>
      <c r="Y26" s="204"/>
      <c r="Z26"/>
      <c r="AA26" s="422"/>
    </row>
    <row r="27" spans="1:27" ht="13.15">
      <c r="A27" s="204" t="s">
        <v>317</v>
      </c>
      <c r="B27" s="204" t="s">
        <v>321</v>
      </c>
      <c r="C27" s="204" t="s">
        <v>273</v>
      </c>
      <c r="D27" s="204">
        <v>26</v>
      </c>
      <c r="E27" s="204">
        <v>2</v>
      </c>
      <c r="F27" s="204">
        <v>2.4</v>
      </c>
      <c r="G27" s="204">
        <f>(D27-E27)*F27</f>
        <v>57.599999999999994</v>
      </c>
      <c r="H27" s="204">
        <f t="shared" si="0"/>
        <v>250</v>
      </c>
      <c r="I27" s="204">
        <f>((26-E27)*F27)-G27</f>
        <v>0</v>
      </c>
      <c r="J27" s="204">
        <f t="shared" si="7"/>
        <v>125</v>
      </c>
      <c r="K27" s="204">
        <v>92</v>
      </c>
      <c r="L27" s="1055">
        <v>45410</v>
      </c>
      <c r="M27" s="293">
        <f t="shared" si="1"/>
        <v>22</v>
      </c>
      <c r="N27" s="492">
        <f t="shared" si="11"/>
        <v>440</v>
      </c>
      <c r="O27" s="492">
        <f>M27*1.09</f>
        <v>23.98</v>
      </c>
      <c r="P27" s="204"/>
      <c r="Q27" s="204"/>
      <c r="R27" s="204">
        <v>10</v>
      </c>
      <c r="S27" s="492">
        <f t="shared" si="3"/>
        <v>2.2999999999999998</v>
      </c>
      <c r="T27" s="492">
        <f t="shared" si="4"/>
        <v>102</v>
      </c>
      <c r="U27" s="492">
        <f>J27-T27</f>
        <v>23</v>
      </c>
      <c r="V27" s="493">
        <f>U27/J27</f>
        <v>0.184</v>
      </c>
      <c r="W27" s="204" t="s">
        <v>319</v>
      </c>
      <c r="X27" s="204" t="s">
        <v>320</v>
      </c>
      <c r="Y27" s="204"/>
      <c r="Z27"/>
      <c r="AA27" s="422"/>
    </row>
    <row r="28" spans="1:27" s="422" customFormat="1" ht="13.15">
      <c r="A28" s="532" t="s">
        <v>322</v>
      </c>
      <c r="B28" s="532" t="s">
        <v>323</v>
      </c>
      <c r="C28" s="532" t="s">
        <v>324</v>
      </c>
      <c r="D28" s="532">
        <v>21</v>
      </c>
      <c r="E28" s="532">
        <v>6</v>
      </c>
      <c r="F28" s="532">
        <v>2</v>
      </c>
      <c r="G28" s="532">
        <f t="shared" ref="G28:G29" si="23">(D28-E28)*2</f>
        <v>30</v>
      </c>
      <c r="H28" s="532">
        <f t="shared" si="0"/>
        <v>130</v>
      </c>
      <c r="I28" s="532">
        <f>48-G28</f>
        <v>18</v>
      </c>
      <c r="J28" s="532"/>
      <c r="K28" s="1056">
        <v>31</v>
      </c>
      <c r="L28" s="1055">
        <v>45396</v>
      </c>
      <c r="M28" s="1074">
        <f t="shared" si="1"/>
        <v>8</v>
      </c>
      <c r="N28" s="781">
        <f t="shared" si="11"/>
        <v>160</v>
      </c>
      <c r="O28" s="781">
        <f t="shared" ref="O28:O41" si="24">M28*1.09</f>
        <v>8.7200000000000006</v>
      </c>
      <c r="P28" s="532"/>
      <c r="Q28" s="532"/>
      <c r="R28" s="532">
        <v>0</v>
      </c>
      <c r="S28" s="781">
        <f t="shared" si="3"/>
        <v>0</v>
      </c>
      <c r="T28" s="781">
        <f t="shared" si="4"/>
        <v>31</v>
      </c>
      <c r="U28" s="781">
        <f>H28-T28</f>
        <v>99</v>
      </c>
      <c r="V28" s="493"/>
      <c r="W28" s="204"/>
      <c r="X28" s="423"/>
      <c r="Y28" s="423"/>
      <c r="Z28" s="53"/>
    </row>
    <row r="29" spans="1:27" s="422" customFormat="1" ht="13.15">
      <c r="A29" s="532" t="s">
        <v>322</v>
      </c>
      <c r="B29" s="532" t="s">
        <v>325</v>
      </c>
      <c r="C29" s="532" t="s">
        <v>324</v>
      </c>
      <c r="D29" s="532">
        <v>21</v>
      </c>
      <c r="E29" s="532">
        <v>6</v>
      </c>
      <c r="F29" s="532">
        <v>2</v>
      </c>
      <c r="G29" s="532">
        <f t="shared" si="23"/>
        <v>30</v>
      </c>
      <c r="H29" s="532">
        <f t="shared" si="0"/>
        <v>130</v>
      </c>
      <c r="I29" s="532">
        <f>48-G29</f>
        <v>18</v>
      </c>
      <c r="J29" s="532"/>
      <c r="K29" s="1056">
        <v>30</v>
      </c>
      <c r="L29" s="1055">
        <v>45396</v>
      </c>
      <c r="M29" s="1074">
        <f t="shared" si="1"/>
        <v>7</v>
      </c>
      <c r="N29" s="781">
        <f t="shared" si="11"/>
        <v>140.00000000000003</v>
      </c>
      <c r="O29" s="781">
        <f t="shared" si="24"/>
        <v>7.6300000000000008</v>
      </c>
      <c r="P29" s="532"/>
      <c r="Q29" s="532"/>
      <c r="R29" s="532">
        <v>0</v>
      </c>
      <c r="S29" s="781">
        <f t="shared" si="3"/>
        <v>0</v>
      </c>
      <c r="T29" s="781">
        <f t="shared" si="4"/>
        <v>30</v>
      </c>
      <c r="U29" s="781">
        <f>H29-T29</f>
        <v>100</v>
      </c>
      <c r="V29" s="493"/>
      <c r="W29" s="423"/>
      <c r="X29" s="423"/>
      <c r="Y29" s="423"/>
      <c r="Z29" s="53"/>
    </row>
    <row r="30" spans="1:27" ht="13.15">
      <c r="A30" s="204" t="s">
        <v>322</v>
      </c>
      <c r="B30" s="204" t="s">
        <v>326</v>
      </c>
      <c r="C30" s="204" t="s">
        <v>273</v>
      </c>
      <c r="D30" s="204">
        <v>19</v>
      </c>
      <c r="E30" s="204">
        <v>2</v>
      </c>
      <c r="F30" s="204">
        <v>2.4</v>
      </c>
      <c r="G30" s="204">
        <f>(D30-E30)*F30</f>
        <v>40.799999999999997</v>
      </c>
      <c r="H30" s="204">
        <f>INT((G30*1000)/230)</f>
        <v>177</v>
      </c>
      <c r="I30" s="204">
        <f>((30-E30)*F30)-G30</f>
        <v>26.400000000000006</v>
      </c>
      <c r="J30" s="204">
        <f>H30/2</f>
        <v>88.5</v>
      </c>
      <c r="K30" s="1054">
        <v>64</v>
      </c>
      <c r="L30" s="1055">
        <v>45312</v>
      </c>
      <c r="M30" s="293">
        <f>ROUNDUP(((K30*230)/1000),0)</f>
        <v>15</v>
      </c>
      <c r="N30" s="492">
        <f>(O30*1000)/54.5</f>
        <v>300.00000000000006</v>
      </c>
      <c r="O30" s="492">
        <f>M30*1.09</f>
        <v>16.350000000000001</v>
      </c>
      <c r="P30" s="204"/>
      <c r="Q30" s="204"/>
      <c r="R30" s="204">
        <v>0</v>
      </c>
      <c r="S30" s="492">
        <f>(R30*230)/1000</f>
        <v>0</v>
      </c>
      <c r="T30" s="492">
        <f>K30+P30+R30</f>
        <v>64</v>
      </c>
      <c r="U30" s="492">
        <f>J30-T30</f>
        <v>24.5</v>
      </c>
      <c r="V30" s="493">
        <f>U30/J30</f>
        <v>0.2768361581920904</v>
      </c>
      <c r="W30" s="204"/>
      <c r="X30" s="204"/>
      <c r="Y30" s="204"/>
      <c r="Z30"/>
    </row>
    <row r="31" spans="1:27" ht="13.15">
      <c r="A31" s="204" t="s">
        <v>322</v>
      </c>
      <c r="B31" s="204" t="s">
        <v>327</v>
      </c>
      <c r="C31" s="204" t="s">
        <v>273</v>
      </c>
      <c r="D31" s="204">
        <v>19</v>
      </c>
      <c r="E31" s="204">
        <v>2</v>
      </c>
      <c r="F31" s="204">
        <v>2.4</v>
      </c>
      <c r="G31" s="204">
        <f t="shared" ref="G31:G37" si="25">(D31-E31)*F31</f>
        <v>40.799999999999997</v>
      </c>
      <c r="H31" s="204">
        <f t="shared" si="0"/>
        <v>177</v>
      </c>
      <c r="I31" s="204">
        <f>((30-E31)*F31)-G31</f>
        <v>26.400000000000006</v>
      </c>
      <c r="J31" s="204">
        <f t="shared" si="7"/>
        <v>88.5</v>
      </c>
      <c r="K31" s="1054">
        <v>62</v>
      </c>
      <c r="L31" s="1055">
        <v>45312</v>
      </c>
      <c r="M31" s="293">
        <f t="shared" si="1"/>
        <v>15</v>
      </c>
      <c r="N31" s="492">
        <f t="shared" si="11"/>
        <v>300.00000000000006</v>
      </c>
      <c r="O31" s="492">
        <f t="shared" si="24"/>
        <v>16.350000000000001</v>
      </c>
      <c r="P31" s="204"/>
      <c r="Q31" s="204"/>
      <c r="R31" s="204">
        <v>0</v>
      </c>
      <c r="S31" s="492">
        <f t="shared" si="3"/>
        <v>0</v>
      </c>
      <c r="T31" s="492">
        <f t="shared" si="4"/>
        <v>62</v>
      </c>
      <c r="U31" s="492">
        <f t="shared" ref="U31:U41" si="26">J31-T31</f>
        <v>26.5</v>
      </c>
      <c r="V31" s="493">
        <f t="shared" ref="V31:V41" si="27">U31/J31</f>
        <v>0.29943502824858759</v>
      </c>
      <c r="W31" s="204"/>
      <c r="X31" s="204"/>
      <c r="Y31" s="204"/>
      <c r="Z31"/>
    </row>
    <row r="32" spans="1:27" ht="13.15">
      <c r="A32" s="204" t="s">
        <v>322</v>
      </c>
      <c r="B32" s="204" t="s">
        <v>328</v>
      </c>
      <c r="C32" s="204" t="s">
        <v>273</v>
      </c>
      <c r="D32" s="204">
        <v>25</v>
      </c>
      <c r="E32" s="204">
        <v>2</v>
      </c>
      <c r="F32" s="204">
        <v>2.4</v>
      </c>
      <c r="G32" s="204">
        <f t="shared" si="25"/>
        <v>55.199999999999996</v>
      </c>
      <c r="H32" s="204">
        <f t="shared" si="0"/>
        <v>240</v>
      </c>
      <c r="I32" s="204">
        <f>((30-E32)*F32)-G32</f>
        <v>12.000000000000007</v>
      </c>
      <c r="J32" s="204">
        <f t="shared" si="7"/>
        <v>120</v>
      </c>
      <c r="K32" s="1054">
        <v>50</v>
      </c>
      <c r="L32" s="1055">
        <v>45312</v>
      </c>
      <c r="M32" s="293">
        <f t="shared" si="1"/>
        <v>12</v>
      </c>
      <c r="N32" s="492">
        <f t="shared" si="11"/>
        <v>240.00000000000003</v>
      </c>
      <c r="O32" s="492">
        <f t="shared" si="24"/>
        <v>13.080000000000002</v>
      </c>
      <c r="P32" s="204"/>
      <c r="Q32" s="204"/>
      <c r="R32" s="204">
        <v>0</v>
      </c>
      <c r="S32" s="492">
        <f t="shared" si="3"/>
        <v>0</v>
      </c>
      <c r="T32" s="492">
        <f>K32+P32+R32</f>
        <v>50</v>
      </c>
      <c r="U32" s="492">
        <f>J32-T32</f>
        <v>70</v>
      </c>
      <c r="V32" s="493">
        <f t="shared" si="27"/>
        <v>0.58333333333333337</v>
      </c>
      <c r="W32" s="528"/>
      <c r="X32" s="528"/>
      <c r="Y32" s="204"/>
      <c r="Z32"/>
    </row>
    <row r="33" spans="1:27" ht="13.15">
      <c r="A33" s="204" t="s">
        <v>322</v>
      </c>
      <c r="B33" s="204" t="s">
        <v>329</v>
      </c>
      <c r="C33" s="204" t="s">
        <v>273</v>
      </c>
      <c r="D33" s="204">
        <v>25</v>
      </c>
      <c r="E33" s="204">
        <v>2</v>
      </c>
      <c r="F33" s="204">
        <v>2.4</v>
      </c>
      <c r="G33" s="204">
        <f t="shared" si="25"/>
        <v>55.199999999999996</v>
      </c>
      <c r="H33" s="204">
        <f t="shared" si="0"/>
        <v>240</v>
      </c>
      <c r="I33" s="204">
        <f>((30-E33)*F33)-G33</f>
        <v>12.000000000000007</v>
      </c>
      <c r="J33" s="204">
        <f t="shared" si="7"/>
        <v>120</v>
      </c>
      <c r="K33" s="1054">
        <v>50</v>
      </c>
      <c r="L33" s="1055">
        <v>45312</v>
      </c>
      <c r="M33" s="293">
        <f t="shared" si="1"/>
        <v>12</v>
      </c>
      <c r="N33" s="492">
        <f t="shared" si="11"/>
        <v>240.00000000000003</v>
      </c>
      <c r="O33" s="492">
        <f t="shared" si="24"/>
        <v>13.080000000000002</v>
      </c>
      <c r="P33" s="204"/>
      <c r="Q33" s="204"/>
      <c r="R33" s="204">
        <v>0</v>
      </c>
      <c r="S33" s="492">
        <f t="shared" si="3"/>
        <v>0</v>
      </c>
      <c r="T33" s="492">
        <f>K33+P33+R33</f>
        <v>50</v>
      </c>
      <c r="U33" s="492">
        <f>J33-T33</f>
        <v>70</v>
      </c>
      <c r="V33" s="493">
        <f t="shared" si="27"/>
        <v>0.58333333333333337</v>
      </c>
      <c r="W33" s="528"/>
      <c r="X33" s="528"/>
      <c r="Y33" s="204"/>
      <c r="Z33"/>
    </row>
    <row r="34" spans="1:27" ht="13.15">
      <c r="A34" s="204" t="s">
        <v>330</v>
      </c>
      <c r="B34" s="204" t="s">
        <v>331</v>
      </c>
      <c r="C34" s="204" t="s">
        <v>273</v>
      </c>
      <c r="D34" s="204">
        <v>26</v>
      </c>
      <c r="E34" s="204">
        <v>2</v>
      </c>
      <c r="F34" s="204">
        <v>2.4</v>
      </c>
      <c r="G34" s="204">
        <f t="shared" si="25"/>
        <v>57.599999999999994</v>
      </c>
      <c r="H34" s="204">
        <f t="shared" si="0"/>
        <v>250</v>
      </c>
      <c r="I34" s="204">
        <f>((26-E34)*F34)-G34</f>
        <v>0</v>
      </c>
      <c r="J34" s="204">
        <f t="shared" si="7"/>
        <v>125</v>
      </c>
      <c r="K34" s="1054">
        <v>109</v>
      </c>
      <c r="L34" s="1055">
        <v>45326</v>
      </c>
      <c r="M34" s="293">
        <f t="shared" si="1"/>
        <v>26</v>
      </c>
      <c r="N34" s="492">
        <f t="shared" si="11"/>
        <v>520.00000000000011</v>
      </c>
      <c r="O34" s="492">
        <f t="shared" si="24"/>
        <v>28.340000000000003</v>
      </c>
      <c r="P34" s="204"/>
      <c r="Q34" s="204"/>
      <c r="R34" s="204">
        <v>4.8</v>
      </c>
      <c r="S34" s="492">
        <f t="shared" si="3"/>
        <v>1.1040000000000001</v>
      </c>
      <c r="T34" s="492">
        <f>K34+P34+R34</f>
        <v>113.8</v>
      </c>
      <c r="U34" s="492">
        <f>J34-T34</f>
        <v>11.200000000000003</v>
      </c>
      <c r="V34" s="493">
        <f>U34/J34</f>
        <v>8.9600000000000027E-2</v>
      </c>
      <c r="W34" s="532" t="s">
        <v>332</v>
      </c>
      <c r="X34" s="532" t="s">
        <v>333</v>
      </c>
      <c r="Y34" s="204"/>
      <c r="Z34"/>
    </row>
    <row r="35" spans="1:27" ht="13.15">
      <c r="A35" s="204" t="s">
        <v>330</v>
      </c>
      <c r="B35" s="204" t="s">
        <v>334</v>
      </c>
      <c r="C35" s="204" t="s">
        <v>273</v>
      </c>
      <c r="D35" s="204">
        <v>26</v>
      </c>
      <c r="E35" s="204">
        <v>2</v>
      </c>
      <c r="F35" s="204">
        <v>2.4</v>
      </c>
      <c r="G35" s="204">
        <f t="shared" si="25"/>
        <v>57.599999999999994</v>
      </c>
      <c r="H35" s="204">
        <f t="shared" si="0"/>
        <v>250</v>
      </c>
      <c r="I35" s="204">
        <f>((26-E35)*F35)-G35</f>
        <v>0</v>
      </c>
      <c r="J35" s="204">
        <f t="shared" si="7"/>
        <v>125</v>
      </c>
      <c r="K35" s="1054">
        <v>107</v>
      </c>
      <c r="L35" s="1055">
        <v>45249</v>
      </c>
      <c r="M35" s="293">
        <f t="shared" si="1"/>
        <v>25</v>
      </c>
      <c r="N35" s="492">
        <f t="shared" si="11"/>
        <v>500.00000000000006</v>
      </c>
      <c r="O35" s="492">
        <f t="shared" si="24"/>
        <v>27.250000000000004</v>
      </c>
      <c r="P35" s="204"/>
      <c r="Q35" s="204"/>
      <c r="R35" s="204">
        <v>4.8</v>
      </c>
      <c r="S35" s="492">
        <f t="shared" si="3"/>
        <v>1.1040000000000001</v>
      </c>
      <c r="T35" s="492">
        <f>K35+P35+R35</f>
        <v>111.8</v>
      </c>
      <c r="U35" s="492">
        <f>J35-T35</f>
        <v>13.200000000000003</v>
      </c>
      <c r="V35" s="493">
        <f>U35/J35</f>
        <v>0.10560000000000003</v>
      </c>
      <c r="W35" s="532" t="s">
        <v>332</v>
      </c>
      <c r="X35" s="532" t="s">
        <v>333</v>
      </c>
      <c r="Y35" s="204"/>
      <c r="Z35"/>
    </row>
    <row r="36" spans="1:27" ht="13.15">
      <c r="A36" s="204" t="s">
        <v>335</v>
      </c>
      <c r="B36" s="204" t="s">
        <v>336</v>
      </c>
      <c r="C36" s="204" t="s">
        <v>273</v>
      </c>
      <c r="D36" s="204">
        <v>12</v>
      </c>
      <c r="E36" s="204">
        <v>2</v>
      </c>
      <c r="F36" s="204">
        <v>2.4</v>
      </c>
      <c r="G36" s="204">
        <f t="shared" si="25"/>
        <v>24</v>
      </c>
      <c r="H36" s="204">
        <f t="shared" si="0"/>
        <v>104</v>
      </c>
      <c r="I36" s="204">
        <f>((14-E36)*F36)-G36</f>
        <v>4.7999999999999972</v>
      </c>
      <c r="J36" s="204">
        <f t="shared" si="7"/>
        <v>52</v>
      </c>
      <c r="K36" s="1054">
        <v>19</v>
      </c>
      <c r="L36" s="1055">
        <v>45298</v>
      </c>
      <c r="M36" s="293">
        <f t="shared" si="1"/>
        <v>5</v>
      </c>
      <c r="N36" s="492">
        <f t="shared" si="11"/>
        <v>100</v>
      </c>
      <c r="O36" s="492">
        <f t="shared" si="24"/>
        <v>5.45</v>
      </c>
      <c r="P36" s="204"/>
      <c r="Q36" s="204"/>
      <c r="R36" s="204"/>
      <c r="S36" s="492">
        <f t="shared" si="3"/>
        <v>0</v>
      </c>
      <c r="T36" s="492">
        <f t="shared" si="4"/>
        <v>19</v>
      </c>
      <c r="U36" s="492">
        <f>J36-T36</f>
        <v>33</v>
      </c>
      <c r="V36" s="493">
        <f t="shared" si="27"/>
        <v>0.63461538461538458</v>
      </c>
      <c r="W36" s="204"/>
      <c r="X36" s="204"/>
      <c r="Y36" s="204"/>
      <c r="Z36"/>
    </row>
    <row r="37" spans="1:27" ht="13.15">
      <c r="A37" s="204" t="s">
        <v>335</v>
      </c>
      <c r="B37" s="204" t="s">
        <v>337</v>
      </c>
      <c r="C37" s="204" t="s">
        <v>273</v>
      </c>
      <c r="D37" s="204">
        <v>12</v>
      </c>
      <c r="E37" s="204">
        <v>2</v>
      </c>
      <c r="F37" s="204">
        <v>2.4</v>
      </c>
      <c r="G37" s="204">
        <f t="shared" si="25"/>
        <v>24</v>
      </c>
      <c r="H37" s="204">
        <f t="shared" si="0"/>
        <v>104</v>
      </c>
      <c r="I37" s="204">
        <f>((14-E37)*F37)-G37</f>
        <v>4.7999999999999972</v>
      </c>
      <c r="J37" s="204">
        <f t="shared" si="7"/>
        <v>52</v>
      </c>
      <c r="K37" s="1054">
        <v>12</v>
      </c>
      <c r="L37" s="1055">
        <v>45312</v>
      </c>
      <c r="M37" s="293">
        <f t="shared" si="1"/>
        <v>3</v>
      </c>
      <c r="N37" s="492">
        <f t="shared" si="11"/>
        <v>60.000000000000007</v>
      </c>
      <c r="O37" s="492">
        <f t="shared" si="24"/>
        <v>3.2700000000000005</v>
      </c>
      <c r="P37" s="204"/>
      <c r="Q37" s="204"/>
      <c r="R37" s="204">
        <v>0</v>
      </c>
      <c r="S37" s="492">
        <f t="shared" si="3"/>
        <v>0</v>
      </c>
      <c r="T37" s="492">
        <f t="shared" si="4"/>
        <v>12</v>
      </c>
      <c r="U37" s="492">
        <f t="shared" si="26"/>
        <v>40</v>
      </c>
      <c r="V37" s="493">
        <f t="shared" si="27"/>
        <v>0.76923076923076927</v>
      </c>
      <c r="W37" s="204"/>
      <c r="X37" s="204"/>
      <c r="Y37" s="204"/>
      <c r="Z37"/>
    </row>
    <row r="38" spans="1:27" ht="13.15">
      <c r="A38" s="204" t="s">
        <v>338</v>
      </c>
      <c r="B38" s="204" t="s">
        <v>339</v>
      </c>
      <c r="C38" s="204" t="s">
        <v>273</v>
      </c>
      <c r="D38" s="204">
        <v>12</v>
      </c>
      <c r="E38" s="204">
        <v>2</v>
      </c>
      <c r="F38" s="204">
        <v>2.4</v>
      </c>
      <c r="G38" s="204">
        <f>(D38-E38)*F38</f>
        <v>24</v>
      </c>
      <c r="H38" s="204">
        <f>INT((G38*1000)/230)</f>
        <v>104</v>
      </c>
      <c r="I38" s="204">
        <f>((26-E38)*F38)-G38</f>
        <v>33.599999999999994</v>
      </c>
      <c r="J38" s="204">
        <f t="shared" si="7"/>
        <v>52</v>
      </c>
      <c r="K38" s="1054">
        <v>14</v>
      </c>
      <c r="L38" s="1055">
        <v>45312</v>
      </c>
      <c r="M38" s="293">
        <f t="shared" si="1"/>
        <v>4</v>
      </c>
      <c r="N38" s="492">
        <f t="shared" si="11"/>
        <v>80</v>
      </c>
      <c r="O38" s="492">
        <f t="shared" si="24"/>
        <v>4.3600000000000003</v>
      </c>
      <c r="P38" s="204"/>
      <c r="Q38" s="204"/>
      <c r="R38" s="204">
        <v>0</v>
      </c>
      <c r="S38" s="492">
        <f t="shared" si="3"/>
        <v>0</v>
      </c>
      <c r="T38" s="492">
        <f t="shared" si="4"/>
        <v>14</v>
      </c>
      <c r="U38" s="492">
        <f t="shared" si="26"/>
        <v>38</v>
      </c>
      <c r="V38" s="493">
        <f t="shared" si="27"/>
        <v>0.73076923076923073</v>
      </c>
      <c r="W38" s="204"/>
      <c r="X38" s="204"/>
      <c r="Y38" s="204"/>
      <c r="Z38" s="347"/>
    </row>
    <row r="39" spans="1:27" ht="13.15">
      <c r="A39" s="204" t="s">
        <v>338</v>
      </c>
      <c r="B39" s="204" t="s">
        <v>340</v>
      </c>
      <c r="C39" s="204" t="s">
        <v>273</v>
      </c>
      <c r="D39" s="204">
        <v>12</v>
      </c>
      <c r="E39" s="204">
        <v>2</v>
      </c>
      <c r="F39" s="204">
        <v>2.4</v>
      </c>
      <c r="G39" s="204">
        <f>(D39-E39)*F39</f>
        <v>24</v>
      </c>
      <c r="H39" s="204">
        <f>INT((G39*1000)/230)</f>
        <v>104</v>
      </c>
      <c r="I39" s="204">
        <f>((26-E39)*F39)-G39</f>
        <v>33.599999999999994</v>
      </c>
      <c r="J39" s="204">
        <f t="shared" si="7"/>
        <v>52</v>
      </c>
      <c r="K39" s="1054">
        <v>11</v>
      </c>
      <c r="L39" s="1055">
        <v>45312</v>
      </c>
      <c r="M39" s="293">
        <f t="shared" si="1"/>
        <v>3</v>
      </c>
      <c r="N39" s="492">
        <f t="shared" si="11"/>
        <v>60.000000000000007</v>
      </c>
      <c r="O39" s="492">
        <f t="shared" si="24"/>
        <v>3.2700000000000005</v>
      </c>
      <c r="P39" s="204"/>
      <c r="Q39" s="204"/>
      <c r="R39" s="204">
        <v>0</v>
      </c>
      <c r="S39" s="492">
        <f t="shared" si="3"/>
        <v>0</v>
      </c>
      <c r="T39" s="492">
        <f t="shared" si="4"/>
        <v>11</v>
      </c>
      <c r="U39" s="492">
        <f t="shared" si="26"/>
        <v>41</v>
      </c>
      <c r="V39" s="493">
        <f t="shared" si="27"/>
        <v>0.78846153846153844</v>
      </c>
      <c r="W39" s="204"/>
      <c r="X39" s="204"/>
      <c r="Y39" s="204"/>
      <c r="Z39" s="347"/>
    </row>
    <row r="40" spans="1:27" ht="13.15">
      <c r="A40" s="204" t="s">
        <v>341</v>
      </c>
      <c r="B40" s="204" t="s">
        <v>342</v>
      </c>
      <c r="C40" s="204" t="s">
        <v>273</v>
      </c>
      <c r="D40" s="204">
        <v>12</v>
      </c>
      <c r="E40" s="204">
        <v>2</v>
      </c>
      <c r="F40" s="204">
        <v>2.4</v>
      </c>
      <c r="G40" s="204">
        <f>(D40-E40)*F40</f>
        <v>24</v>
      </c>
      <c r="H40" s="204">
        <f t="shared" si="0"/>
        <v>104</v>
      </c>
      <c r="I40" s="204">
        <f>((14-E40)*F40)-G40</f>
        <v>4.7999999999999972</v>
      </c>
      <c r="J40" s="204">
        <f t="shared" si="7"/>
        <v>52</v>
      </c>
      <c r="K40" s="1054">
        <v>16</v>
      </c>
      <c r="L40" s="1055">
        <v>45312</v>
      </c>
      <c r="M40" s="293">
        <f t="shared" si="1"/>
        <v>4</v>
      </c>
      <c r="N40" s="492">
        <f t="shared" si="11"/>
        <v>80</v>
      </c>
      <c r="O40" s="492">
        <f t="shared" si="24"/>
        <v>4.3600000000000003</v>
      </c>
      <c r="P40" s="204"/>
      <c r="Q40" s="204"/>
      <c r="R40" s="204">
        <v>0</v>
      </c>
      <c r="S40" s="492">
        <f t="shared" si="3"/>
        <v>0</v>
      </c>
      <c r="T40" s="492">
        <f t="shared" si="4"/>
        <v>16</v>
      </c>
      <c r="U40" s="492">
        <f t="shared" si="26"/>
        <v>36</v>
      </c>
      <c r="V40" s="493">
        <f t="shared" si="27"/>
        <v>0.69230769230769229</v>
      </c>
      <c r="W40" s="204"/>
      <c r="X40" s="204"/>
      <c r="Y40" s="204"/>
      <c r="Z40"/>
    </row>
    <row r="41" spans="1:27" ht="13.15">
      <c r="A41" s="204" t="s">
        <v>341</v>
      </c>
      <c r="B41" s="204" t="s">
        <v>343</v>
      </c>
      <c r="C41" s="204" t="s">
        <v>273</v>
      </c>
      <c r="D41" s="204">
        <v>12</v>
      </c>
      <c r="E41" s="204">
        <v>2</v>
      </c>
      <c r="F41" s="204">
        <v>2.4</v>
      </c>
      <c r="G41" s="204">
        <f>(D41-E41)*F41</f>
        <v>24</v>
      </c>
      <c r="H41" s="204">
        <f t="shared" si="0"/>
        <v>104</v>
      </c>
      <c r="I41" s="204">
        <f>((14-E41)*F41)-G41</f>
        <v>4.7999999999999972</v>
      </c>
      <c r="J41" s="204">
        <f t="shared" si="7"/>
        <v>52</v>
      </c>
      <c r="K41" s="204">
        <v>12</v>
      </c>
      <c r="L41" s="1055">
        <v>45410</v>
      </c>
      <c r="M41" s="293">
        <f t="shared" si="1"/>
        <v>3</v>
      </c>
      <c r="N41" s="492">
        <f t="shared" si="11"/>
        <v>60.000000000000007</v>
      </c>
      <c r="O41" s="492">
        <f t="shared" si="24"/>
        <v>3.2700000000000005</v>
      </c>
      <c r="P41" s="204"/>
      <c r="Q41" s="204"/>
      <c r="R41" s="204">
        <v>0</v>
      </c>
      <c r="S41" s="492">
        <f t="shared" si="3"/>
        <v>0</v>
      </c>
      <c r="T41" s="492">
        <f t="shared" si="4"/>
        <v>12</v>
      </c>
      <c r="U41" s="492">
        <f t="shared" si="26"/>
        <v>40</v>
      </c>
      <c r="V41" s="493">
        <f t="shared" si="27"/>
        <v>0.76923076923076927</v>
      </c>
      <c r="W41" s="204"/>
      <c r="X41" s="204"/>
      <c r="Y41" s="204"/>
      <c r="Z41"/>
    </row>
    <row r="42" spans="1:27" ht="13.15">
      <c r="A42" s="768" t="s">
        <v>344</v>
      </c>
      <c r="B42" s="204"/>
      <c r="C42" s="204"/>
      <c r="D42" s="204"/>
      <c r="E42" s="204"/>
      <c r="F42" s="204"/>
      <c r="G42" s="204"/>
      <c r="H42" s="204"/>
      <c r="I42" s="204"/>
      <c r="J42" s="204"/>
      <c r="K42" s="204"/>
      <c r="L42" s="204"/>
      <c r="M42" s="293"/>
      <c r="N42" s="204"/>
      <c r="O42" s="204"/>
      <c r="P42" s="204"/>
      <c r="Q42" s="204"/>
      <c r="R42" s="204"/>
      <c r="S42" s="204"/>
      <c r="T42" s="204"/>
      <c r="U42" s="204"/>
      <c r="V42" s="204"/>
      <c r="W42" s="204"/>
      <c r="X42" s="204"/>
      <c r="Y42" s="204"/>
      <c r="Z42" s="204"/>
    </row>
    <row r="43" spans="1:27" ht="52.9">
      <c r="A43" s="303" t="s">
        <v>7</v>
      </c>
      <c r="B43" s="304" t="s">
        <v>345</v>
      </c>
      <c r="C43" s="304" t="s">
        <v>346</v>
      </c>
      <c r="D43" s="305" t="s">
        <v>252</v>
      </c>
      <c r="E43" s="305" t="s">
        <v>253</v>
      </c>
      <c r="F43" s="305" t="str">
        <f>F1</f>
        <v>Inverter Module Capacity (kW)</v>
      </c>
      <c r="G43" s="305" t="s">
        <v>255</v>
      </c>
      <c r="H43" s="304" t="s">
        <v>256</v>
      </c>
      <c r="I43" s="304" t="s">
        <v>257</v>
      </c>
      <c r="J43" s="304" t="str">
        <f>J1</f>
        <v>Available Capability (A)</v>
      </c>
      <c r="K43" s="304" t="str">
        <f>K1</f>
        <v>Element Load (A)</v>
      </c>
      <c r="L43" s="304" t="s">
        <v>259</v>
      </c>
      <c r="M43" s="1073" t="str">
        <f>M1</f>
        <v>Element Load (kW)</v>
      </c>
      <c r="N43" s="304" t="str">
        <f>N1</f>
        <v>Total Load on DC power plants (A)</v>
      </c>
      <c r="O43" s="304" t="s">
        <v>262</v>
      </c>
      <c r="P43" s="304" t="str">
        <f>P1</f>
        <v>Inverter Reserved Load (A)</v>
      </c>
      <c r="Q43" s="304" t="s">
        <v>347</v>
      </c>
      <c r="R43" s="304" t="s">
        <v>265</v>
      </c>
      <c r="S43" s="304" t="s">
        <v>266</v>
      </c>
      <c r="T43" s="304" t="str">
        <f>T1</f>
        <v>Element Load+Reserved+Forecast (A)</v>
      </c>
      <c r="U43" s="304" t="str">
        <f>U1</f>
        <v>Remaining Element Capability (A)</v>
      </c>
      <c r="V43" s="304" t="s">
        <v>268</v>
      </c>
      <c r="W43" s="304" t="s">
        <v>348</v>
      </c>
      <c r="X43" s="304" t="s">
        <v>349</v>
      </c>
      <c r="Y43" s="304"/>
      <c r="Z43" s="306"/>
      <c r="AA43" s="307"/>
    </row>
    <row r="44" spans="1:27" ht="13.15">
      <c r="A44" s="204" t="s">
        <v>350</v>
      </c>
      <c r="B44" s="204" t="s">
        <v>351</v>
      </c>
      <c r="C44" s="204" t="s">
        <v>273</v>
      </c>
      <c r="D44" s="204">
        <v>6</v>
      </c>
      <c r="E44" s="204">
        <v>2</v>
      </c>
      <c r="F44" s="204">
        <v>2.4</v>
      </c>
      <c r="G44" s="204">
        <f>(D44-E44)*F44</f>
        <v>9.6</v>
      </c>
      <c r="H44" s="204">
        <f t="shared" ref="H44:H56" si="28">INT((G44*1000)/230)</f>
        <v>41</v>
      </c>
      <c r="I44" s="204">
        <f>42-G44</f>
        <v>32.4</v>
      </c>
      <c r="J44" s="204">
        <f>H44</f>
        <v>41</v>
      </c>
      <c r="K44" s="204">
        <v>5</v>
      </c>
      <c r="L44" s="1055">
        <v>45410</v>
      </c>
      <c r="M44" s="293">
        <f t="shared" ref="M44:M51" si="29">((K44*230)/1000)</f>
        <v>1.1499999999999999</v>
      </c>
      <c r="N44" s="492">
        <f>(O44*1000)/54.5</f>
        <v>23</v>
      </c>
      <c r="O44" s="308">
        <f t="shared" ref="O44:O49" si="30">M44*1.09</f>
        <v>1.2535000000000001</v>
      </c>
      <c r="P44" s="308"/>
      <c r="Q44" s="308"/>
      <c r="R44" s="204">
        <v>0</v>
      </c>
      <c r="S44" s="293">
        <f t="shared" ref="S44:S55" si="31">(R44*230)/1000</f>
        <v>0</v>
      </c>
      <c r="T44" s="293">
        <f t="shared" ref="T44:T55" si="32">K44+P44+R44</f>
        <v>5</v>
      </c>
      <c r="U44" s="293">
        <f t="shared" ref="U44:U55" si="33">J44-T44</f>
        <v>36</v>
      </c>
      <c r="V44" s="293">
        <f t="shared" ref="V44:V55" si="34">U44/J44</f>
        <v>0.87804878048780488</v>
      </c>
      <c r="W44" s="204"/>
      <c r="X44" s="204"/>
      <c r="Y44" s="347"/>
      <c r="Z44" s="204"/>
    </row>
    <row r="45" spans="1:27" ht="13.15">
      <c r="A45" s="204" t="s">
        <v>352</v>
      </c>
      <c r="B45" s="204" t="s">
        <v>353</v>
      </c>
      <c r="C45" s="204" t="s">
        <v>354</v>
      </c>
      <c r="D45" s="204">
        <v>6</v>
      </c>
      <c r="E45" s="204">
        <v>3</v>
      </c>
      <c r="F45" s="204">
        <v>3</v>
      </c>
      <c r="G45" s="204">
        <f>(D45-E45)*F45</f>
        <v>9</v>
      </c>
      <c r="H45" s="204">
        <f>INT((G45*1000)/230)</f>
        <v>39</v>
      </c>
      <c r="I45" s="204">
        <f>42-G45</f>
        <v>33</v>
      </c>
      <c r="J45" s="204">
        <f>H45</f>
        <v>39</v>
      </c>
      <c r="K45" s="1054">
        <v>1</v>
      </c>
      <c r="L45" s="1055" t="s">
        <v>295</v>
      </c>
      <c r="M45" s="293">
        <f t="shared" si="29"/>
        <v>0.23</v>
      </c>
      <c r="N45" s="492">
        <f>(O45*1000)/54.5</f>
        <v>4.6000000000000005</v>
      </c>
      <c r="O45" s="308">
        <f>M45*1.09</f>
        <v>0.25070000000000003</v>
      </c>
      <c r="P45" s="308"/>
      <c r="Q45" s="308"/>
      <c r="R45" s="204">
        <v>0</v>
      </c>
      <c r="S45" s="293">
        <f>(R45*230)/1000</f>
        <v>0</v>
      </c>
      <c r="T45" s="293">
        <f t="shared" si="32"/>
        <v>1</v>
      </c>
      <c r="U45" s="293">
        <f t="shared" si="33"/>
        <v>38</v>
      </c>
      <c r="V45" s="293">
        <f t="shared" si="34"/>
        <v>0.97435897435897434</v>
      </c>
      <c r="W45" s="204"/>
      <c r="X45" s="204"/>
      <c r="Y45"/>
      <c r="Z45" s="204"/>
    </row>
    <row r="46" spans="1:27" ht="13.15">
      <c r="A46" s="204" t="s">
        <v>355</v>
      </c>
      <c r="B46" s="204" t="s">
        <v>356</v>
      </c>
      <c r="C46" s="204" t="s">
        <v>273</v>
      </c>
      <c r="D46" s="204">
        <v>6</v>
      </c>
      <c r="E46" s="204">
        <v>2</v>
      </c>
      <c r="F46" s="204">
        <v>2.4</v>
      </c>
      <c r="G46" s="204">
        <f t="shared" ref="G46:G51" si="35">(D46-E46)*F46</f>
        <v>9.6</v>
      </c>
      <c r="H46" s="204">
        <f t="shared" si="28"/>
        <v>41</v>
      </c>
      <c r="I46" s="204">
        <f>42-G46</f>
        <v>32.4</v>
      </c>
      <c r="J46" s="204">
        <f t="shared" ref="J46:J55" si="36">H46</f>
        <v>41</v>
      </c>
      <c r="K46" s="204">
        <v>5</v>
      </c>
      <c r="L46" s="1055">
        <v>45410</v>
      </c>
      <c r="M46" s="293">
        <f t="shared" si="29"/>
        <v>1.1499999999999999</v>
      </c>
      <c r="N46" s="492">
        <f t="shared" ref="N46:N55" si="37">(O46*1000)/54.5</f>
        <v>23</v>
      </c>
      <c r="O46" s="308">
        <f t="shared" si="30"/>
        <v>1.2535000000000001</v>
      </c>
      <c r="P46" s="308"/>
      <c r="Q46" s="308"/>
      <c r="R46" s="204">
        <v>0</v>
      </c>
      <c r="S46" s="293">
        <f t="shared" si="31"/>
        <v>0</v>
      </c>
      <c r="T46" s="293">
        <f t="shared" si="32"/>
        <v>5</v>
      </c>
      <c r="U46" s="293">
        <f t="shared" si="33"/>
        <v>36</v>
      </c>
      <c r="V46" s="293">
        <f t="shared" si="34"/>
        <v>0.87804878048780488</v>
      </c>
      <c r="W46" s="204"/>
      <c r="X46" s="204"/>
      <c r="Y46"/>
      <c r="Z46" s="204"/>
    </row>
    <row r="47" spans="1:27" ht="13.15">
      <c r="A47" s="204" t="s">
        <v>357</v>
      </c>
      <c r="B47" s="204" t="s">
        <v>358</v>
      </c>
      <c r="C47" s="204" t="s">
        <v>273</v>
      </c>
      <c r="D47" s="204">
        <v>6</v>
      </c>
      <c r="E47" s="204">
        <v>2</v>
      </c>
      <c r="F47" s="204">
        <v>2.4</v>
      </c>
      <c r="G47" s="204">
        <f t="shared" si="35"/>
        <v>9.6</v>
      </c>
      <c r="H47" s="204">
        <f t="shared" si="28"/>
        <v>41</v>
      </c>
      <c r="I47" s="204">
        <f>42-G47</f>
        <v>32.4</v>
      </c>
      <c r="J47" s="204">
        <f t="shared" si="36"/>
        <v>41</v>
      </c>
      <c r="K47" s="204">
        <v>8</v>
      </c>
      <c r="L47" s="1055">
        <v>45410</v>
      </c>
      <c r="M47" s="293">
        <f t="shared" si="29"/>
        <v>1.84</v>
      </c>
      <c r="N47" s="492">
        <f t="shared" si="37"/>
        <v>36.800000000000004</v>
      </c>
      <c r="O47" s="308">
        <f t="shared" si="30"/>
        <v>2.0056000000000003</v>
      </c>
      <c r="P47" s="308"/>
      <c r="Q47" s="308"/>
      <c r="R47" s="204">
        <v>0</v>
      </c>
      <c r="S47" s="293">
        <f t="shared" si="31"/>
        <v>0</v>
      </c>
      <c r="T47" s="293">
        <f t="shared" si="32"/>
        <v>8</v>
      </c>
      <c r="U47" s="293">
        <f t="shared" si="33"/>
        <v>33</v>
      </c>
      <c r="V47" s="293">
        <f t="shared" si="34"/>
        <v>0.80487804878048785</v>
      </c>
      <c r="W47" s="204"/>
      <c r="X47" s="204"/>
      <c r="Y47"/>
      <c r="Z47" s="204"/>
    </row>
    <row r="48" spans="1:27" ht="13.15">
      <c r="A48" s="204" t="s">
        <v>359</v>
      </c>
      <c r="B48" s="204" t="s">
        <v>360</v>
      </c>
      <c r="C48" s="204" t="s">
        <v>324</v>
      </c>
      <c r="D48" s="204">
        <v>3</v>
      </c>
      <c r="E48" s="204">
        <v>1</v>
      </c>
      <c r="F48" s="204">
        <v>0.52500000000000002</v>
      </c>
      <c r="G48" s="204">
        <f t="shared" si="35"/>
        <v>1.05</v>
      </c>
      <c r="H48" s="204">
        <f t="shared" si="28"/>
        <v>4</v>
      </c>
      <c r="I48" s="204">
        <v>0</v>
      </c>
      <c r="J48" s="204">
        <f t="shared" si="36"/>
        <v>4</v>
      </c>
      <c r="K48" s="204">
        <v>2</v>
      </c>
      <c r="L48" s="1055">
        <v>45410</v>
      </c>
      <c r="M48" s="293">
        <f t="shared" si="29"/>
        <v>0.46</v>
      </c>
      <c r="N48" s="492">
        <f t="shared" si="37"/>
        <v>9.2000000000000011</v>
      </c>
      <c r="O48" s="308">
        <f t="shared" si="30"/>
        <v>0.50140000000000007</v>
      </c>
      <c r="P48" s="308"/>
      <c r="Q48" s="308"/>
      <c r="R48" s="204">
        <v>0</v>
      </c>
      <c r="S48" s="293">
        <f t="shared" si="31"/>
        <v>0</v>
      </c>
      <c r="T48" s="293">
        <f t="shared" si="32"/>
        <v>2</v>
      </c>
      <c r="U48" s="293">
        <f t="shared" si="33"/>
        <v>2</v>
      </c>
      <c r="V48" s="293">
        <f t="shared" si="34"/>
        <v>0.5</v>
      </c>
      <c r="W48" s="204"/>
      <c r="X48" s="204"/>
      <c r="Y48"/>
      <c r="Z48" s="204"/>
    </row>
    <row r="49" spans="1:26" ht="13.15">
      <c r="A49" s="204" t="s">
        <v>361</v>
      </c>
      <c r="B49" s="204" t="s">
        <v>362</v>
      </c>
      <c r="C49" s="204" t="s">
        <v>273</v>
      </c>
      <c r="D49" s="204">
        <v>6</v>
      </c>
      <c r="E49" s="204">
        <v>2</v>
      </c>
      <c r="F49" s="204">
        <v>2.4</v>
      </c>
      <c r="G49" s="204">
        <f t="shared" si="35"/>
        <v>9.6</v>
      </c>
      <c r="H49" s="204">
        <f t="shared" si="28"/>
        <v>41</v>
      </c>
      <c r="I49" s="204">
        <f>42-G49</f>
        <v>32.4</v>
      </c>
      <c r="J49" s="204">
        <f t="shared" si="36"/>
        <v>41</v>
      </c>
      <c r="K49" s="204">
        <v>7</v>
      </c>
      <c r="L49" s="1055">
        <v>45410</v>
      </c>
      <c r="M49" s="293">
        <f t="shared" si="29"/>
        <v>1.61</v>
      </c>
      <c r="N49" s="492">
        <f t="shared" si="37"/>
        <v>32.200000000000003</v>
      </c>
      <c r="O49" s="308">
        <f t="shared" si="30"/>
        <v>1.7549000000000001</v>
      </c>
      <c r="P49" s="308"/>
      <c r="Q49" s="308"/>
      <c r="R49" s="204">
        <v>0</v>
      </c>
      <c r="S49" s="293">
        <f t="shared" si="31"/>
        <v>0</v>
      </c>
      <c r="T49" s="293">
        <f t="shared" si="32"/>
        <v>7</v>
      </c>
      <c r="U49" s="293">
        <f t="shared" si="33"/>
        <v>34</v>
      </c>
      <c r="V49" s="293">
        <f t="shared" si="34"/>
        <v>0.82926829268292679</v>
      </c>
      <c r="W49" s="204"/>
      <c r="X49" s="204"/>
      <c r="Y49" s="347"/>
      <c r="Z49" s="204"/>
    </row>
    <row r="50" spans="1:26" ht="13.15">
      <c r="A50" s="204" t="s">
        <v>363</v>
      </c>
      <c r="B50" s="204" t="s">
        <v>364</v>
      </c>
      <c r="C50" s="204" t="s">
        <v>273</v>
      </c>
      <c r="D50" s="204">
        <v>6</v>
      </c>
      <c r="E50" s="204">
        <v>2</v>
      </c>
      <c r="F50" s="204">
        <v>2.4</v>
      </c>
      <c r="G50" s="204">
        <f t="shared" si="35"/>
        <v>9.6</v>
      </c>
      <c r="H50" s="204">
        <f t="shared" si="28"/>
        <v>41</v>
      </c>
      <c r="I50" s="204">
        <f>42-G50</f>
        <v>32.4</v>
      </c>
      <c r="J50" s="204">
        <f t="shared" si="36"/>
        <v>41</v>
      </c>
      <c r="K50" s="204">
        <v>6</v>
      </c>
      <c r="L50" s="1055">
        <v>45410</v>
      </c>
      <c r="M50" s="293">
        <f t="shared" si="29"/>
        <v>1.38</v>
      </c>
      <c r="N50" s="492">
        <f t="shared" si="37"/>
        <v>27.6</v>
      </c>
      <c r="O50" s="308">
        <f>M50*1.09</f>
        <v>1.5042</v>
      </c>
      <c r="P50" s="308"/>
      <c r="Q50" s="308"/>
      <c r="R50" s="204">
        <v>0</v>
      </c>
      <c r="S50" s="293">
        <f t="shared" si="31"/>
        <v>0</v>
      </c>
      <c r="T50" s="293">
        <f t="shared" si="32"/>
        <v>6</v>
      </c>
      <c r="U50" s="293">
        <f t="shared" si="33"/>
        <v>35</v>
      </c>
      <c r="V50" s="293">
        <f t="shared" si="34"/>
        <v>0.85365853658536583</v>
      </c>
      <c r="W50" s="204"/>
      <c r="X50" s="204"/>
      <c r="Y50"/>
      <c r="Z50" s="204"/>
    </row>
    <row r="51" spans="1:26" ht="13.15">
      <c r="A51" s="204" t="s">
        <v>365</v>
      </c>
      <c r="B51" s="204" t="s">
        <v>366</v>
      </c>
      <c r="C51" s="204" t="s">
        <v>273</v>
      </c>
      <c r="D51" s="204">
        <v>8</v>
      </c>
      <c r="E51" s="204">
        <v>2</v>
      </c>
      <c r="F51" s="204">
        <v>2.4</v>
      </c>
      <c r="G51" s="204">
        <f t="shared" si="35"/>
        <v>14.399999999999999</v>
      </c>
      <c r="H51" s="204">
        <f t="shared" si="28"/>
        <v>62</v>
      </c>
      <c r="I51" s="204">
        <f>42-G51</f>
        <v>27.6</v>
      </c>
      <c r="J51" s="204">
        <f t="shared" si="36"/>
        <v>62</v>
      </c>
      <c r="K51" s="1054">
        <v>41</v>
      </c>
      <c r="L51" s="1055" t="s">
        <v>295</v>
      </c>
      <c r="M51" s="293">
        <f t="shared" si="29"/>
        <v>9.43</v>
      </c>
      <c r="N51" s="492">
        <f t="shared" si="37"/>
        <v>188.60000000000002</v>
      </c>
      <c r="O51" s="308">
        <f>M51*1.09</f>
        <v>10.278700000000001</v>
      </c>
      <c r="P51" s="308"/>
      <c r="Q51" s="308"/>
      <c r="R51" s="204">
        <v>0</v>
      </c>
      <c r="S51" s="293">
        <f t="shared" si="31"/>
        <v>0</v>
      </c>
      <c r="T51" s="293">
        <f t="shared" si="32"/>
        <v>41</v>
      </c>
      <c r="U51" s="293">
        <f t="shared" si="33"/>
        <v>21</v>
      </c>
      <c r="V51" s="293">
        <f t="shared" si="34"/>
        <v>0.33870967741935482</v>
      </c>
      <c r="W51" s="204"/>
      <c r="X51" s="204"/>
      <c r="Y51" s="347"/>
      <c r="Z51" s="204"/>
    </row>
    <row r="52" spans="1:26" ht="13.15">
      <c r="A52" s="204" t="s">
        <v>365</v>
      </c>
      <c r="B52" s="204" t="s">
        <v>367</v>
      </c>
      <c r="C52" s="204" t="s">
        <v>368</v>
      </c>
      <c r="D52" s="423">
        <v>2</v>
      </c>
      <c r="E52" s="423">
        <v>1</v>
      </c>
      <c r="F52" s="423">
        <v>75</v>
      </c>
      <c r="G52" s="204">
        <v>75</v>
      </c>
      <c r="H52" s="204">
        <f t="shared" si="28"/>
        <v>326</v>
      </c>
      <c r="I52" s="204">
        <v>0</v>
      </c>
      <c r="J52" s="204">
        <f t="shared" si="36"/>
        <v>326</v>
      </c>
      <c r="K52" s="1086">
        <v>172</v>
      </c>
      <c r="L52" s="1055">
        <v>45179</v>
      </c>
      <c r="M52" s="293">
        <v>39</v>
      </c>
      <c r="N52" s="492"/>
      <c r="O52" s="308"/>
      <c r="P52" s="308"/>
      <c r="Q52" s="308"/>
      <c r="R52" s="204">
        <v>8</v>
      </c>
      <c r="S52" s="293">
        <f t="shared" si="31"/>
        <v>1.84</v>
      </c>
      <c r="T52" s="293">
        <f t="shared" si="32"/>
        <v>180</v>
      </c>
      <c r="U52" s="293">
        <f t="shared" si="33"/>
        <v>146</v>
      </c>
      <c r="V52" s="293">
        <f t="shared" si="34"/>
        <v>0.44785276073619634</v>
      </c>
      <c r="W52" s="487" t="s">
        <v>369</v>
      </c>
      <c r="X52" s="204"/>
      <c r="Y52"/>
      <c r="Z52" s="204"/>
    </row>
    <row r="53" spans="1:26" ht="13.15">
      <c r="A53" s="204" t="s">
        <v>370</v>
      </c>
      <c r="B53" s="204" t="s">
        <v>371</v>
      </c>
      <c r="C53" s="204" t="s">
        <v>273</v>
      </c>
      <c r="D53" s="204">
        <v>6</v>
      </c>
      <c r="E53" s="204">
        <v>2</v>
      </c>
      <c r="F53" s="204">
        <v>2.4</v>
      </c>
      <c r="G53" s="204">
        <f>(D53-E53)*F53</f>
        <v>9.6</v>
      </c>
      <c r="H53" s="204">
        <f t="shared" si="28"/>
        <v>41</v>
      </c>
      <c r="I53" s="204">
        <f>42-G53</f>
        <v>32.4</v>
      </c>
      <c r="J53" s="204">
        <f t="shared" si="36"/>
        <v>41</v>
      </c>
      <c r="K53" s="204">
        <v>4</v>
      </c>
      <c r="L53" s="1055">
        <v>45410</v>
      </c>
      <c r="M53" s="293">
        <f>((K53*230)/1000)</f>
        <v>0.92</v>
      </c>
      <c r="N53" s="492">
        <f t="shared" si="37"/>
        <v>18.400000000000002</v>
      </c>
      <c r="O53" s="308">
        <f>M53*1.09</f>
        <v>1.0028000000000001</v>
      </c>
      <c r="P53" s="308"/>
      <c r="Q53" s="308"/>
      <c r="R53" s="204">
        <v>0</v>
      </c>
      <c r="S53" s="293">
        <f t="shared" si="31"/>
        <v>0</v>
      </c>
      <c r="T53" s="293">
        <f t="shared" si="32"/>
        <v>4</v>
      </c>
      <c r="U53" s="293">
        <f t="shared" si="33"/>
        <v>37</v>
      </c>
      <c r="V53" s="293">
        <f t="shared" si="34"/>
        <v>0.90243902439024393</v>
      </c>
      <c r="W53" s="204"/>
      <c r="X53" s="204"/>
      <c r="Y53" s="347"/>
      <c r="Z53" s="204"/>
    </row>
    <row r="54" spans="1:26" ht="13.15">
      <c r="A54" s="204" t="s">
        <v>372</v>
      </c>
      <c r="B54" s="204" t="s">
        <v>373</v>
      </c>
      <c r="C54" s="204" t="s">
        <v>273</v>
      </c>
      <c r="D54" s="204">
        <v>6</v>
      </c>
      <c r="E54" s="204">
        <v>2</v>
      </c>
      <c r="F54" s="204">
        <v>2.4</v>
      </c>
      <c r="G54" s="204">
        <f>(D54-E54)*F54</f>
        <v>9.6</v>
      </c>
      <c r="H54" s="204">
        <f t="shared" si="28"/>
        <v>41</v>
      </c>
      <c r="I54" s="204">
        <f>42-G54</f>
        <v>32.4</v>
      </c>
      <c r="J54" s="204">
        <f t="shared" si="36"/>
        <v>41</v>
      </c>
      <c r="K54" s="204">
        <v>6</v>
      </c>
      <c r="L54" s="1055">
        <v>45410</v>
      </c>
      <c r="M54" s="293">
        <f>((K54*230)/1000)</f>
        <v>1.38</v>
      </c>
      <c r="N54" s="492">
        <f t="shared" si="37"/>
        <v>27.6</v>
      </c>
      <c r="O54" s="308">
        <f>M54*1.09</f>
        <v>1.5042</v>
      </c>
      <c r="P54" s="308"/>
      <c r="Q54" s="308"/>
      <c r="R54" s="204">
        <v>0</v>
      </c>
      <c r="S54" s="293">
        <f t="shared" si="31"/>
        <v>0</v>
      </c>
      <c r="T54" s="293">
        <f t="shared" si="32"/>
        <v>6</v>
      </c>
      <c r="U54" s="293">
        <f t="shared" si="33"/>
        <v>35</v>
      </c>
      <c r="V54" s="293">
        <f t="shared" si="34"/>
        <v>0.85365853658536583</v>
      </c>
      <c r="W54" s="204"/>
      <c r="X54" s="204"/>
      <c r="Y54"/>
      <c r="Z54" s="204"/>
    </row>
    <row r="55" spans="1:26" ht="13.15">
      <c r="A55" s="204" t="s">
        <v>374</v>
      </c>
      <c r="B55" s="204" t="s">
        <v>375</v>
      </c>
      <c r="C55" s="204" t="s">
        <v>324</v>
      </c>
      <c r="D55" s="204">
        <v>3</v>
      </c>
      <c r="E55" s="204">
        <v>1</v>
      </c>
      <c r="F55" s="204">
        <v>2</v>
      </c>
      <c r="G55" s="204">
        <f>(D55-E55)*F55</f>
        <v>4</v>
      </c>
      <c r="H55" s="204">
        <f t="shared" si="28"/>
        <v>17</v>
      </c>
      <c r="I55" s="204">
        <f>0</f>
        <v>0</v>
      </c>
      <c r="J55" s="204">
        <f t="shared" si="36"/>
        <v>17</v>
      </c>
      <c r="K55" s="204">
        <v>3</v>
      </c>
      <c r="L55" s="1055">
        <v>45410</v>
      </c>
      <c r="M55" s="293">
        <f>((K55*230)/1000)</f>
        <v>0.69</v>
      </c>
      <c r="N55" s="492">
        <f t="shared" si="37"/>
        <v>0</v>
      </c>
      <c r="O55" s="308">
        <f>0</f>
        <v>0</v>
      </c>
      <c r="P55" s="308"/>
      <c r="Q55" s="308"/>
      <c r="R55" s="204">
        <v>0</v>
      </c>
      <c r="S55" s="293">
        <f t="shared" si="31"/>
        <v>0</v>
      </c>
      <c r="T55" s="293">
        <f t="shared" si="32"/>
        <v>3</v>
      </c>
      <c r="U55" s="293">
        <f t="shared" si="33"/>
        <v>14</v>
      </c>
      <c r="V55" s="293">
        <f t="shared" si="34"/>
        <v>0.82352941176470584</v>
      </c>
      <c r="W55" s="204"/>
      <c r="X55" s="204"/>
      <c r="Y55"/>
      <c r="Z55" s="204"/>
    </row>
    <row r="56" spans="1:26" ht="13.15">
      <c r="A56" s="204" t="s">
        <v>293</v>
      </c>
      <c r="B56" s="204" t="s">
        <v>376</v>
      </c>
      <c r="C56" s="204" t="s">
        <v>354</v>
      </c>
      <c r="D56" s="204">
        <v>8</v>
      </c>
      <c r="E56" s="204">
        <v>3</v>
      </c>
      <c r="F56" s="204">
        <v>3</v>
      </c>
      <c r="G56" s="204">
        <f>(D56-E56)*3</f>
        <v>15</v>
      </c>
      <c r="H56" s="204">
        <f t="shared" si="28"/>
        <v>65</v>
      </c>
      <c r="I56" s="204">
        <f>42-G56</f>
        <v>27</v>
      </c>
      <c r="J56" s="204">
        <v>10</v>
      </c>
      <c r="K56" s="204">
        <f t="shared" ref="K56" si="38">ROUNDUP(((J56*230)/1000),0)</f>
        <v>3</v>
      </c>
      <c r="L56" s="204">
        <f t="shared" ref="L56" si="39">K56*1.09</f>
        <v>3.2700000000000005</v>
      </c>
      <c r="M56" s="204"/>
      <c r="N56" s="204">
        <v>0</v>
      </c>
      <c r="O56" s="204">
        <f t="shared" ref="O56" si="40">(N56*230)/1000</f>
        <v>0</v>
      </c>
      <c r="P56" s="204"/>
      <c r="Q56" s="204"/>
      <c r="R56" s="204"/>
      <c r="S56" s="204"/>
      <c r="T56" s="204"/>
      <c r="U56" s="204"/>
      <c r="V56" s="204"/>
      <c r="W56" s="204"/>
      <c r="X56" s="204"/>
      <c r="Y56" s="204"/>
      <c r="Z56" s="204"/>
    </row>
    <row r="57" spans="1:26" ht="13.15">
      <c r="A57" s="204"/>
      <c r="B57" s="204"/>
      <c r="C57" s="204"/>
      <c r="D57" s="204"/>
      <c r="E57" s="204"/>
      <c r="F57" s="204"/>
      <c r="G57" s="204"/>
      <c r="H57" s="204"/>
      <c r="I57" s="204"/>
      <c r="J57" s="204"/>
      <c r="K57" s="204"/>
      <c r="L57" s="204"/>
      <c r="M57" s="293"/>
      <c r="N57" s="204"/>
      <c r="O57" s="204"/>
      <c r="P57" s="204"/>
      <c r="Q57" s="204"/>
      <c r="R57" s="204"/>
      <c r="S57" s="204"/>
      <c r="T57" s="204"/>
      <c r="U57" s="204"/>
      <c r="V57" s="204"/>
      <c r="W57" s="204"/>
      <c r="X57" s="204"/>
      <c r="Y57" s="204"/>
      <c r="Z57" s="204"/>
    </row>
    <row r="58" spans="1:26" ht="13.15">
      <c r="A58" s="204"/>
      <c r="B58" s="204"/>
      <c r="C58" s="204"/>
      <c r="D58" s="204"/>
      <c r="E58" s="204"/>
      <c r="F58" s="204"/>
      <c r="G58" s="204"/>
      <c r="H58" s="204"/>
      <c r="I58" s="204"/>
      <c r="J58" s="204"/>
      <c r="K58" s="204"/>
      <c r="L58" s="204"/>
      <c r="M58" s="293"/>
      <c r="N58" s="204"/>
      <c r="O58" s="204"/>
      <c r="P58" s="204"/>
      <c r="Q58" s="204"/>
      <c r="R58" s="204"/>
      <c r="S58" s="204"/>
      <c r="T58" s="204"/>
      <c r="U58" s="204"/>
      <c r="V58" s="204"/>
      <c r="W58" s="204"/>
      <c r="X58" s="204"/>
      <c r="Y58" s="204"/>
      <c r="Z58" s="204"/>
    </row>
    <row r="59" spans="1:26" ht="13.15">
      <c r="A59" s="204"/>
      <c r="B59" s="204"/>
      <c r="C59" s="204"/>
      <c r="D59" s="204"/>
      <c r="E59" s="204"/>
      <c r="F59" s="204"/>
      <c r="G59" s="204"/>
      <c r="H59" s="204"/>
      <c r="I59" s="204"/>
      <c r="J59" s="204"/>
      <c r="K59" s="204"/>
      <c r="L59" s="204"/>
      <c r="M59" s="293"/>
      <c r="N59" s="204"/>
      <c r="O59" s="204"/>
      <c r="P59" s="204"/>
      <c r="Q59" s="204"/>
      <c r="R59" s="204"/>
      <c r="S59" s="204"/>
      <c r="T59" s="204"/>
      <c r="U59" s="204"/>
      <c r="V59" s="204"/>
      <c r="W59" s="204"/>
      <c r="X59" s="204"/>
      <c r="Y59" s="204"/>
      <c r="Z59" s="204"/>
    </row>
    <row r="60" spans="1:26" ht="13.15">
      <c r="A60" s="302" t="s">
        <v>377</v>
      </c>
    </row>
    <row r="61" spans="1:26" ht="52.9">
      <c r="A61" s="463" t="s">
        <v>345</v>
      </c>
      <c r="B61" s="463" t="s">
        <v>378</v>
      </c>
      <c r="C61" s="463" t="s">
        <v>379</v>
      </c>
      <c r="D61" s="463" t="s">
        <v>380</v>
      </c>
      <c r="E61" s="463" t="s">
        <v>255</v>
      </c>
      <c r="F61" s="463"/>
      <c r="G61" s="463" t="s">
        <v>381</v>
      </c>
      <c r="H61" s="463" t="s">
        <v>382</v>
      </c>
    </row>
    <row r="62" spans="1:26" ht="13.15">
      <c r="A62" s="219" t="s">
        <v>383</v>
      </c>
      <c r="B62" s="233">
        <f>M2+M3</f>
        <v>28</v>
      </c>
      <c r="C62" s="233">
        <v>16</v>
      </c>
      <c r="D62" s="233">
        <f>S2</f>
        <v>0.57499999999999996</v>
      </c>
      <c r="E62" s="233">
        <f>((G2+G3)/2)-(B62+C62+D62)</f>
        <v>-3.7750000000000057</v>
      </c>
      <c r="F62" s="233"/>
      <c r="G62" s="233">
        <f>SUM(I2:I3)/2</f>
        <v>16.799999999999997</v>
      </c>
      <c r="H62" s="464">
        <f t="shared" ref="H62:H83" si="41">E62/(SUM(B62:E62))</f>
        <v>-9.2524509803921712E-2</v>
      </c>
      <c r="I62" s="204"/>
      <c r="J62" s="204"/>
      <c r="K62" s="204"/>
      <c r="L62" s="204"/>
    </row>
    <row r="63" spans="1:26" ht="13.15">
      <c r="A63" s="219" t="s">
        <v>384</v>
      </c>
      <c r="B63" s="233">
        <f>M4+M5</f>
        <v>33</v>
      </c>
      <c r="C63" s="233">
        <f>SUM(Q4:Q5)</f>
        <v>0</v>
      </c>
      <c r="D63" s="233">
        <f>S4+S5</f>
        <v>0</v>
      </c>
      <c r="E63" s="233">
        <f>((G4+G5)/2)-(B63+C63+D63)</f>
        <v>24.599999999999994</v>
      </c>
      <c r="F63" s="233"/>
      <c r="G63" s="233">
        <f>SUM(I4:I5)/2</f>
        <v>0</v>
      </c>
      <c r="H63" s="464">
        <f t="shared" si="41"/>
        <v>0.42708333333333326</v>
      </c>
    </row>
    <row r="64" spans="1:26" ht="13.15">
      <c r="A64" s="219" t="s">
        <v>385</v>
      </c>
      <c r="B64" s="233">
        <f>M6+M7</f>
        <v>30</v>
      </c>
      <c r="C64" s="233">
        <f>SUM(Q6:Q7)</f>
        <v>0</v>
      </c>
      <c r="D64" s="233">
        <f>S6+S7</f>
        <v>0</v>
      </c>
      <c r="E64" s="233">
        <f>((G6+G7)/2)-(B64+C64+D64)</f>
        <v>27.599999999999994</v>
      </c>
      <c r="F64" s="233"/>
      <c r="G64" s="233">
        <f>SUM(I6:I7)/2</f>
        <v>0</v>
      </c>
      <c r="H64" s="464">
        <f t="shared" si="41"/>
        <v>0.47916666666666663</v>
      </c>
    </row>
    <row r="65" spans="1:13" ht="13.15">
      <c r="A65" s="219" t="s">
        <v>386</v>
      </c>
      <c r="B65" s="233">
        <f>SUM(M10:M11)</f>
        <v>16</v>
      </c>
      <c r="C65" s="233">
        <f>SUM(Q10,Q11)</f>
        <v>0</v>
      </c>
      <c r="D65" s="233">
        <f>SUM(S10:S11)</f>
        <v>0</v>
      </c>
      <c r="E65" s="233">
        <f>((G10+G11)/2)-(B65+C65+D65)</f>
        <v>8</v>
      </c>
      <c r="F65" s="233"/>
      <c r="G65" s="233">
        <f>I10</f>
        <v>4.7999999999999972</v>
      </c>
      <c r="H65" s="464">
        <f t="shared" si="41"/>
        <v>0.33333333333333331</v>
      </c>
    </row>
    <row r="66" spans="1:13" ht="13.15">
      <c r="A66" s="219" t="e">
        <f>#REF!</f>
        <v>#REF!</v>
      </c>
      <c r="B66" s="233" t="e">
        <f>#REF!</f>
        <v>#REF!</v>
      </c>
      <c r="C66" s="233"/>
      <c r="D66" s="233" t="e">
        <f>#REF!</f>
        <v>#REF!</v>
      </c>
      <c r="E66" s="233" t="e">
        <f>#REF!-(B66+C66+D66)</f>
        <v>#REF!</v>
      </c>
      <c r="F66" s="233"/>
      <c r="G66" s="233" t="e">
        <f>#REF!</f>
        <v>#REF!</v>
      </c>
      <c r="H66" s="464" t="e">
        <f t="shared" si="41"/>
        <v>#REF!</v>
      </c>
    </row>
    <row r="67" spans="1:13" ht="13.15">
      <c r="A67" s="219" t="e">
        <f>#REF!</f>
        <v>#REF!</v>
      </c>
      <c r="B67" s="233" t="e">
        <f>#REF!</f>
        <v>#REF!</v>
      </c>
      <c r="C67" s="233"/>
      <c r="D67" s="233" t="e">
        <f>#REF!</f>
        <v>#REF!</v>
      </c>
      <c r="E67" s="233" t="e">
        <f>#REF!-(B67+C67+D67)</f>
        <v>#REF!</v>
      </c>
      <c r="F67" s="233"/>
      <c r="G67" s="233" t="e">
        <f>#REF!</f>
        <v>#REF!</v>
      </c>
      <c r="H67" s="464" t="e">
        <f t="shared" si="41"/>
        <v>#REF!</v>
      </c>
    </row>
    <row r="68" spans="1:13" ht="13.15">
      <c r="A68" s="465" t="s">
        <v>387</v>
      </c>
      <c r="B68" s="320" t="e">
        <f>#REF!</f>
        <v>#REF!</v>
      </c>
      <c r="C68" s="320"/>
      <c r="D68" s="320" t="e">
        <f>#REF!</f>
        <v>#REF!</v>
      </c>
      <c r="E68" s="320" t="e">
        <f>#REF!-(B68+C68+D68)</f>
        <v>#REF!</v>
      </c>
      <c r="F68" s="320"/>
      <c r="G68" s="320" t="e">
        <f>#REF!</f>
        <v>#REF!</v>
      </c>
      <c r="H68" s="464" t="e">
        <f t="shared" si="41"/>
        <v>#REF!</v>
      </c>
    </row>
    <row r="69" spans="1:13" ht="13.15">
      <c r="A69" s="465" t="s">
        <v>388</v>
      </c>
      <c r="B69" s="320" t="e">
        <f>#REF!</f>
        <v>#REF!</v>
      </c>
      <c r="C69" s="320"/>
      <c r="D69" s="320" t="e">
        <f>#REF!</f>
        <v>#REF!</v>
      </c>
      <c r="E69" s="320" t="e">
        <f>#REF!-(B69+C69+D69)</f>
        <v>#REF!</v>
      </c>
      <c r="F69" s="320"/>
      <c r="G69" s="320" t="e">
        <f>#REF!</f>
        <v>#REF!</v>
      </c>
      <c r="H69" s="464" t="e">
        <f t="shared" si="41"/>
        <v>#REF!</v>
      </c>
    </row>
    <row r="70" spans="1:13" ht="13.15">
      <c r="A70" s="219" t="s">
        <v>389</v>
      </c>
      <c r="B70" s="233">
        <f>M16+M17</f>
        <v>22</v>
      </c>
      <c r="C70" s="233">
        <f>SUM(Q16:Q17)</f>
        <v>0</v>
      </c>
      <c r="D70" s="233">
        <f>S16+S17</f>
        <v>2.76</v>
      </c>
      <c r="E70" s="233">
        <f>((G16+G17)/2)-(B70+C70+D70)</f>
        <v>20.840000000000003</v>
      </c>
      <c r="F70" s="233"/>
      <c r="G70" s="233">
        <f>SUM(I16:I17)/2</f>
        <v>21.6</v>
      </c>
      <c r="H70" s="464">
        <f t="shared" si="41"/>
        <v>0.45701754385964916</v>
      </c>
    </row>
    <row r="71" spans="1:13" ht="13.15">
      <c r="A71" s="219" t="s">
        <v>390</v>
      </c>
      <c r="B71" s="233">
        <f>M18+M19</f>
        <v>22</v>
      </c>
      <c r="C71" s="233">
        <f>SUM(Q18:Q19)</f>
        <v>0</v>
      </c>
      <c r="D71" s="233">
        <f>S18+S19</f>
        <v>1.1499999999999999</v>
      </c>
      <c r="E71" s="233">
        <f>((G18+G19)/2)-(B71+C71+D71)</f>
        <v>22.450000000000003</v>
      </c>
      <c r="F71" s="233"/>
      <c r="G71" s="233">
        <f>SUM(I18:I19)/2</f>
        <v>21.6</v>
      </c>
      <c r="H71" s="464">
        <f t="shared" si="41"/>
        <v>0.49232456140350883</v>
      </c>
    </row>
    <row r="72" spans="1:13" ht="13.15">
      <c r="A72" s="219" t="s">
        <v>391</v>
      </c>
      <c r="B72" s="233">
        <f>SUM(M20:M21)</f>
        <v>3.4499999999999997</v>
      </c>
      <c r="C72" s="233">
        <f>SUM(Q20:Q21)</f>
        <v>0</v>
      </c>
      <c r="D72" s="233">
        <f>SUM(S20:S21)</f>
        <v>4.968</v>
      </c>
      <c r="E72" s="233">
        <f>(G20+G21)/2-(B72+C72+D72)</f>
        <v>20.381999999999998</v>
      </c>
      <c r="F72" s="233"/>
      <c r="G72" s="233">
        <f>SUM(I20:I21)/2</f>
        <v>0</v>
      </c>
      <c r="H72" s="464">
        <f t="shared" si="41"/>
        <v>0.70770833333333338</v>
      </c>
    </row>
    <row r="73" spans="1:13" ht="13.15">
      <c r="A73" s="219" t="s">
        <v>392</v>
      </c>
      <c r="B73" s="233">
        <f>SUM(M24:M25)</f>
        <v>37</v>
      </c>
      <c r="C73" s="233">
        <f>SUM(Q24:Q25)</f>
        <v>0</v>
      </c>
      <c r="D73" s="233">
        <f>SUM(S24:S25)</f>
        <v>0</v>
      </c>
      <c r="E73" s="233">
        <f>(G24+G25)/2-(B73+C73+D73)</f>
        <v>15.799999999999997</v>
      </c>
      <c r="F73" s="233"/>
      <c r="G73" s="233">
        <f>SUM(I21:I24)/2</f>
        <v>2.3999999999999986</v>
      </c>
      <c r="H73" s="464">
        <f t="shared" si="41"/>
        <v>0.2992424242424242</v>
      </c>
    </row>
    <row r="74" spans="1:13" s="422" customFormat="1" ht="13.15">
      <c r="A74" s="465" t="s">
        <v>393</v>
      </c>
      <c r="B74" s="320" t="e">
        <f>#REF!</f>
        <v>#REF!</v>
      </c>
      <c r="C74" s="320"/>
      <c r="D74" s="320" t="e">
        <f>#REF!</f>
        <v>#REF!</v>
      </c>
      <c r="E74" s="320" t="e">
        <f>#REF!-(B74+C74+D74)</f>
        <v>#REF!</v>
      </c>
      <c r="F74" s="320"/>
      <c r="G74" s="320" t="e">
        <f>#REF!</f>
        <v>#REF!</v>
      </c>
      <c r="H74" s="464" t="e">
        <f t="shared" si="41"/>
        <v>#REF!</v>
      </c>
      <c r="M74" s="1076"/>
    </row>
    <row r="75" spans="1:13" s="422" customFormat="1" ht="13.15">
      <c r="A75" s="465" t="s">
        <v>394</v>
      </c>
      <c r="B75" s="320" t="e">
        <f>#REF!</f>
        <v>#REF!</v>
      </c>
      <c r="C75" s="320"/>
      <c r="D75" s="320" t="e">
        <f>#REF!</f>
        <v>#REF!</v>
      </c>
      <c r="E75" s="320" t="e">
        <f>#REF!-(B75+C75+D75)</f>
        <v>#REF!</v>
      </c>
      <c r="F75" s="320"/>
      <c r="G75" s="320" t="e">
        <f>#REF!</f>
        <v>#REF!</v>
      </c>
      <c r="H75" s="464" t="e">
        <f t="shared" si="41"/>
        <v>#REF!</v>
      </c>
      <c r="M75" s="1076"/>
    </row>
    <row r="76" spans="1:13" ht="13.15">
      <c r="A76" s="219" t="s">
        <v>395</v>
      </c>
      <c r="B76" s="233">
        <f>M26+M27</f>
        <v>43</v>
      </c>
      <c r="C76" s="233">
        <f>SUM(Q26:Q27)</f>
        <v>0</v>
      </c>
      <c r="D76" s="233">
        <f>S26+S27</f>
        <v>4.5999999999999996</v>
      </c>
      <c r="E76" s="233">
        <f>((G26+G27)/2)-(B76+C76+D76)</f>
        <v>9.9999999999999929</v>
      </c>
      <c r="F76" s="233"/>
      <c r="G76" s="233">
        <f>SUM(I26:I27)/2</f>
        <v>0</v>
      </c>
      <c r="H76" s="464">
        <f t="shared" si="41"/>
        <v>0.17361111111111099</v>
      </c>
    </row>
    <row r="77" spans="1:13" s="422" customFormat="1" ht="13.15">
      <c r="A77" s="465" t="s">
        <v>396</v>
      </c>
      <c r="B77" s="320">
        <f>M28+M29</f>
        <v>15</v>
      </c>
      <c r="C77" s="320"/>
      <c r="D77" s="320">
        <f>S28+S29</f>
        <v>0</v>
      </c>
      <c r="E77" s="320">
        <f>((G28+G29)/2)-(B77+C77+D77)</f>
        <v>15</v>
      </c>
      <c r="F77" s="320"/>
      <c r="G77" s="320">
        <f>SUM(I28:I29)/2</f>
        <v>18</v>
      </c>
      <c r="H77" s="464">
        <f t="shared" si="41"/>
        <v>0.5</v>
      </c>
      <c r="M77" s="1076"/>
    </row>
    <row r="78" spans="1:13" ht="13.15">
      <c r="A78" s="219" t="s">
        <v>397</v>
      </c>
      <c r="B78" s="233">
        <f>M30+M31</f>
        <v>30</v>
      </c>
      <c r="C78" s="233">
        <f>SUM(Q30:Q31)</f>
        <v>0</v>
      </c>
      <c r="D78" s="233">
        <f>S30+S31</f>
        <v>0</v>
      </c>
      <c r="E78" s="233">
        <f>((G30+G31)/2)-(B78+C78+D78)</f>
        <v>10.799999999999997</v>
      </c>
      <c r="F78" s="233"/>
      <c r="G78" s="233">
        <f>SUM(I30:I31)/2</f>
        <v>26.400000000000006</v>
      </c>
      <c r="H78" s="464">
        <f t="shared" si="41"/>
        <v>0.26470588235294112</v>
      </c>
    </row>
    <row r="79" spans="1:13" ht="13.15">
      <c r="A79" s="219" t="s">
        <v>398</v>
      </c>
      <c r="B79" s="233">
        <f>M32+M33</f>
        <v>24</v>
      </c>
      <c r="C79" s="233">
        <f>SUM(Q32:Q33)</f>
        <v>0</v>
      </c>
      <c r="D79" s="233">
        <f>S32+S33</f>
        <v>0</v>
      </c>
      <c r="E79" s="233">
        <f>((G32+G33)/2)-(B79+C79+D79)</f>
        <v>31.199999999999996</v>
      </c>
      <c r="F79" s="233"/>
      <c r="G79" s="233">
        <f>SUM(I32:I33)/2</f>
        <v>12.000000000000007</v>
      </c>
      <c r="H79" s="464">
        <f t="shared" si="41"/>
        <v>0.56521739130434778</v>
      </c>
    </row>
    <row r="80" spans="1:13" ht="13.15">
      <c r="A80" s="219" t="s">
        <v>399</v>
      </c>
      <c r="B80" s="233">
        <f>M34+M35</f>
        <v>51</v>
      </c>
      <c r="C80" s="233">
        <f>SUM(Q34:Q35)</f>
        <v>0</v>
      </c>
      <c r="D80" s="233">
        <f>S34+S35</f>
        <v>2.2080000000000002</v>
      </c>
      <c r="E80" s="233">
        <f>((G34+G35)/2)-(B80+C80+D80)</f>
        <v>4.3919999999999959</v>
      </c>
      <c r="F80" s="233"/>
      <c r="G80" s="233">
        <f>SUM(I34:I35)/2</f>
        <v>0</v>
      </c>
      <c r="H80" s="464">
        <f t="shared" si="41"/>
        <v>7.6249999999999943E-2</v>
      </c>
    </row>
    <row r="81" spans="1:8" ht="13.15">
      <c r="A81" s="219" t="s">
        <v>400</v>
      </c>
      <c r="B81" s="233">
        <f>SUM(M36:M37)</f>
        <v>8</v>
      </c>
      <c r="C81" s="233">
        <f>SUM(Q36:Q37)</f>
        <v>0</v>
      </c>
      <c r="D81" s="233">
        <f>SUM(S36:S37)</f>
        <v>0</v>
      </c>
      <c r="E81" s="233">
        <f>((G36+G37)/2)-(B81+C81+D81)</f>
        <v>16</v>
      </c>
      <c r="F81" s="233"/>
      <c r="G81" s="233">
        <f>I36</f>
        <v>4.7999999999999972</v>
      </c>
      <c r="H81" s="464">
        <f t="shared" si="41"/>
        <v>0.66666666666666663</v>
      </c>
    </row>
    <row r="82" spans="1:8" ht="13.15">
      <c r="A82" s="219" t="e">
        <f>#REF!</f>
        <v>#REF!</v>
      </c>
      <c r="B82" s="233" t="e">
        <f>#REF!</f>
        <v>#REF!</v>
      </c>
      <c r="C82" s="233"/>
      <c r="D82" s="233" t="e">
        <f>#REF!</f>
        <v>#REF!</v>
      </c>
      <c r="E82" s="233" t="e">
        <f>#REF!-(B82+C82+D82)</f>
        <v>#REF!</v>
      </c>
      <c r="F82" s="233"/>
      <c r="G82" s="233" t="e">
        <f>#REF!</f>
        <v>#REF!</v>
      </c>
      <c r="H82" s="464" t="e">
        <f t="shared" si="41"/>
        <v>#REF!</v>
      </c>
    </row>
    <row r="83" spans="1:8" ht="13.15">
      <c r="A83" s="219" t="s">
        <v>401</v>
      </c>
      <c r="B83" s="233">
        <f>SUM(M40:M41)</f>
        <v>7</v>
      </c>
      <c r="C83" s="233">
        <f>SUM(Q40:Q41)</f>
        <v>0</v>
      </c>
      <c r="D83" s="233">
        <f>SUM(S40:S41)</f>
        <v>0</v>
      </c>
      <c r="E83" s="233">
        <f>(G40+G41)/2-(B83+C83+D83)</f>
        <v>17</v>
      </c>
      <c r="F83" s="233"/>
      <c r="G83" s="233">
        <f>SUM(I40:I41)/2</f>
        <v>4.7999999999999972</v>
      </c>
      <c r="H83" s="464">
        <f t="shared" si="41"/>
        <v>0.70833333333333337</v>
      </c>
    </row>
    <row r="84" spans="1:8" ht="13.15">
      <c r="B84" s="204"/>
      <c r="C84" s="204"/>
      <c r="D84" s="204"/>
      <c r="E84" s="204"/>
      <c r="F84" s="204"/>
    </row>
    <row r="85" spans="1:8" ht="13.15">
      <c r="A85" s="302" t="s">
        <v>402</v>
      </c>
    </row>
    <row r="86" spans="1:8" ht="13.15">
      <c r="A86" s="205" t="s">
        <v>345</v>
      </c>
      <c r="B86" s="205" t="s">
        <v>378</v>
      </c>
      <c r="C86" s="205" t="s">
        <v>380</v>
      </c>
      <c r="D86" s="205" t="s">
        <v>255</v>
      </c>
      <c r="E86" s="205" t="s">
        <v>381</v>
      </c>
    </row>
    <row r="87" spans="1:8" ht="13.15">
      <c r="A87" s="205" t="s">
        <v>403</v>
      </c>
      <c r="B87" s="204">
        <f>SUM(B63:B64)</f>
        <v>63</v>
      </c>
      <c r="C87" s="204">
        <f>SUM(D63:D64)</f>
        <v>0</v>
      </c>
      <c r="D87" s="204">
        <f>SUM(E63:E64)</f>
        <v>52.199999999999989</v>
      </c>
      <c r="E87" s="204">
        <f>SUM(G63:G64)</f>
        <v>0</v>
      </c>
      <c r="F87" s="204"/>
    </row>
    <row r="88" spans="1:8" ht="13.15">
      <c r="A88" s="205" t="s">
        <v>404</v>
      </c>
      <c r="B88" s="204">
        <f>SUM(B70:B71)</f>
        <v>44</v>
      </c>
      <c r="C88" s="204">
        <f>SUM(D70:D71)</f>
        <v>3.9099999999999997</v>
      </c>
      <c r="D88" s="204">
        <f>SUM(E70:E71)</f>
        <v>43.290000000000006</v>
      </c>
      <c r="E88" s="204">
        <f>SUM(G70:G71)</f>
        <v>43.2</v>
      </c>
      <c r="F88" s="204"/>
    </row>
    <row r="89" spans="1:8" ht="13.15">
      <c r="A89" s="205" t="s">
        <v>405</v>
      </c>
      <c r="B89" s="204">
        <f>SUM(B76:B76)</f>
        <v>43</v>
      </c>
      <c r="C89" s="204">
        <f>SUM(D76:D76)</f>
        <v>4.5999999999999996</v>
      </c>
      <c r="D89" s="204">
        <f>SUM(E76:E76)</f>
        <v>9.9999999999999929</v>
      </c>
      <c r="E89" s="204">
        <f>SUM(G76:G76)</f>
        <v>0</v>
      </c>
      <c r="F89" s="204"/>
    </row>
    <row r="90" spans="1:8" ht="13.15">
      <c r="A90" s="205" t="s">
        <v>406</v>
      </c>
      <c r="B90" s="204">
        <f>SUM(B78:B79)</f>
        <v>54</v>
      </c>
      <c r="C90" s="204">
        <f>SUM(D78:D79)</f>
        <v>0</v>
      </c>
      <c r="D90" s="204">
        <f>SUM(E78:E79)</f>
        <v>41.999999999999993</v>
      </c>
      <c r="E90" s="204">
        <f>SUM(G78:G79)</f>
        <v>38.400000000000013</v>
      </c>
      <c r="F90" s="204"/>
    </row>
    <row r="93" spans="1:8" ht="13.15">
      <c r="A93" s="302" t="s">
        <v>407</v>
      </c>
    </row>
    <row r="94" spans="1:8" ht="13.15">
      <c r="A94" s="205" t="s">
        <v>345</v>
      </c>
      <c r="B94" s="205" t="s">
        <v>378</v>
      </c>
      <c r="C94" s="205" t="s">
        <v>380</v>
      </c>
      <c r="D94" s="205" t="s">
        <v>255</v>
      </c>
      <c r="E94" s="205" t="s">
        <v>381</v>
      </c>
    </row>
    <row r="95" spans="1:8" ht="13.15">
      <c r="A95" s="205" t="str">
        <f>B44</f>
        <v>IC2BL</v>
      </c>
      <c r="B95" s="204">
        <f>M44</f>
        <v>1.1499999999999999</v>
      </c>
      <c r="C95" s="204">
        <f>S44</f>
        <v>0</v>
      </c>
      <c r="D95" s="204">
        <f>G44-(B95+C95)</f>
        <v>8.4499999999999993</v>
      </c>
      <c r="E95" s="204">
        <f>I44</f>
        <v>32.4</v>
      </c>
      <c r="F95" s="204"/>
    </row>
    <row r="96" spans="1:8" ht="13.15">
      <c r="A96" s="205" t="str">
        <f>B46</f>
        <v>IC2CE</v>
      </c>
      <c r="B96" s="204">
        <f>M46</f>
        <v>1.1499999999999999</v>
      </c>
      <c r="C96" s="204">
        <f>S46</f>
        <v>0</v>
      </c>
      <c r="D96" s="204">
        <f>G46-(B96+C96)</f>
        <v>8.4499999999999993</v>
      </c>
      <c r="E96" s="204">
        <f>I46</f>
        <v>32.4</v>
      </c>
      <c r="F96" s="204"/>
    </row>
    <row r="97" spans="1:23" ht="13.15">
      <c r="A97" s="205" t="str">
        <f>B45</f>
        <v>IC2CF</v>
      </c>
      <c r="B97" s="204">
        <f>M45</f>
        <v>0.23</v>
      </c>
      <c r="C97" s="204">
        <f>S45</f>
        <v>0</v>
      </c>
      <c r="D97" s="204">
        <f>G45-(B97+C97)</f>
        <v>8.77</v>
      </c>
      <c r="E97" s="204">
        <f>I45</f>
        <v>33</v>
      </c>
      <c r="F97" s="204"/>
    </row>
    <row r="98" spans="1:23" ht="13.15">
      <c r="A98" s="205" t="str">
        <f>B47</f>
        <v>IC3CN</v>
      </c>
      <c r="B98" s="204">
        <f>M47</f>
        <v>1.84</v>
      </c>
      <c r="C98" s="204">
        <f>S47</f>
        <v>0</v>
      </c>
      <c r="D98" s="204">
        <f>G47-(B98+C98)</f>
        <v>7.76</v>
      </c>
      <c r="E98" s="204">
        <f>I47</f>
        <v>32.4</v>
      </c>
      <c r="F98" s="204"/>
    </row>
    <row r="99" spans="1:23" ht="13.15">
      <c r="A99" s="205" t="str">
        <f>B48</f>
        <v>IC1GW</v>
      </c>
      <c r="B99" s="204">
        <f>M48</f>
        <v>0.46</v>
      </c>
      <c r="C99" s="204">
        <f>S48</f>
        <v>0</v>
      </c>
      <c r="D99" s="204">
        <f>G48-(B99+C99)</f>
        <v>0.59000000000000008</v>
      </c>
      <c r="E99" s="204">
        <f>I48</f>
        <v>0</v>
      </c>
      <c r="F99" s="204"/>
    </row>
    <row r="100" spans="1:23" ht="13.15">
      <c r="A100" s="205" t="e">
        <f>#REF!</f>
        <v>#REF!</v>
      </c>
      <c r="B100" s="204" t="e">
        <f>#REF!</f>
        <v>#REF!</v>
      </c>
      <c r="C100" s="204" t="e">
        <f>#REF!</f>
        <v>#REF!</v>
      </c>
      <c r="D100" s="204" t="e">
        <f>#REF!-(B100+C100)</f>
        <v>#REF!</v>
      </c>
      <c r="E100" s="204" t="e">
        <f>#REF!</f>
        <v>#REF!</v>
      </c>
      <c r="F100" s="204"/>
    </row>
    <row r="101" spans="1:23" ht="13.15">
      <c r="A101" s="205" t="str">
        <f>B49</f>
        <v>IC3LR</v>
      </c>
      <c r="B101" s="204">
        <f>M49</f>
        <v>1.61</v>
      </c>
      <c r="C101" s="204">
        <f>S49</f>
        <v>0</v>
      </c>
      <c r="D101" s="204">
        <f>G49-(B101+C101)</f>
        <v>7.9899999999999993</v>
      </c>
      <c r="E101" s="204">
        <f>I49</f>
        <v>32.4</v>
      </c>
      <c r="F101" s="204"/>
    </row>
    <row r="102" spans="1:23" ht="13.15">
      <c r="A102" s="205" t="s">
        <v>408</v>
      </c>
      <c r="B102" s="204" t="e">
        <f>#REF!</f>
        <v>#REF!</v>
      </c>
      <c r="C102" s="204" t="e">
        <f>#REF!</f>
        <v>#REF!</v>
      </c>
      <c r="D102" s="308" t="e">
        <f>#REF!-(B102+C102)</f>
        <v>#REF!</v>
      </c>
      <c r="E102" s="204" t="e">
        <f>#REF!</f>
        <v>#REF!</v>
      </c>
      <c r="F102" s="204"/>
    </row>
    <row r="103" spans="1:23" ht="13.15">
      <c r="A103" s="205" t="str">
        <f>B50</f>
        <v>IC3NE</v>
      </c>
      <c r="B103" s="204">
        <f>M50</f>
        <v>1.38</v>
      </c>
      <c r="C103" s="204">
        <f>S50</f>
        <v>0</v>
      </c>
      <c r="D103" s="204">
        <f>G50-(B103+C103)</f>
        <v>8.2199999999999989</v>
      </c>
      <c r="E103" s="204">
        <f>I50</f>
        <v>32.4</v>
      </c>
      <c r="F103" s="204"/>
    </row>
    <row r="104" spans="1:23" ht="13.15">
      <c r="A104" s="205" t="str">
        <f>B51</f>
        <v>IC4NY</v>
      </c>
      <c r="B104" s="204">
        <f>M51</f>
        <v>9.43</v>
      </c>
      <c r="C104" s="204">
        <f>S51</f>
        <v>0</v>
      </c>
      <c r="D104" s="204">
        <f>G51-(B104+C104)</f>
        <v>4.9699999999999989</v>
      </c>
      <c r="E104" s="204">
        <f>I51</f>
        <v>27.6</v>
      </c>
      <c r="F104" s="204"/>
    </row>
    <row r="105" spans="1:23" ht="13.15">
      <c r="A105" s="205" t="str">
        <f>B53</f>
        <v>IC2OD</v>
      </c>
      <c r="B105" s="204">
        <f>M53</f>
        <v>0.92</v>
      </c>
      <c r="C105" s="204">
        <f>S53</f>
        <v>0</v>
      </c>
      <c r="D105" s="204">
        <f>G53-(B105+C105)</f>
        <v>8.68</v>
      </c>
      <c r="E105" s="204">
        <f>I53</f>
        <v>32.4</v>
      </c>
      <c r="F105" s="204"/>
    </row>
    <row r="106" spans="1:23" ht="13.15">
      <c r="A106" s="205" t="str">
        <f>B54</f>
        <v>IC3SD</v>
      </c>
      <c r="B106" s="204">
        <f>M54</f>
        <v>1.38</v>
      </c>
      <c r="C106" s="204">
        <f>S54</f>
        <v>0</v>
      </c>
      <c r="D106" s="204">
        <f>G54-(B106+C106)</f>
        <v>8.2199999999999989</v>
      </c>
      <c r="E106" s="204">
        <f>I54</f>
        <v>32.4</v>
      </c>
      <c r="F106" s="204"/>
    </row>
    <row r="107" spans="1:23" ht="13.15">
      <c r="A107" s="205" t="str">
        <f>B55</f>
        <v>IC3WN</v>
      </c>
      <c r="B107" s="204">
        <f>M55</f>
        <v>0.69</v>
      </c>
      <c r="C107" s="204">
        <f>S55</f>
        <v>0</v>
      </c>
      <c r="D107" s="204">
        <f>G55-(B107+C107)</f>
        <v>3.31</v>
      </c>
      <c r="E107" s="204">
        <f>I55</f>
        <v>0</v>
      </c>
      <c r="F107" s="204"/>
    </row>
    <row r="108" spans="1:23" ht="13.15">
      <c r="A108" s="205" t="s">
        <v>409</v>
      </c>
      <c r="B108" s="204" t="e">
        <f>#REF!</f>
        <v>#REF!</v>
      </c>
      <c r="C108" s="204" t="e">
        <f>#REF!</f>
        <v>#REF!</v>
      </c>
      <c r="D108" s="204" t="e">
        <f>#REF!-(B108+C108)</f>
        <v>#REF!</v>
      </c>
      <c r="E108" s="204" t="e">
        <f>#REF!</f>
        <v>#REF!</v>
      </c>
      <c r="F108" s="204"/>
    </row>
    <row r="110" spans="1:23" ht="13.15">
      <c r="B110" s="204">
        <f>M52</f>
        <v>39</v>
      </c>
      <c r="C110" s="204">
        <f>S52</f>
        <v>1.84</v>
      </c>
      <c r="D110" s="204">
        <f>G52-(B110+C110)</f>
        <v>34.159999999999997</v>
      </c>
      <c r="E110" s="204">
        <f>I52</f>
        <v>0</v>
      </c>
      <c r="F110" s="204"/>
    </row>
    <row r="112" spans="1:23" ht="13.15">
      <c r="A112" s="205" t="s">
        <v>410</v>
      </c>
      <c r="B112" s="205" t="s">
        <v>411</v>
      </c>
      <c r="C112" s="205" t="s">
        <v>23</v>
      </c>
      <c r="D112" s="205" t="s">
        <v>412</v>
      </c>
      <c r="W112" s="444" t="s">
        <v>413</v>
      </c>
    </row>
    <row r="113" spans="1:23" ht="13.15">
      <c r="A113" s="205" t="s">
        <v>414</v>
      </c>
      <c r="B113" s="205">
        <v>47</v>
      </c>
      <c r="C113" s="205">
        <v>0</v>
      </c>
      <c r="D113" s="205">
        <f>130-B113-C113</f>
        <v>83</v>
      </c>
      <c r="W113" s="205" t="s">
        <v>415</v>
      </c>
    </row>
    <row r="114" spans="1:23" ht="13.15">
      <c r="A114" s="205" t="s">
        <v>416</v>
      </c>
      <c r="B114" s="205">
        <v>39</v>
      </c>
      <c r="C114" s="205">
        <v>0</v>
      </c>
      <c r="D114" s="205">
        <f>130-B114-C114</f>
        <v>91</v>
      </c>
    </row>
    <row r="115" spans="1:23" ht="13.15">
      <c r="A115" s="205" t="s">
        <v>417</v>
      </c>
      <c r="B115" s="205">
        <v>57</v>
      </c>
      <c r="C115" s="205">
        <v>0</v>
      </c>
      <c r="D115" s="205">
        <f>130-B115-C115</f>
        <v>73</v>
      </c>
      <c r="F115" s="205" t="s">
        <v>150</v>
      </c>
    </row>
    <row r="116" spans="1:23" ht="13.15">
      <c r="A116" s="205" t="s">
        <v>418</v>
      </c>
      <c r="B116" s="205">
        <f>SUM(B113:B115)</f>
        <v>143</v>
      </c>
      <c r="W116" s="204"/>
    </row>
    <row r="117" spans="1:23" ht="13.15">
      <c r="A117" s="205" t="s">
        <v>419</v>
      </c>
      <c r="B117" s="205">
        <f>ROUNDUP(((B116*230)/1000),0)</f>
        <v>33</v>
      </c>
    </row>
    <row r="118" spans="1:23" ht="13.15">
      <c r="A118" s="205" t="s">
        <v>420</v>
      </c>
    </row>
  </sheetData>
  <phoneticPr fontId="0" type="noConversion"/>
  <conditionalFormatting sqref="H62:H83">
    <cfRule type="cellIs" dxfId="99" priority="9" operator="lessThanOrEqual">
      <formula>0.05</formula>
    </cfRule>
    <cfRule type="cellIs" dxfId="98" priority="10" operator="between">
      <formula>0.06</formula>
      <formula>0.2</formula>
    </cfRule>
    <cfRule type="cellIs" dxfId="97" priority="12" operator="greaterThan">
      <formula>0.21</formula>
    </cfRule>
  </conditionalFormatting>
  <conditionalFormatting sqref="V2:V27 V30:V41 V44:V55">
    <cfRule type="cellIs" dxfId="96" priority="1" stopIfTrue="1" operator="lessThanOrEqual">
      <formula>0</formula>
    </cfRule>
    <cfRule type="cellIs" dxfId="95" priority="2" stopIfTrue="1" operator="lessThan">
      <formula>0.06</formula>
    </cfRule>
    <cfRule type="cellIs" dxfId="94" priority="3" stopIfTrue="1" operator="between">
      <formula>0.06</formula>
      <formula>0.195</formula>
    </cfRule>
    <cfRule type="cellIs" dxfId="93" priority="5" stopIfTrue="1" operator="greaterThanOrEqual">
      <formula>0.195</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B423-0EC1-4BC6-A894-30C362D79255}">
  <sheetPr codeName="Sheet10"/>
  <dimension ref="A2:L153"/>
  <sheetViews>
    <sheetView zoomScale="80" zoomScaleNormal="80" workbookViewId="0">
      <selection activeCell="B25" sqref="B25"/>
    </sheetView>
  </sheetViews>
  <sheetFormatPr defaultColWidth="8.6640625" defaultRowHeight="10.15"/>
  <cols>
    <col min="1" max="1" width="26.6640625" bestFit="1" customWidth="1"/>
    <col min="2" max="2" width="25.6640625" bestFit="1" customWidth="1"/>
    <col min="3" max="3" width="41.6640625" bestFit="1" customWidth="1"/>
    <col min="4" max="4" width="44.5" bestFit="1" customWidth="1"/>
    <col min="5" max="5" width="27.5" bestFit="1" customWidth="1"/>
    <col min="6" max="6" width="33.5" bestFit="1" customWidth="1"/>
    <col min="7" max="7" width="36" bestFit="1" customWidth="1"/>
    <col min="8" max="8" width="37.6640625" bestFit="1" customWidth="1"/>
    <col min="9" max="9" width="29.1640625" bestFit="1" customWidth="1"/>
    <col min="10" max="10" width="29.6640625" bestFit="1" customWidth="1"/>
    <col min="11" max="11" width="33.5" bestFit="1" customWidth="1"/>
    <col min="12" max="12" width="32" bestFit="1" customWidth="1"/>
    <col min="13" max="13" width="3.5" bestFit="1" customWidth="1"/>
  </cols>
  <sheetData>
    <row r="2" spans="2:12" ht="24.6">
      <c r="B2" s="1347" t="s">
        <v>421</v>
      </c>
      <c r="C2" s="1347"/>
      <c r="D2" s="1347"/>
      <c r="E2" s="1347"/>
    </row>
    <row r="4" spans="2:12">
      <c r="B4" s="14" t="s">
        <v>422</v>
      </c>
    </row>
    <row r="5" spans="2:12" ht="10.9" thickBot="1"/>
    <row r="6" spans="2:12">
      <c r="B6" s="687" t="s">
        <v>7</v>
      </c>
      <c r="C6" s="688" t="s">
        <v>423</v>
      </c>
      <c r="D6" s="688" t="s">
        <v>424</v>
      </c>
      <c r="E6" s="688" t="s">
        <v>425</v>
      </c>
      <c r="F6" s="689" t="s">
        <v>426</v>
      </c>
      <c r="G6" s="14"/>
      <c r="H6" s="14"/>
    </row>
    <row r="7" spans="2:12">
      <c r="B7" s="690" t="s">
        <v>271</v>
      </c>
      <c r="C7" s="45">
        <f>'Plant loading'!G4</f>
        <v>172.3835</v>
      </c>
      <c r="D7" s="45">
        <f>('Plant loading'!P4)+('Plant loading'!R4)</f>
        <v>15.423500000000001</v>
      </c>
      <c r="E7" s="45">
        <f>'Power figures'!G2</f>
        <v>315</v>
      </c>
      <c r="F7" s="691">
        <f>'Power figures'!I2</f>
        <v>315</v>
      </c>
      <c r="G7" s="692"/>
      <c r="H7" s="10"/>
    </row>
    <row r="8" spans="2:12" ht="10.9" thickBot="1">
      <c r="B8" s="690" t="s">
        <v>277</v>
      </c>
      <c r="C8" s="45">
        <f>'Plant loading'!G9</f>
        <v>370.6</v>
      </c>
      <c r="D8" s="45">
        <f>('Plant loading'!P9)+('Plant loading'!R9)</f>
        <v>96.628500000000003</v>
      </c>
      <c r="E8" s="45">
        <f>'Power figures'!G3</f>
        <v>504</v>
      </c>
      <c r="F8" s="691">
        <f>'Power figures'!I3</f>
        <v>504</v>
      </c>
      <c r="G8" s="692"/>
      <c r="H8" s="10"/>
      <c r="I8" s="1348" t="s">
        <v>427</v>
      </c>
      <c r="J8" s="1348"/>
    </row>
    <row r="9" spans="2:12">
      <c r="B9" s="690" t="s">
        <v>284</v>
      </c>
      <c r="C9" s="45">
        <f>'Plant loading'!G17</f>
        <v>127.203</v>
      </c>
      <c r="D9" s="45">
        <f>('Plant loading'!P17)+('Plant loading'!R17)</f>
        <v>8.0660000000000007</v>
      </c>
      <c r="E9" s="45">
        <f>'Power figures'!G4</f>
        <v>315</v>
      </c>
      <c r="F9" s="691">
        <f>'Power figures'!I4</f>
        <v>315</v>
      </c>
      <c r="G9" s="692"/>
      <c r="H9" s="687" t="s">
        <v>7</v>
      </c>
      <c r="I9" s="688" t="s">
        <v>428</v>
      </c>
      <c r="J9" s="688" t="s">
        <v>429</v>
      </c>
      <c r="K9" s="688" t="s">
        <v>425</v>
      </c>
      <c r="L9" s="689" t="s">
        <v>426</v>
      </c>
    </row>
    <row r="10" spans="2:12">
      <c r="B10" s="690" t="s">
        <v>288</v>
      </c>
      <c r="C10" s="45">
        <f>'Plant loading'!G22</f>
        <v>290.1035</v>
      </c>
      <c r="D10" s="45">
        <f>('Plant loading'!P22)+('Plant loading'!R22)</f>
        <v>71.503999999999991</v>
      </c>
      <c r="E10" s="45">
        <f>'Power figures'!G5</f>
        <v>378</v>
      </c>
      <c r="F10" s="691">
        <f>'Power figures'!I5</f>
        <v>378</v>
      </c>
      <c r="G10" s="692"/>
      <c r="H10" s="690" t="s">
        <v>430</v>
      </c>
      <c r="I10" s="693">
        <f>'Power figures'!C77</f>
        <v>36.569499999999998</v>
      </c>
      <c r="J10" s="693">
        <f>'Power figures'!E77</f>
        <v>0</v>
      </c>
      <c r="K10" s="693">
        <f>'Power figures'!G77</f>
        <v>115.5</v>
      </c>
      <c r="L10" s="694">
        <f>'Power figures'!H77</f>
        <v>120</v>
      </c>
    </row>
    <row r="11" spans="2:12">
      <c r="B11" s="690" t="s">
        <v>293</v>
      </c>
      <c r="C11" s="45">
        <f>'Plant loading'!G28</f>
        <v>82.567499999999995</v>
      </c>
      <c r="D11" s="45">
        <f>('Plant loading'!P28)+('Plant loading'!R28)</f>
        <v>0</v>
      </c>
      <c r="E11" s="45">
        <f>'Power figures'!G6</f>
        <v>252</v>
      </c>
      <c r="F11" s="691">
        <f>'Power figures'!I6</f>
        <v>300</v>
      </c>
      <c r="G11" s="692"/>
      <c r="H11" s="690" t="s">
        <v>431</v>
      </c>
      <c r="I11" s="693">
        <f>'Power figures'!C78</f>
        <v>68.179500000000004</v>
      </c>
      <c r="J11" s="693">
        <f>'Power figures'!E78</f>
        <v>0</v>
      </c>
      <c r="K11" s="693">
        <f>'Power figures'!G78</f>
        <v>178.5</v>
      </c>
      <c r="L11" s="694">
        <f>'Power figures'!H78</f>
        <v>120</v>
      </c>
    </row>
    <row r="12" spans="2:12" ht="10.9" thickBot="1">
      <c r="B12" s="690" t="s">
        <v>305</v>
      </c>
      <c r="C12" s="45">
        <f>'Plant loading'!G32</f>
        <v>260.51</v>
      </c>
      <c r="D12" s="45">
        <f>('Plant loading'!P32)+('Plant loading'!R32)</f>
        <v>126.3964</v>
      </c>
      <c r="E12" s="45">
        <f>'Power figures'!G7</f>
        <v>468</v>
      </c>
      <c r="F12" s="691">
        <f>'Power figures'!I7</f>
        <v>465</v>
      </c>
      <c r="G12" s="692"/>
      <c r="H12" s="695" t="s">
        <v>432</v>
      </c>
      <c r="I12" s="696">
        <f>'Power figures'!C79</f>
        <v>22.236000000000001</v>
      </c>
      <c r="J12" s="696">
        <f>'Power figures'!E79</f>
        <v>0</v>
      </c>
      <c r="K12" s="696">
        <f>'Power figures'!G79</f>
        <v>105</v>
      </c>
      <c r="L12" s="722">
        <f>'Power figures'!H79</f>
        <v>120</v>
      </c>
    </row>
    <row r="13" spans="2:12">
      <c r="B13" s="690" t="s">
        <v>297</v>
      </c>
      <c r="C13" s="45">
        <f>'Plant loading'!G39</f>
        <v>285.798</v>
      </c>
      <c r="D13" s="45">
        <f>('Plant loading'!P39)+('Plant loading'!R39)</f>
        <v>87.695950000000011</v>
      </c>
      <c r="E13" s="45">
        <f>'Power figures'!G8</f>
        <v>483</v>
      </c>
      <c r="F13" s="691">
        <f>'Power figures'!I8</f>
        <v>480</v>
      </c>
      <c r="G13" s="692"/>
      <c r="H13" s="10"/>
    </row>
    <row r="14" spans="2:12">
      <c r="B14" s="690" t="s">
        <v>314</v>
      </c>
      <c r="C14" s="45">
        <f>'Plant loading'!G47</f>
        <v>126.985</v>
      </c>
      <c r="D14" s="45">
        <f>('Plant loading'!P47)+('Plant loading'!R47)</f>
        <v>0</v>
      </c>
      <c r="E14" s="45">
        <f>'Power figures'!G9</f>
        <v>399</v>
      </c>
      <c r="F14" s="691">
        <f>'Power figures'!I9</f>
        <v>483</v>
      </c>
      <c r="G14" s="692"/>
      <c r="H14" s="10"/>
    </row>
    <row r="15" spans="2:12">
      <c r="B15" s="690" t="s">
        <v>317</v>
      </c>
      <c r="C15" s="45">
        <f>'Plant loading'!G56</f>
        <v>335.55650000000003</v>
      </c>
      <c r="D15" s="45">
        <f>('Plant loading'!P56)+('Plant loading'!R56)</f>
        <v>63.002000000000002</v>
      </c>
      <c r="E15" s="45">
        <f>'Power figures'!G10</f>
        <v>501</v>
      </c>
      <c r="F15" s="691">
        <f>'Power figures'!I10</f>
        <v>478</v>
      </c>
      <c r="G15" s="692"/>
      <c r="H15" s="10"/>
    </row>
    <row r="16" spans="2:12">
      <c r="B16" s="690" t="s">
        <v>322</v>
      </c>
      <c r="C16" s="45">
        <f>'Plant loading'!G64</f>
        <v>368.14749999999998</v>
      </c>
      <c r="D16" s="45">
        <f>('Plant loading'!P64)+('Plant loading'!R64)</f>
        <v>74.828499999999991</v>
      </c>
      <c r="E16" s="45">
        <f>'Power figures'!G11</f>
        <v>483</v>
      </c>
      <c r="F16" s="691">
        <f>'Power figures'!I11</f>
        <v>480</v>
      </c>
      <c r="G16" s="692"/>
      <c r="H16" s="10"/>
    </row>
    <row r="17" spans="2:8">
      <c r="B17" s="690" t="s">
        <v>330</v>
      </c>
      <c r="C17" s="45">
        <f>'Plant loading'!G72</f>
        <v>294.57249999999999</v>
      </c>
      <c r="D17" s="45">
        <f>('Plant loading'!P72)+('Plant loading'!R72)</f>
        <v>121.8075</v>
      </c>
      <c r="E17" s="45">
        <f>'Power figures'!G12</f>
        <v>489</v>
      </c>
      <c r="F17" s="691">
        <f>'Power figures'!I12</f>
        <v>473</v>
      </c>
      <c r="G17" s="692"/>
      <c r="H17" s="10"/>
    </row>
    <row r="18" spans="2:8">
      <c r="B18" s="690" t="s">
        <v>335</v>
      </c>
      <c r="C18" s="45">
        <f>'Plant loading'!G80</f>
        <v>99.462500000000006</v>
      </c>
      <c r="D18" s="45">
        <f>('Plant loading'!P80)+('Plant loading'!R80)</f>
        <v>14.715</v>
      </c>
      <c r="E18" s="45">
        <f>'Power figures'!G13</f>
        <v>315</v>
      </c>
      <c r="F18" s="691">
        <f>'Power figures'!I13</f>
        <v>315</v>
      </c>
      <c r="G18" s="692"/>
      <c r="H18" s="10"/>
    </row>
    <row r="19" spans="2:8">
      <c r="B19" s="690" t="s">
        <v>338</v>
      </c>
      <c r="C19" s="45">
        <f>'Plant loading'!G85</f>
        <v>92.704499999999996</v>
      </c>
      <c r="D19" s="45">
        <f>('Plant loading'!P85)+('Plant loading'!R85)</f>
        <v>18.748000000000001</v>
      </c>
      <c r="E19" s="45">
        <f>'Power figures'!G14</f>
        <v>252</v>
      </c>
      <c r="F19" s="691">
        <f>'Power figures'!I14</f>
        <v>300</v>
      </c>
      <c r="G19" s="692"/>
      <c r="H19" s="10"/>
    </row>
    <row r="20" spans="2:8" ht="10.9" thickBot="1">
      <c r="B20" s="695" t="s">
        <v>341</v>
      </c>
      <c r="C20" s="697">
        <f>'Plant loading'!G89</f>
        <v>109.872</v>
      </c>
      <c r="D20" s="697">
        <f>('Plant loading'!P89)+('Plant loading'!R89)</f>
        <v>0</v>
      </c>
      <c r="E20" s="697">
        <f>'Power figures'!G15</f>
        <v>304.5</v>
      </c>
      <c r="F20" s="728">
        <f>'Power figures'!I15</f>
        <v>304.5</v>
      </c>
      <c r="G20" s="692"/>
    </row>
    <row r="22" spans="2:8">
      <c r="B22" s="14" t="s">
        <v>433</v>
      </c>
    </row>
    <row r="23" spans="2:8" ht="10.9" thickBot="1"/>
    <row r="24" spans="2:8">
      <c r="B24" s="687" t="s">
        <v>7</v>
      </c>
      <c r="C24" s="688" t="s">
        <v>423</v>
      </c>
      <c r="D24" s="688" t="s">
        <v>424</v>
      </c>
      <c r="E24" s="688" t="s">
        <v>425</v>
      </c>
      <c r="F24" s="689" t="s">
        <v>426</v>
      </c>
      <c r="G24" s="14"/>
    </row>
    <row r="25" spans="2:8">
      <c r="B25" s="690" t="s">
        <v>350</v>
      </c>
      <c r="C25" s="45">
        <f>'Plant loading'!G94</f>
        <v>43.817999999999998</v>
      </c>
      <c r="D25" s="45">
        <f>('Plant loading'!P94)+('Plant loading'!R94)</f>
        <v>5.0685000000000002</v>
      </c>
      <c r="E25" s="45">
        <f>'Power figures'!G46</f>
        <v>115</v>
      </c>
      <c r="F25" s="698" t="s">
        <v>434</v>
      </c>
      <c r="G25" s="812"/>
    </row>
    <row r="26" spans="2:8">
      <c r="B26" s="690" t="s">
        <v>352</v>
      </c>
      <c r="C26" s="45">
        <f>'Plant loading'!G96</f>
        <v>39.893999999999998</v>
      </c>
      <c r="D26" s="45">
        <f>('Plant loading'!P96)+('Plant loading'!R96)</f>
        <v>4.7960000000000003</v>
      </c>
      <c r="E26" s="45">
        <f>'Power figures'!G48</f>
        <v>115</v>
      </c>
      <c r="F26" s="698" t="s">
        <v>434</v>
      </c>
      <c r="G26" s="812"/>
    </row>
    <row r="27" spans="2:8">
      <c r="B27" s="690" t="s">
        <v>355</v>
      </c>
      <c r="C27" s="45">
        <f>'Plant loading'!G99</f>
        <v>46.216000000000001</v>
      </c>
      <c r="D27" s="45">
        <f>('Plant loading'!P99)+('Plant loading'!R99)</f>
        <v>14.606</v>
      </c>
      <c r="E27" s="45">
        <f ca="1">'Power figures'!G47</f>
        <v>114.5</v>
      </c>
      <c r="F27" s="698" t="s">
        <v>434</v>
      </c>
      <c r="G27" s="812"/>
    </row>
    <row r="28" spans="2:8">
      <c r="B28" s="690" t="s">
        <v>357</v>
      </c>
      <c r="C28" s="45">
        <f>'Plant loading'!G101</f>
        <v>38.040999999999997</v>
      </c>
      <c r="D28" s="45">
        <f>('Plant loading'!P101)+('Plant loading'!R101)</f>
        <v>4.7960000000000003</v>
      </c>
      <c r="E28" s="45">
        <f>'Power figures'!G49</f>
        <v>115</v>
      </c>
      <c r="F28" s="698" t="s">
        <v>434</v>
      </c>
      <c r="G28" s="812"/>
    </row>
    <row r="29" spans="2:8">
      <c r="B29" s="690" t="s">
        <v>359</v>
      </c>
      <c r="C29" s="45">
        <f>'Plant loading'!G103</f>
        <v>9.5374999999999996</v>
      </c>
      <c r="D29" s="45">
        <f>('Plant loading'!P103)+('Plant loading'!R103)</f>
        <v>0</v>
      </c>
      <c r="E29" s="45">
        <f>'Power figures'!G50</f>
        <v>31</v>
      </c>
      <c r="F29" s="698" t="s">
        <v>434</v>
      </c>
      <c r="G29" s="812"/>
    </row>
    <row r="30" spans="2:8">
      <c r="B30" s="690" t="s">
        <v>361</v>
      </c>
      <c r="C30" s="45">
        <f>'Plant loading'!G105</f>
        <v>62.347999999999999</v>
      </c>
      <c r="D30" s="45">
        <f>('Plant loading'!P105)+('Plant loading'!R105)</f>
        <v>0</v>
      </c>
      <c r="E30" s="45">
        <f>'Power figures'!G51</f>
        <v>115</v>
      </c>
      <c r="F30" s="698" t="s">
        <v>434</v>
      </c>
      <c r="G30" s="812"/>
    </row>
    <row r="31" spans="2:8">
      <c r="B31" s="690" t="s">
        <v>365</v>
      </c>
      <c r="C31" s="45">
        <f>'Plant loading'!G107</f>
        <v>33.735500000000002</v>
      </c>
      <c r="D31" s="45">
        <f>('Plant loading'!P107)+('Plant loading'!R107)</f>
        <v>0</v>
      </c>
      <c r="E31" s="45">
        <f>'Power figures'!G53</f>
        <v>115</v>
      </c>
      <c r="F31" s="698" t="s">
        <v>434</v>
      </c>
      <c r="G31" s="812"/>
    </row>
    <row r="32" spans="2:8">
      <c r="B32" s="690" t="s">
        <v>363</v>
      </c>
      <c r="C32" s="45">
        <f>'Plant loading'!G109</f>
        <v>44.581000000000003</v>
      </c>
      <c r="D32" s="45">
        <f>('Plant loading'!P109)+('Plant loading'!R109)</f>
        <v>8.6110000000000007</v>
      </c>
      <c r="E32" s="45">
        <f>'Power figures'!G52</f>
        <v>143.5</v>
      </c>
      <c r="F32" s="698" t="s">
        <v>434</v>
      </c>
      <c r="G32" s="812"/>
    </row>
    <row r="33" spans="1:8">
      <c r="B33" s="690" t="s">
        <v>370</v>
      </c>
      <c r="C33" s="45">
        <f>'Plant loading'!G112</f>
        <v>19.292999999999999</v>
      </c>
      <c r="D33" s="45">
        <f>('Plant loading'!P112)+('Plant loading'!R112)</f>
        <v>11.663</v>
      </c>
      <c r="E33" s="45">
        <f>'Power figures'!G54</f>
        <v>105.5</v>
      </c>
      <c r="F33" s="698" t="s">
        <v>434</v>
      </c>
      <c r="G33" s="812"/>
    </row>
    <row r="34" spans="1:8">
      <c r="B34" s="690" t="s">
        <v>372</v>
      </c>
      <c r="C34" s="45">
        <f>'Plant loading'!G114</f>
        <v>44.253999999999998</v>
      </c>
      <c r="D34" s="45">
        <f>('Plant loading'!P114)+('Plant loading'!R114)</f>
        <v>0</v>
      </c>
      <c r="E34" s="45">
        <f>'Power figures'!G55</f>
        <v>115</v>
      </c>
      <c r="F34" s="698" t="s">
        <v>434</v>
      </c>
      <c r="G34" s="812"/>
    </row>
    <row r="35" spans="1:8" ht="10.9" thickBot="1">
      <c r="B35" s="695" t="s">
        <v>374</v>
      </c>
      <c r="C35" s="697">
        <f>'Plant loading'!G116</f>
        <v>39.512500000000003</v>
      </c>
      <c r="D35" s="697">
        <f>('Plant loading'!P116)+('Plant loading'!R116)</f>
        <v>0</v>
      </c>
      <c r="E35" s="697">
        <f>'Power figures'!G56</f>
        <v>85.5</v>
      </c>
      <c r="F35" s="729" t="s">
        <v>434</v>
      </c>
      <c r="G35" s="812"/>
    </row>
    <row r="36" spans="1:8" ht="10.9" thickBot="1"/>
    <row r="37" spans="1:8" ht="10.9" thickBot="1">
      <c r="A37" s="699" t="s">
        <v>8</v>
      </c>
      <c r="B37" s="700" t="s">
        <v>9</v>
      </c>
      <c r="C37" s="701" t="s">
        <v>435</v>
      </c>
      <c r="D37" s="701" t="s">
        <v>436</v>
      </c>
      <c r="E37" s="702" t="s">
        <v>14</v>
      </c>
      <c r="F37" s="702" t="s">
        <v>15</v>
      </c>
      <c r="G37" s="702" t="s">
        <v>437</v>
      </c>
      <c r="H37" s="703" t="s">
        <v>438</v>
      </c>
    </row>
    <row r="38" spans="1:8">
      <c r="A38" s="704" t="str">
        <f>'Plant loading'!B4</f>
        <v>PEAAN</v>
      </c>
      <c r="B38" s="705" t="str">
        <f>'Plant loading'!C4</f>
        <v>eSure</v>
      </c>
      <c r="C38" s="706">
        <f>('Plant loading'!E4)*(54.5/1000)</f>
        <v>34.552999999999997</v>
      </c>
      <c r="D38" s="707">
        <f>('Plant loading'!N4+'Plant loading'!Q4)*(54.5/1000)</f>
        <v>3.2155</v>
      </c>
      <c r="E38" s="708">
        <f>'Plant loading'!H4</f>
        <v>36</v>
      </c>
      <c r="F38" s="709">
        <f>'Plant loading'!I4</f>
        <v>3.5</v>
      </c>
      <c r="G38" s="709">
        <f>'Plant loading'!L4</f>
        <v>63</v>
      </c>
      <c r="H38" s="710">
        <f>'Plant loading'!J4</f>
        <v>126</v>
      </c>
    </row>
    <row r="39" spans="1:8">
      <c r="A39" s="711" t="str">
        <f>'Plant loading'!B5</f>
        <v>PEBAN</v>
      </c>
      <c r="B39" s="730" t="str">
        <f>'Plant loading'!C5</f>
        <v>eSure</v>
      </c>
      <c r="C39" s="727">
        <f>('Plant loading'!E5)*(54.5/1000)</f>
        <v>33.299500000000002</v>
      </c>
      <c r="D39" s="731">
        <f>('Plant loading'!N5+'Plant loading'!Q5)*(54.5/1000)</f>
        <v>3.4335</v>
      </c>
      <c r="E39" s="732">
        <f>'Plant loading'!H5</f>
        <v>36</v>
      </c>
      <c r="F39" s="733">
        <f>'Plant loading'!I5</f>
        <v>3.5</v>
      </c>
      <c r="G39" s="733">
        <f>'Plant loading'!L5</f>
        <v>63</v>
      </c>
      <c r="H39" s="712">
        <f>'Plant loading'!J5</f>
        <v>126</v>
      </c>
    </row>
    <row r="40" spans="1:8">
      <c r="A40" s="711" t="str">
        <f>'Plant loading'!B6</f>
        <v>PECAN</v>
      </c>
      <c r="B40" s="730" t="str">
        <f>'Plant loading'!C6</f>
        <v>eSure</v>
      </c>
      <c r="C40" s="727">
        <f>('Plant loading'!E6)*(54.5/1000)</f>
        <v>26.16</v>
      </c>
      <c r="D40" s="731">
        <f>('Plant loading'!N6+'Plant loading'!Q6)*(54.5/1000)</f>
        <v>2.8885000000000001</v>
      </c>
      <c r="E40" s="732">
        <f>'Plant loading'!H6</f>
        <v>36</v>
      </c>
      <c r="F40" s="733">
        <f>'Plant loading'!I6</f>
        <v>3.5</v>
      </c>
      <c r="G40" s="733">
        <f>'Plant loading'!L6</f>
        <v>63</v>
      </c>
      <c r="H40" s="712">
        <f>'Plant loading'!J6</f>
        <v>126</v>
      </c>
    </row>
    <row r="41" spans="1:8">
      <c r="A41" s="711" t="str">
        <f>'Plant loading'!B7</f>
        <v>PEFAN</v>
      </c>
      <c r="B41" s="730" t="str">
        <f>'Plant loading'!C7</f>
        <v>eSure</v>
      </c>
      <c r="C41" s="727">
        <f>('Plant loading'!E7)*(54.5/1000)</f>
        <v>37.986499999999999</v>
      </c>
      <c r="D41" s="731">
        <f>('Plant loading'!N7+'Plant loading'!Q7)*(54.5/1000)</f>
        <v>2.7250000000000001</v>
      </c>
      <c r="E41" s="732">
        <f>'Plant loading'!H7</f>
        <v>36</v>
      </c>
      <c r="F41" s="733">
        <f>'Plant loading'!I7</f>
        <v>3.5</v>
      </c>
      <c r="G41" s="733">
        <f>'Plant loading'!L7</f>
        <v>63</v>
      </c>
      <c r="H41" s="712">
        <f>'Plant loading'!J7</f>
        <v>126</v>
      </c>
    </row>
    <row r="42" spans="1:8" ht="10.9" thickBot="1">
      <c r="A42" s="713" t="str">
        <f>'Plant loading'!B8</f>
        <v>PEGAN</v>
      </c>
      <c r="B42" s="714" t="str">
        <f>'Plant loading'!C8</f>
        <v>eSure</v>
      </c>
      <c r="C42" s="715">
        <f>('Plant loading'!E8)*(54.5/1000)</f>
        <v>40.384500000000003</v>
      </c>
      <c r="D42" s="716">
        <f>('Plant loading'!N8+'Plant loading'!Q8)*(54.5/1000)</f>
        <v>3.161</v>
      </c>
      <c r="E42" s="717">
        <f>'Plant loading'!H8</f>
        <v>36</v>
      </c>
      <c r="F42" s="718">
        <f>'Plant loading'!I8</f>
        <v>3.5</v>
      </c>
      <c r="G42" s="718">
        <f>'Plant loading'!L8</f>
        <v>63</v>
      </c>
      <c r="H42" s="719">
        <f>'Plant loading'!J8</f>
        <v>126</v>
      </c>
    </row>
    <row r="43" spans="1:8">
      <c r="A43" s="704" t="str">
        <f>'Plant loading'!B9</f>
        <v>PEABE</v>
      </c>
      <c r="B43" s="705" t="str">
        <f>'Plant loading'!C9</f>
        <v>eSure</v>
      </c>
      <c r="C43" s="706">
        <f>('Plant loading'!E9)*(54.5/1000)</f>
        <v>45.180500000000002</v>
      </c>
      <c r="D43" s="707">
        <f>('Plant loading'!N9+'Plant loading'!Q9)*(54.5/1000)</f>
        <v>8.5292499999999993</v>
      </c>
      <c r="E43" s="708">
        <f>'Plant loading'!H9</f>
        <v>36</v>
      </c>
      <c r="F43" s="709">
        <f>'Plant loading'!I9</f>
        <v>3.5</v>
      </c>
      <c r="G43" s="709">
        <f>'Plant loading'!L9</f>
        <v>63</v>
      </c>
      <c r="H43" s="710">
        <f>'Plant loading'!J9</f>
        <v>126</v>
      </c>
    </row>
    <row r="44" spans="1:8">
      <c r="A44" s="711" t="str">
        <f>'Plant loading'!B10</f>
        <v>PEBBE</v>
      </c>
      <c r="B44" s="730" t="str">
        <f>'Plant loading'!C10</f>
        <v>eSure</v>
      </c>
      <c r="C44" s="727">
        <f>('Plant loading'!E10)*(54.5/1000)</f>
        <v>45.889000000000003</v>
      </c>
      <c r="D44" s="731">
        <f>('Plant loading'!N10+'Plant loading'!Q10)*(54.5/1000)</f>
        <v>13.298</v>
      </c>
      <c r="E44" s="732">
        <f>'Plant loading'!H10</f>
        <v>36</v>
      </c>
      <c r="F44" s="733">
        <f>'Plant loading'!I10</f>
        <v>3.5</v>
      </c>
      <c r="G44" s="733">
        <f>'Plant loading'!L10</f>
        <v>63</v>
      </c>
      <c r="H44" s="712">
        <f>'Plant loading'!J10</f>
        <v>126</v>
      </c>
    </row>
    <row r="45" spans="1:8">
      <c r="A45" s="711" t="str">
        <f>'Plant loading'!B11</f>
        <v>PECBE</v>
      </c>
      <c r="B45" s="730" t="str">
        <f>'Plant loading'!C11</f>
        <v>eSure</v>
      </c>
      <c r="C45" s="727">
        <f>('Plant loading'!E11)*(54.5/1000)</f>
        <v>43.981499999999997</v>
      </c>
      <c r="D45" s="731">
        <f>('Plant loading'!N11+'Plant loading'!Q11)*(54.5/1000)</f>
        <v>9.81</v>
      </c>
      <c r="E45" s="732">
        <f>'Plant loading'!H11</f>
        <v>36</v>
      </c>
      <c r="F45" s="733">
        <f>'Plant loading'!I11</f>
        <v>3.5</v>
      </c>
      <c r="G45" s="733">
        <f>'Plant loading'!L11</f>
        <v>63</v>
      </c>
      <c r="H45" s="712">
        <f>'Plant loading'!J11</f>
        <v>126</v>
      </c>
    </row>
    <row r="46" spans="1:8">
      <c r="A46" s="711" t="str">
        <f>'Plant loading'!B12</f>
        <v>PEEBE</v>
      </c>
      <c r="B46" s="730" t="str">
        <f>'Plant loading'!C12</f>
        <v>eSure</v>
      </c>
      <c r="C46" s="727">
        <f>('Plant loading'!E12)*(54.5/1000)</f>
        <v>48.505000000000003</v>
      </c>
      <c r="D46" s="731">
        <f>('Plant loading'!N12+'Plant loading'!Q12)*(54.5/1000)</f>
        <v>11.09075</v>
      </c>
      <c r="E46" s="732">
        <f>'Plant loading'!H12</f>
        <v>36</v>
      </c>
      <c r="F46" s="733">
        <f>'Plant loading'!I12</f>
        <v>3.5</v>
      </c>
      <c r="G46" s="733">
        <f>'Plant loading'!L12</f>
        <v>63</v>
      </c>
      <c r="H46" s="712">
        <f>'Plant loading'!J12</f>
        <v>126</v>
      </c>
    </row>
    <row r="47" spans="1:8">
      <c r="A47" s="711" t="str">
        <f>'Plant loading'!B13</f>
        <v>PEFBE</v>
      </c>
      <c r="B47" s="730" t="str">
        <f>'Plant loading'!C13</f>
        <v>eSure</v>
      </c>
      <c r="C47" s="727">
        <f>('Plant loading'!E13)*(54.5/1000)</f>
        <v>46.488500000000002</v>
      </c>
      <c r="D47" s="731">
        <f>('Plant loading'!N13+'Plant loading'!Q13)*(54.5/1000)</f>
        <v>17.712499999999999</v>
      </c>
      <c r="E47" s="732">
        <f>'Plant loading'!H13</f>
        <v>36</v>
      </c>
      <c r="F47" s="733">
        <f>'Plant loading'!I13</f>
        <v>3.5</v>
      </c>
      <c r="G47" s="733">
        <f>'Plant loading'!L13</f>
        <v>63</v>
      </c>
      <c r="H47" s="712">
        <f>'Plant loading'!J13</f>
        <v>126</v>
      </c>
    </row>
    <row r="48" spans="1:8">
      <c r="A48" s="711" t="str">
        <f>'Plant loading'!B14</f>
        <v>PEGBE</v>
      </c>
      <c r="B48" s="730" t="str">
        <f>'Plant loading'!C14</f>
        <v>eSure</v>
      </c>
      <c r="C48" s="727">
        <f>('Plant loading'!E14)*(54.5/1000)</f>
        <v>47.850999999999999</v>
      </c>
      <c r="D48" s="731">
        <f>('Plant loading'!N14+'Plant loading'!Q14)*(54.5/1000)</f>
        <v>12.153499999999999</v>
      </c>
      <c r="E48" s="732">
        <f>'Plant loading'!H14</f>
        <v>36</v>
      </c>
      <c r="F48" s="733">
        <f>'Plant loading'!I14</f>
        <v>3.5</v>
      </c>
      <c r="G48" s="733">
        <f>'Plant loading'!L14</f>
        <v>63</v>
      </c>
      <c r="H48" s="712">
        <f>'Plant loading'!J14</f>
        <v>126</v>
      </c>
    </row>
    <row r="49" spans="1:9">
      <c r="A49" s="711" t="str">
        <f>'Plant loading'!B15</f>
        <v>PEHBE</v>
      </c>
      <c r="B49" s="730" t="str">
        <f>'Plant loading'!C15</f>
        <v>eSure</v>
      </c>
      <c r="C49" s="727">
        <f>('Plant loading'!E15)*(54.5/1000)</f>
        <v>45.5075</v>
      </c>
      <c r="D49" s="731">
        <f>('Plant loading'!N15+'Plant loading'!Q15)*(54.5/1000)</f>
        <v>11.663</v>
      </c>
      <c r="E49" s="732">
        <f>'Plant loading'!H15</f>
        <v>36</v>
      </c>
      <c r="F49" s="733">
        <f>'Plant loading'!I15</f>
        <v>3.5</v>
      </c>
      <c r="G49" s="733">
        <f>'Plant loading'!L15</f>
        <v>63</v>
      </c>
      <c r="H49" s="712">
        <f>'Plant loading'!J15</f>
        <v>126</v>
      </c>
    </row>
    <row r="50" spans="1:9" ht="10.9" thickBot="1">
      <c r="A50" s="713" t="str">
        <f>'Plant loading'!B16</f>
        <v>PEIBE</v>
      </c>
      <c r="B50" s="714" t="str">
        <f>'Plant loading'!C16</f>
        <v>eSure</v>
      </c>
      <c r="C50" s="715">
        <f>('Plant loading'!E16)*(54.5/1000)</f>
        <v>47.197000000000003</v>
      </c>
      <c r="D50" s="716">
        <f>('Plant loading'!N16+'Plant loading'!Q16)*(54.5/1000)</f>
        <v>12.371499999999999</v>
      </c>
      <c r="E50" s="717">
        <f>'Plant loading'!H16</f>
        <v>36</v>
      </c>
      <c r="F50" s="718">
        <f>'Plant loading'!I16</f>
        <v>3.5</v>
      </c>
      <c r="G50" s="718">
        <f>'Plant loading'!L16</f>
        <v>63</v>
      </c>
      <c r="H50" s="719">
        <f>'Plant loading'!J16</f>
        <v>126</v>
      </c>
    </row>
    <row r="51" spans="1:9">
      <c r="A51" s="704" t="str">
        <f>'Plant loading'!B17</f>
        <v>PEACY</v>
      </c>
      <c r="B51" s="705" t="str">
        <f>'Plant loading'!C17</f>
        <v>eSure</v>
      </c>
      <c r="C51" s="706">
        <f>('Plant loading'!E17)*(54.5/1000)</f>
        <v>21.418500000000002</v>
      </c>
      <c r="D51" s="707">
        <f>('Plant loading'!N17+'Plant loading'!Q17)*(54.5/1000)</f>
        <v>0.8175</v>
      </c>
      <c r="E51" s="708">
        <f>'Plant loading'!H17</f>
        <v>36</v>
      </c>
      <c r="F51" s="709">
        <f>'Plant loading'!I17</f>
        <v>3.5</v>
      </c>
      <c r="G51" s="709">
        <f>'Plant loading'!L17</f>
        <v>63</v>
      </c>
      <c r="H51" s="710">
        <f>'Plant loading'!J17</f>
        <v>126</v>
      </c>
    </row>
    <row r="52" spans="1:9">
      <c r="A52" s="711" t="str">
        <f>'Plant loading'!B18</f>
        <v>PEBCY</v>
      </c>
      <c r="B52" s="730" t="str">
        <f>'Plant loading'!C18</f>
        <v>eSure</v>
      </c>
      <c r="C52" s="727">
        <f>('Plant loading'!E18)*(54.5/1000)</f>
        <v>27.304500000000001</v>
      </c>
      <c r="D52" s="731">
        <f>('Plant loading'!N18+'Plant loading'!Q18)*(54.5/1000)</f>
        <v>0.8175</v>
      </c>
      <c r="E52" s="732">
        <f>'Plant loading'!H18</f>
        <v>36</v>
      </c>
      <c r="F52" s="733">
        <f>'Plant loading'!I18</f>
        <v>3.5</v>
      </c>
      <c r="G52" s="733">
        <f>'Plant loading'!L18</f>
        <v>63</v>
      </c>
      <c r="H52" s="712">
        <f>'Plant loading'!J18</f>
        <v>126</v>
      </c>
    </row>
    <row r="53" spans="1:9">
      <c r="A53" s="711" t="str">
        <f>'Plant loading'!B19</f>
        <v>PECCY</v>
      </c>
      <c r="B53" s="730" t="str">
        <f>'Plant loading'!C19</f>
        <v>eSure</v>
      </c>
      <c r="C53" s="727">
        <f>('Plant loading'!E19)*(54.5/1000)</f>
        <v>33.244999999999997</v>
      </c>
      <c r="D53" s="731">
        <f>('Plant loading'!N19+'Plant loading'!Q19)*(54.5/1000)</f>
        <v>0.8175</v>
      </c>
      <c r="E53" s="732">
        <f>'Plant loading'!H19</f>
        <v>36</v>
      </c>
      <c r="F53" s="733">
        <f>'Plant loading'!I19</f>
        <v>3.5</v>
      </c>
      <c r="G53" s="733">
        <f>'Plant loading'!L19</f>
        <v>63</v>
      </c>
      <c r="H53" s="712">
        <f>'Plant loading'!J19</f>
        <v>126</v>
      </c>
      <c r="I53" s="44"/>
    </row>
    <row r="54" spans="1:9">
      <c r="A54" s="711" t="str">
        <f>'Plant loading'!B20</f>
        <v>PEDCY</v>
      </c>
      <c r="B54" s="730" t="str">
        <f>'Plant loading'!C20</f>
        <v>eSure</v>
      </c>
      <c r="C54" s="727">
        <f>('Plant loading'!E20)*(54.5/1000)</f>
        <v>25.887499999999999</v>
      </c>
      <c r="D54" s="731">
        <f>('Plant loading'!N20+'Plant loading'!Q20)*(54.5/1000)</f>
        <v>3.2155</v>
      </c>
      <c r="E54" s="732">
        <f>'Plant loading'!H20</f>
        <v>36</v>
      </c>
      <c r="F54" s="733">
        <f>'Plant loading'!I20</f>
        <v>3.5</v>
      </c>
      <c r="G54" s="733">
        <f>'Plant loading'!L20</f>
        <v>63</v>
      </c>
      <c r="H54" s="712">
        <f>'Plant loading'!J20</f>
        <v>126</v>
      </c>
    </row>
    <row r="55" spans="1:9" ht="10.9" thickBot="1">
      <c r="A55" s="713" t="str">
        <f>'Plant loading'!B21</f>
        <v>PEECY</v>
      </c>
      <c r="B55" s="714" t="str">
        <f>'Plant loading'!C21</f>
        <v>eSure</v>
      </c>
      <c r="C55" s="715">
        <f>('Plant loading'!E21)*(54.5/1000)</f>
        <v>19.3475</v>
      </c>
      <c r="D55" s="716">
        <f>('Plant loading'!N21+'Plant loading'!Q21)*(54.5/1000)</f>
        <v>2.3980000000000001</v>
      </c>
      <c r="E55" s="717">
        <f>'Plant loading'!H21</f>
        <v>36</v>
      </c>
      <c r="F55" s="718">
        <f>'Plant loading'!I21</f>
        <v>3.5</v>
      </c>
      <c r="G55" s="718">
        <f>'Plant loading'!L21</f>
        <v>63</v>
      </c>
      <c r="H55" s="719">
        <f>'Plant loading'!J21</f>
        <v>126</v>
      </c>
    </row>
    <row r="56" spans="1:9">
      <c r="A56" s="704" t="str">
        <f>'Plant loading'!B22</f>
        <v>PECEH</v>
      </c>
      <c r="B56" s="705" t="str">
        <f>'Plant loading'!C22</f>
        <v>eSure</v>
      </c>
      <c r="C56" s="706">
        <f>('Plant loading'!E22)*(54.5/1000)</f>
        <v>46.433999999999997</v>
      </c>
      <c r="D56" s="707">
        <f>('Plant loading'!N22+'Plant loading'!Q22)*(54.5/1000)</f>
        <v>12.671250000000001</v>
      </c>
      <c r="E56" s="708">
        <f>'Plant loading'!H22</f>
        <v>36</v>
      </c>
      <c r="F56" s="709">
        <f>'Plant loading'!I22</f>
        <v>3.5</v>
      </c>
      <c r="G56" s="709">
        <f>'Plant loading'!L22</f>
        <v>63</v>
      </c>
      <c r="H56" s="710">
        <f>'Plant loading'!J22</f>
        <v>126</v>
      </c>
    </row>
    <row r="57" spans="1:9">
      <c r="A57" s="711" t="str">
        <f>'Plant loading'!B23</f>
        <v>PEDEH</v>
      </c>
      <c r="B57" s="730" t="str">
        <f>'Plant loading'!C23</f>
        <v>eSure</v>
      </c>
      <c r="C57" s="727">
        <f>('Plant loading'!E23)*(54.5/1000)</f>
        <v>49.704000000000001</v>
      </c>
      <c r="D57" s="731">
        <f>('Plant loading'!N23+'Plant loading'!Q23)*(54.5/1000)</f>
        <v>10.54575</v>
      </c>
      <c r="E57" s="732">
        <f>'Plant loading'!H23</f>
        <v>36</v>
      </c>
      <c r="F57" s="733">
        <f>'Plant loading'!I23</f>
        <v>3.5</v>
      </c>
      <c r="G57" s="733">
        <f>'Plant loading'!L23</f>
        <v>63</v>
      </c>
      <c r="H57" s="712">
        <f>'Plant loading'!J23</f>
        <v>126</v>
      </c>
    </row>
    <row r="58" spans="1:9">
      <c r="A58" s="711" t="str">
        <f>'Plant loading'!B24</f>
        <v>PEEEH</v>
      </c>
      <c r="B58" s="730" t="str">
        <f>'Plant loading'!C24</f>
        <v>eSure</v>
      </c>
      <c r="C58" s="727">
        <f>('Plant loading'!E24)*(54.5/1000)</f>
        <v>48.014499999999998</v>
      </c>
      <c r="D58" s="731">
        <f>('Plant loading'!N24+'Plant loading'!Q24)*(54.5/1000)</f>
        <v>11.41775</v>
      </c>
      <c r="E58" s="732">
        <f>'Plant loading'!H24</f>
        <v>36</v>
      </c>
      <c r="F58" s="733">
        <f>'Plant loading'!I24</f>
        <v>3.5</v>
      </c>
      <c r="G58" s="733">
        <f>'Plant loading'!L24</f>
        <v>63</v>
      </c>
      <c r="H58" s="712">
        <f>'Plant loading'!J24</f>
        <v>126</v>
      </c>
    </row>
    <row r="59" spans="1:9">
      <c r="A59" s="711" t="str">
        <f>'Plant loading'!B25</f>
        <v>PEFEH</v>
      </c>
      <c r="B59" s="730" t="str">
        <f>'Plant loading'!C25</f>
        <v>eSure</v>
      </c>
      <c r="C59" s="727">
        <f>('Plant loading'!E25)*(54.5/1000)</f>
        <v>45.234999999999999</v>
      </c>
      <c r="D59" s="731">
        <f>('Plant loading'!N25+'Plant loading'!Q25)*(54.5/1000)</f>
        <v>11.036250000000001</v>
      </c>
      <c r="E59" s="732">
        <f>'Plant loading'!H25</f>
        <v>36</v>
      </c>
      <c r="F59" s="733">
        <f>'Plant loading'!I25</f>
        <v>3.5</v>
      </c>
      <c r="G59" s="733">
        <f>'Plant loading'!L25</f>
        <v>63</v>
      </c>
      <c r="H59" s="712">
        <f>'Plant loading'!J25</f>
        <v>126</v>
      </c>
    </row>
    <row r="60" spans="1:9">
      <c r="A60" s="711" t="str">
        <f>'Plant loading'!B26</f>
        <v>PEGEH</v>
      </c>
      <c r="B60" s="730" t="str">
        <f>'Plant loading'!C26</f>
        <v>eSure</v>
      </c>
      <c r="C60" s="727">
        <f>('Plant loading'!E26)*(54.5/1000)</f>
        <v>52.592500000000001</v>
      </c>
      <c r="D60" s="731">
        <f>('Plant loading'!N26+'Plant loading'!Q26)*(54.5/1000)</f>
        <v>10.54575</v>
      </c>
      <c r="E60" s="732">
        <f>'Plant loading'!H26</f>
        <v>36</v>
      </c>
      <c r="F60" s="733">
        <f>'Plant loading'!I26</f>
        <v>3.5</v>
      </c>
      <c r="G60" s="733">
        <f>'Plant loading'!L26</f>
        <v>63</v>
      </c>
      <c r="H60" s="712">
        <f>'Plant loading'!J26</f>
        <v>126</v>
      </c>
    </row>
    <row r="61" spans="1:9" ht="10.9" thickBot="1">
      <c r="A61" s="713" t="str">
        <f>'Plant loading'!B27</f>
        <v>PEHEH</v>
      </c>
      <c r="B61" s="714" t="str">
        <f>'Plant loading'!C27</f>
        <v>eSure</v>
      </c>
      <c r="C61" s="715">
        <f>('Plant loading'!E27)*(54.5/1000)</f>
        <v>48.1235</v>
      </c>
      <c r="D61" s="716">
        <f>('Plant loading'!N27+'Plant loading'!Q27)*(54.5/1000)</f>
        <v>15.28725</v>
      </c>
      <c r="E61" s="717">
        <f>'Plant loading'!H27</f>
        <v>36</v>
      </c>
      <c r="F61" s="718">
        <f>'Plant loading'!I27</f>
        <v>3.5</v>
      </c>
      <c r="G61" s="718">
        <f>'Plant loading'!L27</f>
        <v>63</v>
      </c>
      <c r="H61" s="719">
        <f>'Plant loading'!J27</f>
        <v>126</v>
      </c>
    </row>
    <row r="62" spans="1:9">
      <c r="A62" s="704" t="str">
        <f>'Plant loading'!B28</f>
        <v>PEDER</v>
      </c>
      <c r="B62" s="705" t="str">
        <f>'Plant loading'!C28</f>
        <v>eSure</v>
      </c>
      <c r="C62" s="706">
        <f>('Plant loading'!E28)*(54.5/1000)</f>
        <v>22.89</v>
      </c>
      <c r="D62" s="707">
        <f>('Plant loading'!N28+'Plant loading'!Q28)*(54.5/1000)</f>
        <v>0</v>
      </c>
      <c r="E62" s="708">
        <f>'Plant loading'!H28</f>
        <v>36</v>
      </c>
      <c r="F62" s="709">
        <f>'Plant loading'!I28</f>
        <v>3.5</v>
      </c>
      <c r="G62" s="709">
        <f>'Plant loading'!L28</f>
        <v>63</v>
      </c>
      <c r="H62" s="710">
        <f>'Plant loading'!J28</f>
        <v>126</v>
      </c>
    </row>
    <row r="63" spans="1:9">
      <c r="A63" s="711" t="str">
        <f>'Plant loading'!B29</f>
        <v>PEEER</v>
      </c>
      <c r="B63" s="730" t="str">
        <f>'Plant loading'!C29</f>
        <v>eSure</v>
      </c>
      <c r="C63" s="727">
        <f>('Plant loading'!E29)*(54.5/1000)</f>
        <v>18.9115</v>
      </c>
      <c r="D63" s="731">
        <f>('Plant loading'!N29+'Plant loading'!Q29)*(54.5/1000)</f>
        <v>0</v>
      </c>
      <c r="E63" s="732">
        <f>'Plant loading'!H29</f>
        <v>36</v>
      </c>
      <c r="F63" s="733">
        <f>'Plant loading'!I29</f>
        <v>3.5</v>
      </c>
      <c r="G63" s="733">
        <f>'Plant loading'!L29</f>
        <v>63</v>
      </c>
      <c r="H63" s="712">
        <f>'Plant loading'!J29</f>
        <v>126</v>
      </c>
    </row>
    <row r="64" spans="1:9">
      <c r="A64" s="711" t="str">
        <f>'Plant loading'!B30</f>
        <v>PEFER</v>
      </c>
      <c r="B64" s="730" t="str">
        <f>'Plant loading'!C30</f>
        <v>eSure</v>
      </c>
      <c r="C64" s="727">
        <f>('Plant loading'!E30)*(54.5/1000)</f>
        <v>23.762</v>
      </c>
      <c r="D64" s="731">
        <f>('Plant loading'!N30+'Plant loading'!Q30)*(54.5/1000)</f>
        <v>0</v>
      </c>
      <c r="E64" s="732">
        <f>'Plant loading'!H30</f>
        <v>36</v>
      </c>
      <c r="F64" s="733">
        <f>'Plant loading'!I30</f>
        <v>3.5</v>
      </c>
      <c r="G64" s="733">
        <f>'Plant loading'!L30</f>
        <v>63</v>
      </c>
      <c r="H64" s="712">
        <f>'Plant loading'!J30</f>
        <v>126</v>
      </c>
    </row>
    <row r="65" spans="1:8" ht="10.9" thickBot="1">
      <c r="A65" s="713" t="str">
        <f>'Plant loading'!B31</f>
        <v>PEGER</v>
      </c>
      <c r="B65" s="714" t="str">
        <f>'Plant loading'!C31</f>
        <v>eSure</v>
      </c>
      <c r="C65" s="715">
        <f>('Plant loading'!E31)*(54.5/1000)</f>
        <v>17.004000000000001</v>
      </c>
      <c r="D65" s="716">
        <f>('Plant loading'!N31+'Plant loading'!Q31)*(54.5/1000)</f>
        <v>0</v>
      </c>
      <c r="E65" s="717">
        <f>'Plant loading'!H31</f>
        <v>36</v>
      </c>
      <c r="F65" s="718">
        <f>'Plant loading'!I31</f>
        <v>3.5</v>
      </c>
      <c r="G65" s="718">
        <f>'Plant loading'!L31</f>
        <v>63</v>
      </c>
      <c r="H65" s="719">
        <f>'Plant loading'!J31</f>
        <v>126</v>
      </c>
    </row>
    <row r="66" spans="1:8">
      <c r="A66" s="704" t="str">
        <f>'Plant loading'!B32</f>
        <v>PEAGR</v>
      </c>
      <c r="B66" s="705" t="str">
        <f>'Plant loading'!C32</f>
        <v>eSure</v>
      </c>
      <c r="C66" s="706">
        <f>('Plant loading'!E32)*(54.5/1000)</f>
        <v>35.207000000000001</v>
      </c>
      <c r="D66" s="707">
        <f>('Plant loading'!N32+'Plant loading'!Q32)*(54.5/1000)</f>
        <v>10.556649999999999</v>
      </c>
      <c r="E66" s="708">
        <f>'Plant loading'!H32</f>
        <v>36</v>
      </c>
      <c r="F66" s="709">
        <f>'Plant loading'!I32</f>
        <v>3.5</v>
      </c>
      <c r="G66" s="709">
        <f>'Plant loading'!L32</f>
        <v>63</v>
      </c>
      <c r="H66" s="710">
        <f>'Plant loading'!J32</f>
        <v>126</v>
      </c>
    </row>
    <row r="67" spans="1:8">
      <c r="A67" s="711" t="str">
        <f>'Plant loading'!B33</f>
        <v>PEBGR</v>
      </c>
      <c r="B67" s="730" t="str">
        <f>'Plant loading'!C33</f>
        <v>eSure</v>
      </c>
      <c r="C67" s="727">
        <f>('Plant loading'!E33)*(54.5/1000)</f>
        <v>41.692500000000003</v>
      </c>
      <c r="D67" s="731">
        <f>('Plant loading'!N33+'Plant loading'!Q33)*(54.5/1000)</f>
        <v>10.665649999999999</v>
      </c>
      <c r="E67" s="732">
        <f>'Plant loading'!H33</f>
        <v>36</v>
      </c>
      <c r="F67" s="733">
        <f>'Plant loading'!I33</f>
        <v>3.5</v>
      </c>
      <c r="G67" s="733">
        <f>'Plant loading'!L33</f>
        <v>63</v>
      </c>
      <c r="H67" s="712">
        <f>'Plant loading'!J33</f>
        <v>126</v>
      </c>
    </row>
    <row r="68" spans="1:8">
      <c r="A68" s="711" t="str">
        <f>'Plant loading'!B34</f>
        <v>PECGR</v>
      </c>
      <c r="B68" s="730" t="str">
        <f>'Plant loading'!C34</f>
        <v>eSure</v>
      </c>
      <c r="C68" s="727">
        <f>('Plant loading'!E34)*(54.5/1000)</f>
        <v>39.021999999999998</v>
      </c>
      <c r="D68" s="731">
        <f>('Plant loading'!N34+'Plant loading'!Q34)*(54.5/1000)</f>
        <v>13.66315</v>
      </c>
      <c r="E68" s="732">
        <f>'Plant loading'!H34</f>
        <v>36</v>
      </c>
      <c r="F68" s="733">
        <f>'Plant loading'!I34</f>
        <v>3.5</v>
      </c>
      <c r="G68" s="733">
        <f>'Plant loading'!L34</f>
        <v>63</v>
      </c>
      <c r="H68" s="712">
        <f>'Plant loading'!J34</f>
        <v>126</v>
      </c>
    </row>
    <row r="69" spans="1:8">
      <c r="A69" s="711" t="str">
        <f>'Plant loading'!B35</f>
        <v>PEDGR</v>
      </c>
      <c r="B69" s="730" t="str">
        <f>'Plant loading'!C35</f>
        <v>eSure</v>
      </c>
      <c r="C69" s="727">
        <f>('Plant loading'!E35)*(54.5/1000)</f>
        <v>38.749499999999998</v>
      </c>
      <c r="D69" s="731">
        <f>('Plant loading'!N35+'Plant loading'!Q35)*(54.5/1000)</f>
        <v>14.480649999999999</v>
      </c>
      <c r="E69" s="732">
        <f>'Plant loading'!H35</f>
        <v>36</v>
      </c>
      <c r="F69" s="733">
        <f>'Plant loading'!I35</f>
        <v>3.5</v>
      </c>
      <c r="G69" s="733">
        <f>'Plant loading'!L35</f>
        <v>63</v>
      </c>
      <c r="H69" s="712">
        <f>'Plant loading'!J35</f>
        <v>126</v>
      </c>
    </row>
    <row r="70" spans="1:8">
      <c r="A70" s="711" t="str">
        <f>'Plant loading'!B36</f>
        <v>PEEGR</v>
      </c>
      <c r="B70" s="730" t="str">
        <f>'Plant loading'!C36</f>
        <v>eSure</v>
      </c>
      <c r="C70" s="727">
        <f>('Plant loading'!E36)*(54.5/1000)</f>
        <v>38.531500000000001</v>
      </c>
      <c r="D70" s="731">
        <f>('Plant loading'!N36+'Plant loading'!Q36)*(54.5/1000)</f>
        <v>12.208</v>
      </c>
      <c r="E70" s="732">
        <f>'Plant loading'!H36</f>
        <v>36</v>
      </c>
      <c r="F70" s="733">
        <f>'Plant loading'!I36</f>
        <v>3.5</v>
      </c>
      <c r="G70" s="733">
        <f>'Plant loading'!L36</f>
        <v>63</v>
      </c>
      <c r="H70" s="712">
        <f>'Plant loading'!J36</f>
        <v>126</v>
      </c>
    </row>
    <row r="71" spans="1:8">
      <c r="A71" s="711" t="str">
        <f>'Plant loading'!B37</f>
        <v>GCRMTX-DCSYS06a</v>
      </c>
      <c r="B71" s="730" t="str">
        <f>'Plant loading'!C37</f>
        <v>NPR48-ES</v>
      </c>
      <c r="C71" s="727">
        <f>('Plant loading'!E37)*(54.5/1000)</f>
        <v>34.771000000000001</v>
      </c>
      <c r="D71" s="731">
        <f>('Plant loading'!N37+'Plant loading'!Q37)*(54.5/1000)</f>
        <v>31.130400000000002</v>
      </c>
      <c r="E71" s="732">
        <f>'Plant loading'!H37</f>
        <v>51</v>
      </c>
      <c r="F71" s="733">
        <f>'Plant loading'!I37</f>
        <v>3</v>
      </c>
      <c r="G71" s="733">
        <f>'Plant loading'!L37</f>
        <v>75</v>
      </c>
      <c r="H71" s="712">
        <f>'Plant loading'!J37</f>
        <v>153</v>
      </c>
    </row>
    <row r="72" spans="1:8">
      <c r="A72" s="711" t="str">
        <f>'Plant loading'!B38</f>
        <v>GCRMTX-DCSYS06b</v>
      </c>
      <c r="B72" s="730" t="str">
        <f>'Plant loading'!C38</f>
        <v>NPR48-ES</v>
      </c>
      <c r="C72" s="727">
        <f>('Plant loading'!E38)*(54.5/1000)</f>
        <v>32.536499999999997</v>
      </c>
      <c r="D72" s="731">
        <f>('Plant loading'!N38+'Plant loading'!Q38)*(54.5/1000)</f>
        <v>33.691900000000004</v>
      </c>
      <c r="E72" s="732">
        <f>'Plant loading'!H38</f>
        <v>51</v>
      </c>
      <c r="F72" s="733">
        <f>'Plant loading'!I38</f>
        <v>3</v>
      </c>
      <c r="G72" s="733">
        <f>'Plant loading'!L38</f>
        <v>75</v>
      </c>
      <c r="H72" s="712">
        <f>'Plant loading'!J38</f>
        <v>153</v>
      </c>
    </row>
    <row r="73" spans="1:8">
      <c r="A73" s="889" t="str">
        <f>'Plant loading'!B39</f>
        <v>BMGMTX-DCSYS01</v>
      </c>
      <c r="B73" s="890" t="str">
        <f>'Plant loading'!C39</f>
        <v>HDR48-ES</v>
      </c>
      <c r="C73" s="891">
        <f>('Plant loading'!E39)*(54.5/1000)</f>
        <v>40.548000000000002</v>
      </c>
      <c r="D73" s="892">
        <f>('Plant loading'!N39+'Plant loading'!Q39)*(54.5/1000)</f>
        <v>4.0330000000000004</v>
      </c>
      <c r="E73" s="893">
        <f>'Plant loading'!H39</f>
        <v>44</v>
      </c>
      <c r="F73" s="894">
        <f>'Plant loading'!I39</f>
        <v>3</v>
      </c>
      <c r="G73" s="894">
        <f>'Plant loading'!L39</f>
        <v>63</v>
      </c>
      <c r="H73" s="895">
        <f>'Plant loading'!J39</f>
        <v>132</v>
      </c>
    </row>
    <row r="74" spans="1:8">
      <c r="A74" s="896" t="str">
        <f>'Plant loading'!B40</f>
        <v>BMGMTX-DCSYS02</v>
      </c>
      <c r="B74" s="730" t="str">
        <f>'Plant loading'!C40</f>
        <v>HDR48-ES</v>
      </c>
      <c r="C74" s="727">
        <f>('Plant loading'!E40)*(54.5/1000)</f>
        <v>41.747</v>
      </c>
      <c r="D74" s="731">
        <f>('Plant loading'!N40+'Plant loading'!Q40)*(54.5/1000)</f>
        <v>5.6135000000000002</v>
      </c>
      <c r="E74" s="732">
        <f>'Plant loading'!H40</f>
        <v>44</v>
      </c>
      <c r="F74" s="733">
        <f>'Plant loading'!I40</f>
        <v>3</v>
      </c>
      <c r="G74" s="733">
        <f>'Plant loading'!L40</f>
        <v>63</v>
      </c>
      <c r="H74" s="897">
        <f>'Plant loading'!J40</f>
        <v>132</v>
      </c>
    </row>
    <row r="75" spans="1:8">
      <c r="A75" s="896" t="str">
        <f>'Plant loading'!B41</f>
        <v>BMGMTX-DCSYS03</v>
      </c>
      <c r="B75" s="730" t="str">
        <f>'Plant loading'!C41</f>
        <v>HDR48-ES</v>
      </c>
      <c r="C75" s="727">
        <f>('Plant loading'!E41)*(54.5/1000)</f>
        <v>42.782499999999999</v>
      </c>
      <c r="D75" s="731">
        <f>('Plant loading'!N41+'Plant loading'!Q41)*(54.5/1000)</f>
        <v>9.7554999999999996</v>
      </c>
      <c r="E75" s="732">
        <f>'Plant loading'!H41</f>
        <v>44</v>
      </c>
      <c r="F75" s="733">
        <f>'Plant loading'!I41</f>
        <v>3</v>
      </c>
      <c r="G75" s="733">
        <f>'Plant loading'!L41</f>
        <v>63</v>
      </c>
      <c r="H75" s="897">
        <f>'Plant loading'!J41</f>
        <v>132</v>
      </c>
    </row>
    <row r="76" spans="1:8">
      <c r="A76" s="896" t="str">
        <f>'Plant loading'!B42</f>
        <v>BMGMTX-DCSYS04</v>
      </c>
      <c r="B76" s="730" t="str">
        <f>'Plant loading'!C42</f>
        <v>HDR48-ES</v>
      </c>
      <c r="C76" s="727">
        <f>('Plant loading'!E42)*(54.5/1000)</f>
        <v>41.856000000000002</v>
      </c>
      <c r="D76" s="731">
        <f>('Plant loading'!N42+'Plant loading'!Q42)*(54.5/1000)</f>
        <v>9.2104999999999997</v>
      </c>
      <c r="E76" s="732">
        <f>'Plant loading'!H42</f>
        <v>44</v>
      </c>
      <c r="F76" s="733">
        <f>'Plant loading'!I42</f>
        <v>3</v>
      </c>
      <c r="G76" s="733">
        <f>'Plant loading'!L42</f>
        <v>63</v>
      </c>
      <c r="H76" s="897">
        <f>'Plant loading'!J42</f>
        <v>132</v>
      </c>
    </row>
    <row r="77" spans="1:8">
      <c r="A77" s="896" t="str">
        <f>'Plant loading'!B43</f>
        <v>BMGMTX-DCSYS05</v>
      </c>
      <c r="B77" s="730" t="str">
        <f>'Plant loading'!C43</f>
        <v>HDR48-ES</v>
      </c>
      <c r="C77" s="727">
        <f>('Plant loading'!E43)*(54.5/1000)</f>
        <v>42.837000000000003</v>
      </c>
      <c r="D77" s="731">
        <f>('Plant loading'!N43+'Plant loading'!Q43)*(54.5/1000)</f>
        <v>6.2130000000000001</v>
      </c>
      <c r="E77" s="732">
        <f>'Plant loading'!H43</f>
        <v>44</v>
      </c>
      <c r="F77" s="733">
        <f>'Plant loading'!I43</f>
        <v>3</v>
      </c>
      <c r="G77" s="733">
        <f>'Plant loading'!L43</f>
        <v>63</v>
      </c>
      <c r="H77" s="897">
        <f>'Plant loading'!J43</f>
        <v>132</v>
      </c>
    </row>
    <row r="78" spans="1:8">
      <c r="A78" s="896" t="str">
        <f>'Plant loading'!B44</f>
        <v>BMGMTX-DCSYS06</v>
      </c>
      <c r="B78" s="730" t="str">
        <f>'Plant loading'!C44</f>
        <v>HDR48-ES</v>
      </c>
      <c r="C78" s="727">
        <f>('Plant loading'!E44)*(54.5/1000)</f>
        <v>44.962499999999999</v>
      </c>
      <c r="D78" s="731">
        <f>('Plant loading'!N44+'Plant loading'!Q44)*(54.5/1000)</f>
        <v>10.736499999999999</v>
      </c>
      <c r="E78" s="732">
        <f>'Plant loading'!H44</f>
        <v>44</v>
      </c>
      <c r="F78" s="733">
        <f>'Plant loading'!I44</f>
        <v>3</v>
      </c>
      <c r="G78" s="733">
        <f>'Plant loading'!L44</f>
        <v>63</v>
      </c>
      <c r="H78" s="897">
        <f>'Plant loading'!J44</f>
        <v>132</v>
      </c>
    </row>
    <row r="79" spans="1:8">
      <c r="A79" s="896" t="str">
        <f>'Plant loading'!B45</f>
        <v>BMGMTX-DCSYS07a</v>
      </c>
      <c r="B79" s="730" t="str">
        <f>'Plant loading'!C45</f>
        <v>NPR48-ES</v>
      </c>
      <c r="C79" s="727">
        <f>('Plant loading'!E45)*(54.5/1000)</f>
        <v>15.532500000000001</v>
      </c>
      <c r="D79" s="731">
        <f>('Plant loading'!N45+'Plant loading'!Q45)*(54.5/1000)</f>
        <v>21.058799999999998</v>
      </c>
      <c r="E79" s="732">
        <f>'Plant loading'!H45</f>
        <v>29</v>
      </c>
      <c r="F79" s="733">
        <f>'Plant loading'!I45</f>
        <v>3</v>
      </c>
      <c r="G79" s="733">
        <f>'Plant loading'!L45</f>
        <v>42</v>
      </c>
      <c r="H79" s="897">
        <f>'Plant loading'!J45</f>
        <v>87</v>
      </c>
    </row>
    <row r="80" spans="1:8">
      <c r="A80" s="898" t="str">
        <f>'Plant loading'!B46</f>
        <v>BMGMTX-DCSYS07b</v>
      </c>
      <c r="B80" s="899" t="str">
        <f>'Plant loading'!C46</f>
        <v>NPR48-ES</v>
      </c>
      <c r="C80" s="900">
        <f>('Plant loading'!E46)*(54.5/1000)</f>
        <v>15.532500000000001</v>
      </c>
      <c r="D80" s="901">
        <f>('Plant loading'!N46+'Plant loading'!Q46)*(54.5/1000)</f>
        <v>21.075150000000001</v>
      </c>
      <c r="E80" s="902">
        <f>'Plant loading'!H46</f>
        <v>29</v>
      </c>
      <c r="F80" s="903">
        <f>'Plant loading'!I46</f>
        <v>3</v>
      </c>
      <c r="G80" s="903">
        <f>'Plant loading'!L46</f>
        <v>42</v>
      </c>
      <c r="H80" s="904">
        <f>'Plant loading'!J46</f>
        <v>87</v>
      </c>
    </row>
    <row r="81" spans="1:8">
      <c r="A81" s="711" t="str">
        <f>'Plant loading'!B47</f>
        <v>PEAKS</v>
      </c>
      <c r="B81" s="730" t="str">
        <f>'Plant loading'!C47</f>
        <v>eSure</v>
      </c>
      <c r="C81" s="727">
        <f>('Plant loading'!E47)*(54.5/1000)</f>
        <v>13.243499999999999</v>
      </c>
      <c r="D81" s="731">
        <f>('Plant loading'!N47+'Plant loading'!Q47)*(54.5/1000)</f>
        <v>0</v>
      </c>
      <c r="E81" s="732">
        <f>'Plant loading'!H47</f>
        <v>24</v>
      </c>
      <c r="F81" s="733">
        <f>'Plant loading'!I47</f>
        <v>3.5</v>
      </c>
      <c r="G81" s="733">
        <f>'Plant loading'!L47</f>
        <v>42</v>
      </c>
      <c r="H81" s="712">
        <f>'Plant loading'!J47</f>
        <v>84</v>
      </c>
    </row>
    <row r="82" spans="1:8">
      <c r="A82" s="711" t="str">
        <f>'Plant loading'!B48</f>
        <v>PEBKS</v>
      </c>
      <c r="B82" s="730" t="str">
        <f>'Plant loading'!C48</f>
        <v>eSure</v>
      </c>
      <c r="C82" s="727">
        <f>('Plant loading'!E48)*(54.5/1000)</f>
        <v>17.876000000000001</v>
      </c>
      <c r="D82" s="731">
        <f>('Plant loading'!N48+'Plant loading'!Q48)*(54.5/1000)</f>
        <v>0</v>
      </c>
      <c r="E82" s="732">
        <f>'Plant loading'!H48</f>
        <v>30</v>
      </c>
      <c r="F82" s="733">
        <f>'Plant loading'!I48</f>
        <v>3.5</v>
      </c>
      <c r="G82" s="733">
        <f>'Plant loading'!L48</f>
        <v>52</v>
      </c>
      <c r="H82" s="712">
        <f>'Plant loading'!J48</f>
        <v>105</v>
      </c>
    </row>
    <row r="83" spans="1:8">
      <c r="A83" s="711" t="str">
        <f>'Plant loading'!B49</f>
        <v>PEEKS</v>
      </c>
      <c r="B83" s="730" t="str">
        <f>'Plant loading'!C49</f>
        <v>eSure</v>
      </c>
      <c r="C83" s="727">
        <f>('Plant loading'!E49)*(54.5/1000)</f>
        <v>5.45</v>
      </c>
      <c r="D83" s="731">
        <f>('Plant loading'!N49+'Plant loading'!Q49)*(54.5/1000)</f>
        <v>0</v>
      </c>
      <c r="E83" s="732">
        <f>'Plant loading'!H49</f>
        <v>12</v>
      </c>
      <c r="F83" s="733">
        <f>'Plant loading'!I49</f>
        <v>3.5</v>
      </c>
      <c r="G83" s="733">
        <f>'Plant loading'!L49</f>
        <v>21</v>
      </c>
      <c r="H83" s="712">
        <f>'Plant loading'!J49</f>
        <v>42</v>
      </c>
    </row>
    <row r="84" spans="1:8">
      <c r="A84" s="711" t="str">
        <f>'Plant loading'!B50</f>
        <v>PEIKS</v>
      </c>
      <c r="B84" s="730" t="str">
        <f>'Plant loading'!C50</f>
        <v>eSure</v>
      </c>
      <c r="C84" s="727">
        <f>('Plant loading'!E50)*(54.5/1000)</f>
        <v>29.375499999999999</v>
      </c>
      <c r="D84" s="731">
        <f>('Plant loading'!N50+'Plant loading'!Q50)*(54.5/1000)</f>
        <v>0</v>
      </c>
      <c r="E84" s="732">
        <f>'Plant loading'!H50</f>
        <v>36</v>
      </c>
      <c r="F84" s="733">
        <f>'Plant loading'!I50</f>
        <v>3.5</v>
      </c>
      <c r="G84" s="733">
        <f>'Plant loading'!L50</f>
        <v>63</v>
      </c>
      <c r="H84" s="712">
        <f>'Plant loading'!J50</f>
        <v>126</v>
      </c>
    </row>
    <row r="85" spans="1:8">
      <c r="A85" s="711" t="str">
        <f>'Plant loading'!B51</f>
        <v>PEJKS</v>
      </c>
      <c r="B85" s="730" t="str">
        <f>'Plant loading'!C51</f>
        <v>eSure</v>
      </c>
      <c r="C85" s="727">
        <f>('Plant loading'!E51)*(54.5/1000)</f>
        <v>13.734</v>
      </c>
      <c r="D85" s="731">
        <f>('Plant loading'!N51+'Plant loading'!Q51)*(54.5/1000)</f>
        <v>0</v>
      </c>
      <c r="E85" s="732">
        <f>'Plant loading'!H51</f>
        <v>36</v>
      </c>
      <c r="F85" s="733">
        <f>'Plant loading'!I51</f>
        <v>3.5</v>
      </c>
      <c r="G85" s="733">
        <f>'Plant loading'!L51</f>
        <v>63</v>
      </c>
      <c r="H85" s="712">
        <f>'Plant loading'!J51</f>
        <v>126</v>
      </c>
    </row>
    <row r="86" spans="1:8">
      <c r="A86" s="711" t="str">
        <f>'Plant loading'!B52</f>
        <v>PEKKS</v>
      </c>
      <c r="B86" s="730" t="str">
        <f>'Plant loading'!C52</f>
        <v>eSure</v>
      </c>
      <c r="C86" s="727">
        <f>('Plant loading'!E52)*(54.5/1000)</f>
        <v>25.07</v>
      </c>
      <c r="D86" s="731">
        <f>('Plant loading'!N52+'Plant loading'!Q52)*(54.5/1000)</f>
        <v>0</v>
      </c>
      <c r="E86" s="732">
        <f>'Plant loading'!H52</f>
        <v>30</v>
      </c>
      <c r="F86" s="733">
        <f>'Plant loading'!I52</f>
        <v>3.5</v>
      </c>
      <c r="G86" s="733">
        <f>'Plant loading'!L52</f>
        <v>52</v>
      </c>
      <c r="H86" s="712">
        <f>'Plant loading'!J52</f>
        <v>105</v>
      </c>
    </row>
    <row r="87" spans="1:8">
      <c r="A87" s="711" t="str">
        <f>'Plant loading'!B53</f>
        <v>PELKS</v>
      </c>
      <c r="B87" s="730" t="str">
        <f>'Plant loading'!C53</f>
        <v>eSure</v>
      </c>
      <c r="C87" s="727">
        <f>('Plant loading'!E53)*(54.5/1000)</f>
        <v>8.7744999999999997</v>
      </c>
      <c r="D87" s="731">
        <f>('Plant loading'!N53+'Plant loading'!Q53)*(54.5/1000)</f>
        <v>0</v>
      </c>
      <c r="E87" s="732">
        <f>'Plant loading'!H53</f>
        <v>24</v>
      </c>
      <c r="F87" s="733">
        <f>'Plant loading'!I53</f>
        <v>3.5</v>
      </c>
      <c r="G87" s="733">
        <f>'Plant loading'!L53</f>
        <v>42</v>
      </c>
      <c r="H87" s="712">
        <f>'Plant loading'!J53</f>
        <v>84</v>
      </c>
    </row>
    <row r="88" spans="1:8">
      <c r="A88" s="711" t="str">
        <f>'Plant loading'!B54</f>
        <v>PEMKS</v>
      </c>
      <c r="B88" s="730" t="str">
        <f>'Plant loading'!C54</f>
        <v>eSure</v>
      </c>
      <c r="C88" s="727">
        <f>('Plant loading'!E54)*(54.5/1000)</f>
        <v>7.9024999999999999</v>
      </c>
      <c r="D88" s="731">
        <f>('Plant loading'!N54+'Plant loading'!Q54)*(54.5/1000)</f>
        <v>0</v>
      </c>
      <c r="E88" s="732">
        <f>'Plant loading'!H54</f>
        <v>24</v>
      </c>
      <c r="F88" s="733">
        <f>'Plant loading'!I54</f>
        <v>3.5</v>
      </c>
      <c r="G88" s="733">
        <f>'Plant loading'!L54</f>
        <v>42</v>
      </c>
      <c r="H88" s="712">
        <f>'Plant loading'!J54</f>
        <v>84</v>
      </c>
    </row>
    <row r="89" spans="1:8" ht="10.9" thickBot="1">
      <c r="A89" s="713" t="str">
        <f>'Plant loading'!B55</f>
        <v>PENKS</v>
      </c>
      <c r="B89" s="714" t="str">
        <f>'Plant loading'!C55</f>
        <v>eSure</v>
      </c>
      <c r="C89" s="715">
        <f>('Plant loading'!E55)*(54.5/1000)</f>
        <v>5.5590000000000002</v>
      </c>
      <c r="D89" s="716">
        <f>('Plant loading'!N55+'Plant loading'!Q55)*(54.5/1000)</f>
        <v>0</v>
      </c>
      <c r="E89" s="717">
        <f>'Plant loading'!H55</f>
        <v>12</v>
      </c>
      <c r="F89" s="718">
        <f>'Plant loading'!I55</f>
        <v>3.5</v>
      </c>
      <c r="G89" s="718">
        <f>'Plant loading'!L55</f>
        <v>21</v>
      </c>
      <c r="H89" s="719">
        <f>'Plant loading'!J55</f>
        <v>42</v>
      </c>
    </row>
    <row r="90" spans="1:8">
      <c r="A90" s="704" t="str">
        <f>'Plant loading'!B56</f>
        <v>LLDMTX-DCSYS01</v>
      </c>
      <c r="B90" s="705" t="str">
        <f>'Plant loading'!C56</f>
        <v>HDR48-ES</v>
      </c>
      <c r="C90" s="706">
        <f>('Plant loading'!E56)*(54.5/1000)</f>
        <v>49.704000000000001</v>
      </c>
      <c r="D90" s="707">
        <f>('Plant loading'!N56+'Plant loading'!Q56)*(54.5/1000)</f>
        <v>6.3765000000000001</v>
      </c>
      <c r="E90" s="708">
        <f>'Plant loading'!H56</f>
        <v>44</v>
      </c>
      <c r="F90" s="709">
        <f>'Plant loading'!I56</f>
        <v>3</v>
      </c>
      <c r="G90" s="709">
        <f>'Plant loading'!L56</f>
        <v>63</v>
      </c>
      <c r="H90" s="710">
        <f>'Plant loading'!J56</f>
        <v>132</v>
      </c>
    </row>
    <row r="91" spans="1:8">
      <c r="A91" s="711" t="str">
        <f>'Plant loading'!B57</f>
        <v>LLDMTX-DCSYS02</v>
      </c>
      <c r="B91" s="730" t="str">
        <f>'Plant loading'!C57</f>
        <v>HDR48-ES</v>
      </c>
      <c r="C91" s="727">
        <f>('Plant loading'!E57)*(54.5/1000)</f>
        <v>45.0715</v>
      </c>
      <c r="D91" s="731">
        <f>('Plant loading'!N57+'Plant loading'!Q57)*(54.5/1000)</f>
        <v>7.63</v>
      </c>
      <c r="E91" s="732">
        <f>'Plant loading'!H57</f>
        <v>44</v>
      </c>
      <c r="F91" s="733">
        <f>'Plant loading'!I57</f>
        <v>3</v>
      </c>
      <c r="G91" s="733">
        <f>'Plant loading'!L57</f>
        <v>63</v>
      </c>
      <c r="H91" s="712">
        <f>'Plant loading'!J57</f>
        <v>132</v>
      </c>
    </row>
    <row r="92" spans="1:8">
      <c r="A92" s="711" t="str">
        <f>'Plant loading'!B58</f>
        <v>LLDMTX-DCSYS03</v>
      </c>
      <c r="B92" s="730" t="str">
        <f>'Plant loading'!C58</f>
        <v>HDR48-ES</v>
      </c>
      <c r="C92" s="727">
        <f>('Plant loading'!E58)*(54.5/1000)</f>
        <v>51.774999999999999</v>
      </c>
      <c r="D92" s="731">
        <f>('Plant loading'!N58+'Plant loading'!Q58)*(54.5/1000)</f>
        <v>5.5045000000000002</v>
      </c>
      <c r="E92" s="732">
        <f>'Plant loading'!H58</f>
        <v>44</v>
      </c>
      <c r="F92" s="733">
        <f>'Plant loading'!I58</f>
        <v>3</v>
      </c>
      <c r="G92" s="733">
        <f>'Plant loading'!L58</f>
        <v>63</v>
      </c>
      <c r="H92" s="712">
        <f>'Plant loading'!J58</f>
        <v>132</v>
      </c>
    </row>
    <row r="93" spans="1:8">
      <c r="A93" s="711" t="str">
        <f>'Plant loading'!B59</f>
        <v>LLDMTX-DCSYS04</v>
      </c>
      <c r="B93" s="730" t="str">
        <f>'Plant loading'!C59</f>
        <v>HDR48-ES</v>
      </c>
      <c r="C93" s="727">
        <f>('Plant loading'!E59)*(54.5/1000)</f>
        <v>47.2515</v>
      </c>
      <c r="D93" s="731">
        <f>('Plant loading'!N59+'Plant loading'!Q59)*(54.5/1000)</f>
        <v>3.9784999999999999</v>
      </c>
      <c r="E93" s="732">
        <f>'Plant loading'!H59</f>
        <v>44</v>
      </c>
      <c r="F93" s="733">
        <f>'Plant loading'!I59</f>
        <v>3</v>
      </c>
      <c r="G93" s="733">
        <f>'Plant loading'!L59</f>
        <v>63</v>
      </c>
      <c r="H93" s="712">
        <f>'Plant loading'!J59</f>
        <v>132</v>
      </c>
    </row>
    <row r="94" spans="1:8">
      <c r="A94" s="711" t="str">
        <f>'Plant loading'!B60</f>
        <v>LLDMTX-DCSYS05</v>
      </c>
      <c r="B94" s="730" t="str">
        <f>'Plant loading'!C60</f>
        <v>HDR48-ES</v>
      </c>
      <c r="C94" s="727">
        <f>('Plant loading'!E60)*(54.5/1000)</f>
        <v>49.758499999999998</v>
      </c>
      <c r="D94" s="731">
        <f>('Plant loading'!N60+'Plant loading'!Q60)*(54.5/1000)</f>
        <v>4.6870000000000003</v>
      </c>
      <c r="E94" s="732">
        <f>'Plant loading'!H60</f>
        <v>44</v>
      </c>
      <c r="F94" s="733">
        <f>'Plant loading'!I60</f>
        <v>3</v>
      </c>
      <c r="G94" s="733">
        <f>'Plant loading'!L60</f>
        <v>63</v>
      </c>
      <c r="H94" s="712">
        <f>'Plant loading'!J60</f>
        <v>132</v>
      </c>
    </row>
    <row r="95" spans="1:8">
      <c r="A95" s="711" t="str">
        <f>'Plant loading'!B61</f>
        <v>LLDMTX-DCSYS06</v>
      </c>
      <c r="B95" s="730" t="str">
        <f>'Plant loading'!C61</f>
        <v>HDR48-ES</v>
      </c>
      <c r="C95" s="727">
        <f>('Plant loading'!E61)*(54.5/1000)</f>
        <v>48.9955</v>
      </c>
      <c r="D95" s="731">
        <f>('Plant loading'!N61+'Plant loading'!Q61)*(54.5/1000)</f>
        <v>4.1420000000000003</v>
      </c>
      <c r="E95" s="732">
        <f>'Plant loading'!H61</f>
        <v>44</v>
      </c>
      <c r="F95" s="733">
        <f>'Plant loading'!I61</f>
        <v>3</v>
      </c>
      <c r="G95" s="733">
        <f>'Plant loading'!L61</f>
        <v>63</v>
      </c>
      <c r="H95" s="712">
        <f>'Plant loading'!J61</f>
        <v>132</v>
      </c>
    </row>
    <row r="96" spans="1:8">
      <c r="A96" s="711" t="str">
        <f>'Plant loading'!B62</f>
        <v>LLDMTX-DCSYS07a</v>
      </c>
      <c r="B96" s="730" t="str">
        <f>'Plant loading'!C62</f>
        <v>NPR48-ES</v>
      </c>
      <c r="C96" s="727">
        <f>('Plant loading'!E62)*(54.5/1000)</f>
        <v>21.5275</v>
      </c>
      <c r="D96" s="731">
        <f>('Plant loading'!N62+'Plant loading'!Q62)*(54.5/1000)</f>
        <v>15.369</v>
      </c>
      <c r="E96" s="732">
        <f>'Plant loading'!H62</f>
        <v>35</v>
      </c>
      <c r="F96" s="733">
        <f>'Plant loading'!I62</f>
        <v>3</v>
      </c>
      <c r="G96" s="733">
        <f>'Plant loading'!L62</f>
        <v>51</v>
      </c>
      <c r="H96" s="712">
        <f>'Plant loading'!J62</f>
        <v>105</v>
      </c>
    </row>
    <row r="97" spans="1:8" ht="10.9" thickBot="1">
      <c r="A97" s="711" t="str">
        <f>'Plant loading'!B63</f>
        <v>LLDMTX-DCSYS07b</v>
      </c>
      <c r="B97" s="730" t="str">
        <f>'Plant loading'!C63</f>
        <v>NPR48-ES</v>
      </c>
      <c r="C97" s="727">
        <f>('Plant loading'!E63)*(54.5/1000)</f>
        <v>21.472999999999999</v>
      </c>
      <c r="D97" s="731">
        <f>('Plant loading'!N63+'Plant loading'!Q63)*(54.5/1000)</f>
        <v>15.314500000000001</v>
      </c>
      <c r="E97" s="732">
        <f>'Plant loading'!H63</f>
        <v>35</v>
      </c>
      <c r="F97" s="733">
        <f>'Plant loading'!I63</f>
        <v>3</v>
      </c>
      <c r="G97" s="733">
        <f>'Plant loading'!L63</f>
        <v>51</v>
      </c>
      <c r="H97" s="712">
        <f>'Plant loading'!J63</f>
        <v>105</v>
      </c>
    </row>
    <row r="98" spans="1:8">
      <c r="A98" s="704" t="str">
        <f>'Plant loading'!B64</f>
        <v>PEAMS</v>
      </c>
      <c r="B98" s="705" t="str">
        <f>'Plant loading'!C64</f>
        <v>eSure</v>
      </c>
      <c r="C98" s="706">
        <f>('Plant loading'!E64)*(54.5/1000)</f>
        <v>57.225000000000001</v>
      </c>
      <c r="D98" s="707">
        <f>('Plant loading'!N64+'Plant loading'!Q64)*(54.5/1000)</f>
        <v>13.16175</v>
      </c>
      <c r="E98" s="708">
        <f>'Plant loading'!H64</f>
        <v>42</v>
      </c>
      <c r="F98" s="709">
        <f>'Plant loading'!I64</f>
        <v>3.5</v>
      </c>
      <c r="G98" s="709">
        <f>'Plant loading'!L64</f>
        <v>73</v>
      </c>
      <c r="H98" s="710">
        <f>'Plant loading'!J64</f>
        <v>147</v>
      </c>
    </row>
    <row r="99" spans="1:8">
      <c r="A99" s="711" t="str">
        <f>'Plant loading'!B65</f>
        <v>PEBMS</v>
      </c>
      <c r="B99" s="730" t="str">
        <f>'Plant loading'!C65</f>
        <v>eSure</v>
      </c>
      <c r="C99" s="727">
        <f>('Plant loading'!E65)*(54.5/1000)</f>
        <v>53.682499999999997</v>
      </c>
      <c r="D99" s="731">
        <f>('Plant loading'!N65+'Plant loading'!Q65)*(54.5/1000)</f>
        <v>12.916499999999999</v>
      </c>
      <c r="E99" s="732">
        <f>'Plant loading'!H65</f>
        <v>42</v>
      </c>
      <c r="F99" s="733">
        <f>'Plant loading'!I65</f>
        <v>3.5</v>
      </c>
      <c r="G99" s="733">
        <f>'Plant loading'!L65</f>
        <v>73</v>
      </c>
      <c r="H99" s="712">
        <f>'Plant loading'!J65</f>
        <v>147</v>
      </c>
    </row>
    <row r="100" spans="1:8">
      <c r="A100" s="711" t="str">
        <f>'Plant loading'!B66</f>
        <v>PECMS</v>
      </c>
      <c r="B100" s="730" t="str">
        <f>'Plant loading'!C66</f>
        <v>eSure</v>
      </c>
      <c r="C100" s="727">
        <f>('Plant loading'!E66)*(54.5/1000)</f>
        <v>53.301000000000002</v>
      </c>
      <c r="D100" s="731">
        <f>('Plant loading'!N66+'Plant loading'!Q66)*(54.5/1000)</f>
        <v>16.15925</v>
      </c>
      <c r="E100" s="732">
        <f>'Plant loading'!H66</f>
        <v>42</v>
      </c>
      <c r="F100" s="733">
        <f>'Plant loading'!I66</f>
        <v>3.5</v>
      </c>
      <c r="G100" s="733">
        <f>'Plant loading'!L66</f>
        <v>73</v>
      </c>
      <c r="H100" s="712">
        <f>'Plant loading'!J66</f>
        <v>147</v>
      </c>
    </row>
    <row r="101" spans="1:8">
      <c r="A101" s="711" t="str">
        <f>'Plant loading'!B67</f>
        <v>PEDMS</v>
      </c>
      <c r="B101" s="730" t="str">
        <f>'Plant loading'!C67</f>
        <v>eSure</v>
      </c>
      <c r="C101" s="727">
        <f>('Plant loading'!E67)*(54.5/1000)</f>
        <v>61.585000000000001</v>
      </c>
      <c r="D101" s="731">
        <f>('Plant loading'!N67+'Plant loading'!Q67)*(54.5/1000)</f>
        <v>9.3194999999999997</v>
      </c>
      <c r="E101" s="732">
        <f>'Plant loading'!H67</f>
        <v>42</v>
      </c>
      <c r="F101" s="733">
        <f>'Plant loading'!I67</f>
        <v>3.5</v>
      </c>
      <c r="G101" s="733">
        <f>'Plant loading'!L67</f>
        <v>73</v>
      </c>
      <c r="H101" s="712">
        <f>'Plant loading'!J67</f>
        <v>147</v>
      </c>
    </row>
    <row r="102" spans="1:8">
      <c r="A102" s="711" t="str">
        <f>'Plant loading'!B68</f>
        <v>PEEMS</v>
      </c>
      <c r="B102" s="730" t="str">
        <f>'Plant loading'!C68</f>
        <v>eSure</v>
      </c>
      <c r="C102" s="727">
        <f>('Plant loading'!E68)*(54.5/1000)</f>
        <v>57.006999999999998</v>
      </c>
      <c r="D102" s="731">
        <f>('Plant loading'!N68+'Plant loading'!Q68)*(54.5/1000)</f>
        <v>6.2675000000000001</v>
      </c>
      <c r="E102" s="732">
        <f>'Plant loading'!H68</f>
        <v>42</v>
      </c>
      <c r="F102" s="733">
        <f>'Plant loading'!I68</f>
        <v>3.5</v>
      </c>
      <c r="G102" s="733">
        <f>'Plant loading'!L68</f>
        <v>73</v>
      </c>
      <c r="H102" s="712">
        <f>'Plant loading'!J68</f>
        <v>147</v>
      </c>
    </row>
    <row r="103" spans="1:8">
      <c r="A103" s="711" t="str">
        <f>'Plant loading'!B69</f>
        <v>PEFMS</v>
      </c>
      <c r="B103" s="730" t="str">
        <f>'Plant loading'!C69</f>
        <v>eSure</v>
      </c>
      <c r="C103" s="727">
        <f>('Plant loading'!E69)*(54.5/1000)</f>
        <v>56.625500000000002</v>
      </c>
      <c r="D103" s="731">
        <f>('Plant loading'!N69+'Plant loading'!Q69)*(54.5/1000)</f>
        <v>7.9569999999999999</v>
      </c>
      <c r="E103" s="732">
        <f>'Plant loading'!H69</f>
        <v>42</v>
      </c>
      <c r="F103" s="733">
        <f>'Plant loading'!I69</f>
        <v>3.5</v>
      </c>
      <c r="G103" s="733">
        <f>'Plant loading'!L69</f>
        <v>73</v>
      </c>
      <c r="H103" s="712">
        <f>'Plant loading'!J69</f>
        <v>147</v>
      </c>
    </row>
    <row r="104" spans="1:8">
      <c r="A104" s="711" t="s">
        <v>439</v>
      </c>
      <c r="B104" s="730" t="str">
        <f>'Plant loading'!C70</f>
        <v>NPR48-ES</v>
      </c>
      <c r="C104" s="727">
        <f>('Plant loading'!E70)*(54.5/1000)</f>
        <v>14.224500000000001</v>
      </c>
      <c r="D104" s="731">
        <f>('Plant loading'!N70+'Plant loading'!Q70)*(54.5/1000)</f>
        <v>4.5235000000000003</v>
      </c>
      <c r="E104" s="732">
        <f>'Plant loading'!H70</f>
        <v>16</v>
      </c>
      <c r="F104" s="733">
        <f>'Plant loading'!I70</f>
        <v>3</v>
      </c>
      <c r="G104" s="733">
        <f>'Plant loading'!L70</f>
        <v>21</v>
      </c>
      <c r="H104" s="712">
        <f>'Plant loading'!J70</f>
        <v>48</v>
      </c>
    </row>
    <row r="105" spans="1:8">
      <c r="A105" s="711" t="s">
        <v>440</v>
      </c>
      <c r="B105" s="730" t="str">
        <f>'Plant loading'!C71</f>
        <v>NPR48-ES</v>
      </c>
      <c r="C105" s="727">
        <f>('Plant loading'!E71)*(54.5/1000)</f>
        <v>14.497</v>
      </c>
      <c r="D105" s="731">
        <f>('Plant loading'!N71+'Plant loading'!Q71)*(54.5/1000)</f>
        <v>4.5235000000000003</v>
      </c>
      <c r="E105" s="732">
        <f>'Plant loading'!H71</f>
        <v>16</v>
      </c>
      <c r="F105" s="733">
        <f>'Plant loading'!I71</f>
        <v>3</v>
      </c>
      <c r="G105" s="733">
        <f>'Plant loading'!L71</f>
        <v>21</v>
      </c>
      <c r="H105" s="712">
        <f>'Plant loading'!J71</f>
        <v>48</v>
      </c>
    </row>
    <row r="106" spans="1:8">
      <c r="A106" s="889" t="str">
        <f>'Plant loading'!B72</f>
        <v>OLDMTX-DCSYS01</v>
      </c>
      <c r="B106" s="890" t="str">
        <f>'Plant loading'!C72</f>
        <v>HDR48-ES</v>
      </c>
      <c r="C106" s="891">
        <f>('Plant loading'!E72)*(54.5/1000)</f>
        <v>48.5595</v>
      </c>
      <c r="D106" s="892">
        <f>('Plant loading'!N72+'Plant loading'!Q72)*(54.5/1000)</f>
        <v>8.7744999999999997</v>
      </c>
      <c r="E106" s="893">
        <f>'Plant loading'!H72</f>
        <v>44</v>
      </c>
      <c r="F106" s="894">
        <f>'Plant loading'!I72</f>
        <v>3</v>
      </c>
      <c r="G106" s="894">
        <f>'Plant loading'!L72</f>
        <v>63</v>
      </c>
      <c r="H106" s="895">
        <f>'Plant loading'!J72</f>
        <v>132</v>
      </c>
    </row>
    <row r="107" spans="1:8">
      <c r="A107" s="896" t="str">
        <f>'Plant loading'!B73</f>
        <v>OLDMTX-DCSYS02</v>
      </c>
      <c r="B107" s="730" t="str">
        <f>'Plant loading'!C73</f>
        <v>HDR48-ES</v>
      </c>
      <c r="C107" s="727">
        <f>('Plant loading'!E73)*(54.5/1000)</f>
        <v>44.962499999999999</v>
      </c>
      <c r="D107" s="731">
        <f>('Plant loading'!N73+'Plant loading'!Q73)*(54.5/1000)</f>
        <v>12.153499999999999</v>
      </c>
      <c r="E107" s="732">
        <f>'Plant loading'!H73</f>
        <v>44</v>
      </c>
      <c r="F107" s="733">
        <f>'Plant loading'!I73</f>
        <v>3</v>
      </c>
      <c r="G107" s="733">
        <f>'Plant loading'!L73</f>
        <v>63</v>
      </c>
      <c r="H107" s="897">
        <f>'Plant loading'!J73</f>
        <v>132</v>
      </c>
    </row>
    <row r="108" spans="1:8">
      <c r="A108" s="896" t="str">
        <f>'Plant loading'!B74</f>
        <v>OLDMTX-DCSYS03</v>
      </c>
      <c r="B108" s="730" t="str">
        <f>'Plant loading'!C74</f>
        <v>HDR48-ES</v>
      </c>
      <c r="C108" s="727">
        <f>('Plant loading'!E74)*(54.5/1000)</f>
        <v>44.526499999999999</v>
      </c>
      <c r="D108" s="731">
        <f>('Plant loading'!N74+'Plant loading'!Q74)*(54.5/1000)</f>
        <v>11.118</v>
      </c>
      <c r="E108" s="732">
        <f>'Plant loading'!H74</f>
        <v>44</v>
      </c>
      <c r="F108" s="733">
        <f>'Plant loading'!I74</f>
        <v>3</v>
      </c>
      <c r="G108" s="733">
        <f>'Plant loading'!L74</f>
        <v>63</v>
      </c>
      <c r="H108" s="897">
        <f>'Plant loading'!J74</f>
        <v>132</v>
      </c>
    </row>
    <row r="109" spans="1:8">
      <c r="A109" s="896" t="str">
        <f>'Plant loading'!B75</f>
        <v>OLDMTX-DCSYS04</v>
      </c>
      <c r="B109" s="730" t="str">
        <f>'Plant loading'!C75</f>
        <v>HDR48-ES</v>
      </c>
      <c r="C109" s="727">
        <f>('Plant loading'!E75)*(54.5/1000)</f>
        <v>33.899000000000001</v>
      </c>
      <c r="D109" s="731">
        <f>('Plant loading'!N75+'Plant loading'!Q75)*(54.5/1000)</f>
        <v>10.791</v>
      </c>
      <c r="E109" s="732">
        <f>'Plant loading'!H75</f>
        <v>34</v>
      </c>
      <c r="F109" s="733">
        <f>'Plant loading'!I75</f>
        <v>3</v>
      </c>
      <c r="G109" s="733">
        <f>'Plant loading'!L75</f>
        <v>48</v>
      </c>
      <c r="H109" s="897">
        <f>'Plant loading'!J75</f>
        <v>102</v>
      </c>
    </row>
    <row r="110" spans="1:8">
      <c r="A110" s="896" t="str">
        <f>'Plant loading'!B76</f>
        <v>OLDMTX-DCSYS05</v>
      </c>
      <c r="B110" s="730" t="str">
        <f>'Plant loading'!C76</f>
        <v>HDR48-ES</v>
      </c>
      <c r="C110" s="727">
        <f>('Plant loading'!E76)*(54.5/1000)</f>
        <v>35.316000000000003</v>
      </c>
      <c r="D110" s="731">
        <f>('Plant loading'!N76+'Plant loading'!Q76)*(54.5/1000)</f>
        <v>16.241</v>
      </c>
      <c r="E110" s="732">
        <f>'Plant loading'!H76</f>
        <v>44</v>
      </c>
      <c r="F110" s="733">
        <f>'Plant loading'!I76</f>
        <v>3</v>
      </c>
      <c r="G110" s="733">
        <f>'Plant loading'!L76</f>
        <v>63</v>
      </c>
      <c r="H110" s="897">
        <f>'Plant loading'!J76</f>
        <v>132</v>
      </c>
    </row>
    <row r="111" spans="1:8">
      <c r="A111" s="896" t="str">
        <f>'Plant loading'!B77</f>
        <v>OLDMTX-DCSYS06</v>
      </c>
      <c r="B111" s="730" t="str">
        <f>'Plant loading'!C77</f>
        <v>HDR48-ES</v>
      </c>
      <c r="C111" s="727">
        <f>('Plant loading'!E77)*(54.5/1000)</f>
        <v>35.152500000000003</v>
      </c>
      <c r="D111" s="731">
        <f>('Plant loading'!N77+'Plant loading'!Q77)*(54.5/1000)</f>
        <v>15.042</v>
      </c>
      <c r="E111" s="732">
        <f>'Plant loading'!H77</f>
        <v>44</v>
      </c>
      <c r="F111" s="733">
        <f>'Plant loading'!I77</f>
        <v>3</v>
      </c>
      <c r="G111" s="733">
        <f>'Plant loading'!L77</f>
        <v>63</v>
      </c>
      <c r="H111" s="897">
        <f>'Plant loading'!J77</f>
        <v>132</v>
      </c>
    </row>
    <row r="112" spans="1:8">
      <c r="A112" s="896" t="str">
        <f>'Plant loading'!B78</f>
        <v>OLDMTX-DCSYS07a</v>
      </c>
      <c r="B112" s="730" t="str">
        <f>'Plant loading'!C78</f>
        <v>NPR48-ES</v>
      </c>
      <c r="C112" s="727">
        <f>('Plant loading'!E78)*(54.5/1000)</f>
        <v>26.323499999999999</v>
      </c>
      <c r="D112" s="731">
        <f>('Plant loading'!N78+'Plant loading'!Q78)*(54.5/1000)</f>
        <v>22.780999999999999</v>
      </c>
      <c r="E112" s="732">
        <f>'Plant loading'!H78</f>
        <v>36</v>
      </c>
      <c r="F112" s="733">
        <f>'Plant loading'!I78</f>
        <v>3</v>
      </c>
      <c r="G112" s="733">
        <f>'Plant loading'!L78</f>
        <v>51</v>
      </c>
      <c r="H112" s="897">
        <f>'Plant loading'!J78</f>
        <v>108</v>
      </c>
    </row>
    <row r="113" spans="1:8">
      <c r="A113" s="898" t="str">
        <f>'Plant loading'!B79</f>
        <v>OLDMTX-DCSYS07b</v>
      </c>
      <c r="B113" s="899" t="str">
        <f>'Plant loading'!C79</f>
        <v>NPR48-ES</v>
      </c>
      <c r="C113" s="900">
        <f>('Plant loading'!E79)*(54.5/1000)</f>
        <v>25.832999999999998</v>
      </c>
      <c r="D113" s="901">
        <f>('Plant loading'!N79+'Plant loading'!Q79)*(54.5/1000)</f>
        <v>24.906500000000001</v>
      </c>
      <c r="E113" s="902">
        <f>'Plant loading'!H79</f>
        <v>36</v>
      </c>
      <c r="F113" s="903">
        <f>'Plant loading'!I79</f>
        <v>3</v>
      </c>
      <c r="G113" s="903">
        <f>'Plant loading'!L79</f>
        <v>51</v>
      </c>
      <c r="H113" s="904">
        <f>'Plant loading'!J79</f>
        <v>108</v>
      </c>
    </row>
    <row r="114" spans="1:8">
      <c r="A114" s="711" t="str">
        <f>'Plant loading'!B80</f>
        <v>PEARM</v>
      </c>
      <c r="B114" s="730" t="str">
        <f>'Plant loading'!C80</f>
        <v>eSure</v>
      </c>
      <c r="C114" s="727">
        <f>('Plant loading'!E80)*(54.5/1000)</f>
        <v>21.582000000000001</v>
      </c>
      <c r="D114" s="731">
        <f>('Plant loading'!N80+'Plant loading'!Q80)*(54.5/1000)</f>
        <v>0</v>
      </c>
      <c r="E114" s="732">
        <f>'Plant loading'!H80</f>
        <v>36</v>
      </c>
      <c r="F114" s="733">
        <f>'Plant loading'!I80</f>
        <v>3.5</v>
      </c>
      <c r="G114" s="733">
        <f>'Plant loading'!L80</f>
        <v>63</v>
      </c>
      <c r="H114" s="712">
        <f>'Plant loading'!J80</f>
        <v>126</v>
      </c>
    </row>
    <row r="115" spans="1:8">
      <c r="A115" s="711" t="str">
        <f>'Plant loading'!B81</f>
        <v>PEBRM</v>
      </c>
      <c r="B115" s="730" t="str">
        <f>'Plant loading'!C81</f>
        <v>eSure</v>
      </c>
      <c r="C115" s="727">
        <f>('Plant loading'!E81)*(54.5/1000)</f>
        <v>23.598500000000001</v>
      </c>
      <c r="D115" s="731">
        <f>('Plant loading'!N81+'Plant loading'!Q81)*(54.5/1000)</f>
        <v>3.5425</v>
      </c>
      <c r="E115" s="732">
        <f>'Plant loading'!H81</f>
        <v>36</v>
      </c>
      <c r="F115" s="733">
        <f>'Plant loading'!I81</f>
        <v>3.5</v>
      </c>
      <c r="G115" s="733">
        <f>'Plant loading'!L81</f>
        <v>63</v>
      </c>
      <c r="H115" s="712">
        <f>'Plant loading'!J81</f>
        <v>126</v>
      </c>
    </row>
    <row r="116" spans="1:8">
      <c r="A116" s="711" t="str">
        <f>'Plant loading'!B82</f>
        <v>PECRM</v>
      </c>
      <c r="B116" s="730" t="str">
        <f>'Plant loading'!C82</f>
        <v>eSure</v>
      </c>
      <c r="C116" s="727">
        <f>('Plant loading'!E82)*(54.5/1000)</f>
        <v>28.721499999999999</v>
      </c>
      <c r="D116" s="731">
        <f>('Plant loading'!N82+'Plant loading'!Q82)*(54.5/1000)</f>
        <v>3.5425</v>
      </c>
      <c r="E116" s="732">
        <f>'Plant loading'!H82</f>
        <v>36</v>
      </c>
      <c r="F116" s="733">
        <f>'Plant loading'!I82</f>
        <v>3.5</v>
      </c>
      <c r="G116" s="733">
        <f>'Plant loading'!L82</f>
        <v>63</v>
      </c>
      <c r="H116" s="712">
        <f>'Plant loading'!J82</f>
        <v>126</v>
      </c>
    </row>
    <row r="117" spans="1:8">
      <c r="A117" s="711" t="str">
        <f>'Plant loading'!B83</f>
        <v>PEDRM</v>
      </c>
      <c r="B117" s="730" t="str">
        <f>'Plant loading'!C83</f>
        <v>eSure</v>
      </c>
      <c r="C117" s="727">
        <f>('Plant loading'!E83)*(54.5/1000)</f>
        <v>13.952</v>
      </c>
      <c r="D117" s="731">
        <f>('Plant loading'!N83+'Plant loading'!Q83)*(54.5/1000)</f>
        <v>3.8149999999999999</v>
      </c>
      <c r="E117" s="732">
        <f>'Plant loading'!H83</f>
        <v>36</v>
      </c>
      <c r="F117" s="733">
        <f>'Plant loading'!I83</f>
        <v>3.5</v>
      </c>
      <c r="G117" s="733">
        <f>'Plant loading'!L83</f>
        <v>63</v>
      </c>
      <c r="H117" s="712">
        <f>'Plant loading'!J83</f>
        <v>126</v>
      </c>
    </row>
    <row r="118" spans="1:8" ht="10.9" thickBot="1">
      <c r="A118" s="713" t="str">
        <f>'Plant loading'!B84</f>
        <v>PEERM</v>
      </c>
      <c r="B118" s="714" t="str">
        <f>'Plant loading'!C84</f>
        <v>eSure</v>
      </c>
      <c r="C118" s="715">
        <f>('Plant loading'!E84)*(54.5/1000)</f>
        <v>11.608499999999999</v>
      </c>
      <c r="D118" s="716">
        <f>('Plant loading'!N84+'Plant loading'!Q84)*(54.5/1000)</f>
        <v>3.8149999999999999</v>
      </c>
      <c r="E118" s="717">
        <f>'Plant loading'!H84</f>
        <v>36</v>
      </c>
      <c r="F118" s="718">
        <f>'Plant loading'!I84</f>
        <v>3.5</v>
      </c>
      <c r="G118" s="718">
        <f>'Plant loading'!L84</f>
        <v>63</v>
      </c>
      <c r="H118" s="719">
        <f>'Plant loading'!J84</f>
        <v>126</v>
      </c>
    </row>
    <row r="119" spans="1:8">
      <c r="A119" s="704" t="str">
        <f>'Plant loading'!B85</f>
        <v>PEASN</v>
      </c>
      <c r="B119" s="705" t="str">
        <f>'Plant loading'!C85</f>
        <v>eSure</v>
      </c>
      <c r="C119" s="706">
        <f>('Plant loading'!E85)*(54.5/1000)</f>
        <v>19.62</v>
      </c>
      <c r="D119" s="707">
        <f>('Plant loading'!N85+'Plant loading'!Q85)*(54.5/1000)</f>
        <v>0</v>
      </c>
      <c r="E119" s="708">
        <f>'Plant loading'!H85</f>
        <v>36</v>
      </c>
      <c r="F119" s="709">
        <f>'Plant loading'!I85</f>
        <v>3.5</v>
      </c>
      <c r="G119" s="709">
        <f>'Plant loading'!L85</f>
        <v>63</v>
      </c>
      <c r="H119" s="710">
        <f>'Plant loading'!J85</f>
        <v>126</v>
      </c>
    </row>
    <row r="120" spans="1:8">
      <c r="A120" s="711" t="str">
        <f>'Plant loading'!B86</f>
        <v>PEBSN</v>
      </c>
      <c r="B120" s="730" t="str">
        <f>'Plant loading'!C86</f>
        <v>eSure</v>
      </c>
      <c r="C120" s="727">
        <f>('Plant loading'!E86)*(54.5/1000)</f>
        <v>28.394500000000001</v>
      </c>
      <c r="D120" s="731">
        <f>('Plant loading'!N86+'Plant loading'!Q86)*(54.5/1000)</f>
        <v>9.3740000000000006</v>
      </c>
      <c r="E120" s="732">
        <f>'Plant loading'!H86</f>
        <v>36</v>
      </c>
      <c r="F120" s="733">
        <f>'Plant loading'!I86</f>
        <v>3.5</v>
      </c>
      <c r="G120" s="733">
        <f>'Plant loading'!L86</f>
        <v>63</v>
      </c>
      <c r="H120" s="712">
        <f>'Plant loading'!J86</f>
        <v>126</v>
      </c>
    </row>
    <row r="121" spans="1:8">
      <c r="A121" s="711" t="str">
        <f>'Plant loading'!B87</f>
        <v>PECSN</v>
      </c>
      <c r="B121" s="730" t="str">
        <f>'Plant loading'!C87</f>
        <v>eSure</v>
      </c>
      <c r="C121" s="727">
        <f>('Plant loading'!E87)*(54.5/1000)</f>
        <v>25.942</v>
      </c>
      <c r="D121" s="731">
        <f>('Plant loading'!N87+'Plant loading'!Q87)*(54.5/1000)</f>
        <v>9.3740000000000006</v>
      </c>
      <c r="E121" s="732">
        <f>'Plant loading'!H87</f>
        <v>36</v>
      </c>
      <c r="F121" s="733">
        <f>'Plant loading'!I87</f>
        <v>3.5</v>
      </c>
      <c r="G121" s="733">
        <f>'Plant loading'!L87</f>
        <v>63</v>
      </c>
      <c r="H121" s="712">
        <f>'Plant loading'!J87</f>
        <v>126</v>
      </c>
    </row>
    <row r="122" spans="1:8" ht="10.9" thickBot="1">
      <c r="A122" s="713" t="str">
        <f>'Plant loading'!B88</f>
        <v>PEESN</v>
      </c>
      <c r="B122" s="714" t="str">
        <f>'Plant loading'!C88</f>
        <v>eSure</v>
      </c>
      <c r="C122" s="715">
        <f>('Plant loading'!E88)*(54.5/1000)</f>
        <v>18.748000000000001</v>
      </c>
      <c r="D122" s="716">
        <f>('Plant loading'!N88+'Plant loading'!Q88)*(54.5/1000)</f>
        <v>0</v>
      </c>
      <c r="E122" s="717">
        <f>'Plant loading'!H88</f>
        <v>36</v>
      </c>
      <c r="F122" s="718">
        <f>'Plant loading'!I88</f>
        <v>3.5</v>
      </c>
      <c r="G122" s="718">
        <f>'Plant loading'!L88</f>
        <v>63</v>
      </c>
      <c r="H122" s="719">
        <f>'Plant loading'!J88</f>
        <v>126</v>
      </c>
    </row>
    <row r="123" spans="1:8">
      <c r="A123" s="704" t="str">
        <f>'Plant loading'!B89</f>
        <v>PEASY</v>
      </c>
      <c r="B123" s="705" t="str">
        <f>'Plant loading'!C89</f>
        <v>eSure</v>
      </c>
      <c r="C123" s="706">
        <f>('Plant loading'!E89)*(54.5/1000)</f>
        <v>29.811499999999999</v>
      </c>
      <c r="D123" s="707">
        <f>('Plant loading'!N89+'Plant loading'!Q89)*(54.5/1000)</f>
        <v>0</v>
      </c>
      <c r="E123" s="708">
        <f>'Plant loading'!H89</f>
        <v>36</v>
      </c>
      <c r="F123" s="709">
        <f>'Plant loading'!I89</f>
        <v>3.5</v>
      </c>
      <c r="G123" s="709">
        <f>'Plant loading'!L89</f>
        <v>63</v>
      </c>
      <c r="H123" s="710">
        <f>'Plant loading'!J89</f>
        <v>126</v>
      </c>
    </row>
    <row r="124" spans="1:8">
      <c r="A124" s="711" t="str">
        <f>'Plant loading'!B90</f>
        <v>PEBSY</v>
      </c>
      <c r="B124" s="730" t="str">
        <f>'Plant loading'!C90</f>
        <v>eSure</v>
      </c>
      <c r="C124" s="727">
        <f>('Plant loading'!E90)*(54.5/1000)</f>
        <v>25.614999999999998</v>
      </c>
      <c r="D124" s="731">
        <f>('Plant loading'!N90+'Plant loading'!Q90)*(54.5/1000)</f>
        <v>0</v>
      </c>
      <c r="E124" s="732">
        <f>'Plant loading'!H90</f>
        <v>36</v>
      </c>
      <c r="F124" s="733">
        <f>'Plant loading'!I90</f>
        <v>3.5</v>
      </c>
      <c r="G124" s="733">
        <f>'Plant loading'!L90</f>
        <v>63</v>
      </c>
      <c r="H124" s="712">
        <f>'Plant loading'!J90</f>
        <v>126</v>
      </c>
    </row>
    <row r="125" spans="1:8">
      <c r="A125" s="711" t="str">
        <f>'Plant loading'!B91</f>
        <v>PECSY</v>
      </c>
      <c r="B125" s="730" t="str">
        <f>'Plant loading'!C91</f>
        <v>eSure</v>
      </c>
      <c r="C125" s="727">
        <f>('Plant loading'!E91)*(54.5/1000)</f>
        <v>21.908999999999999</v>
      </c>
      <c r="D125" s="731">
        <f>('Plant loading'!N91+'Plant loading'!Q91)*(54.5/1000)</f>
        <v>0</v>
      </c>
      <c r="E125" s="732">
        <f>'Plant loading'!H91</f>
        <v>36</v>
      </c>
      <c r="F125" s="733">
        <f>'Plant loading'!I91</f>
        <v>3.5</v>
      </c>
      <c r="G125" s="733">
        <f>'Plant loading'!L91</f>
        <v>63</v>
      </c>
      <c r="H125" s="712">
        <f>'Plant loading'!J91</f>
        <v>126</v>
      </c>
    </row>
    <row r="126" spans="1:8">
      <c r="A126" s="711" t="str">
        <f>'Plant loading'!B92</f>
        <v>PEDSY</v>
      </c>
      <c r="B126" s="730" t="str">
        <f>'Plant loading'!C92</f>
        <v>eSure</v>
      </c>
      <c r="C126" s="727">
        <f>('Plant loading'!E92)*(54.5/1000)</f>
        <v>15.314500000000001</v>
      </c>
      <c r="D126" s="731">
        <f>('Plant loading'!N92+'Plant loading'!Q92)*(54.5/1000)</f>
        <v>0</v>
      </c>
      <c r="E126" s="732">
        <f>'Plant loading'!H92</f>
        <v>36</v>
      </c>
      <c r="F126" s="733">
        <f>'Plant loading'!I92</f>
        <v>3.5</v>
      </c>
      <c r="G126" s="733">
        <f>'Plant loading'!L92</f>
        <v>63</v>
      </c>
      <c r="H126" s="712">
        <f>'Plant loading'!J92</f>
        <v>126</v>
      </c>
    </row>
    <row r="127" spans="1:8" ht="10.9" thickBot="1">
      <c r="A127" s="713" t="str">
        <f>'Plant loading'!B93</f>
        <v>PEESY</v>
      </c>
      <c r="B127" s="714" t="str">
        <f>'Plant loading'!C93</f>
        <v>eSure</v>
      </c>
      <c r="C127" s="715">
        <f>('Plant loading'!E93)*(54.5/1000)</f>
        <v>17.222000000000001</v>
      </c>
      <c r="D127" s="716">
        <f>('Plant loading'!N93+'Plant loading'!Q93)*(54.5/1000)</f>
        <v>0</v>
      </c>
      <c r="E127" s="717">
        <f>'Plant loading'!H93</f>
        <v>30</v>
      </c>
      <c r="F127" s="718">
        <f>'Plant loading'!I93</f>
        <v>3.5</v>
      </c>
      <c r="G127" s="718">
        <f>'Plant loading'!L93</f>
        <v>52</v>
      </c>
      <c r="H127" s="719">
        <f>'Plant loading'!J93</f>
        <v>105</v>
      </c>
    </row>
    <row r="128" spans="1:8">
      <c r="A128" s="704" t="str">
        <f>'Plant loading'!B94</f>
        <v>PEFBL</v>
      </c>
      <c r="B128" s="705" t="str">
        <f>'Plant loading'!C94</f>
        <v>NetSure</v>
      </c>
      <c r="C128" s="706">
        <f>('Plant loading'!E94)*(54.5/1000)</f>
        <v>25.669499999999999</v>
      </c>
      <c r="D128" s="707">
        <f>('Plant loading'!N94+'Plant loading'!Q94)*(54.5/1000)</f>
        <v>2.2345000000000002</v>
      </c>
      <c r="E128" s="708">
        <f>'Plant loading'!H94</f>
        <v>36</v>
      </c>
      <c r="F128" s="709">
        <f>'Plant loading'!I94</f>
        <v>3.2</v>
      </c>
      <c r="G128" s="709">
        <f>'Plant loading'!L94</f>
        <v>57</v>
      </c>
      <c r="H128" s="710">
        <f>'Plant loading'!J94</f>
        <v>115</v>
      </c>
    </row>
    <row r="129" spans="1:8" ht="10.9" thickBot="1">
      <c r="A129" s="713" t="str">
        <f>'Plant loading'!B95</f>
        <v>PEHBL</v>
      </c>
      <c r="B129" s="714" t="str">
        <f>'Plant loading'!C95</f>
        <v>NetSure</v>
      </c>
      <c r="C129" s="715">
        <f>('Plant loading'!E95)*(54.5/1000)</f>
        <v>18.148499999999999</v>
      </c>
      <c r="D129" s="716">
        <f>('Plant loading'!N95+'Plant loading'!Q95)*(54.5/1000)</f>
        <v>2.8340000000000001</v>
      </c>
      <c r="E129" s="717">
        <f>'Plant loading'!H95</f>
        <v>36</v>
      </c>
      <c r="F129" s="718">
        <f>'Plant loading'!I95</f>
        <v>3.2</v>
      </c>
      <c r="G129" s="718">
        <f>'Plant loading'!L95</f>
        <v>57</v>
      </c>
      <c r="H129" s="719">
        <f>'Plant loading'!J95</f>
        <v>115</v>
      </c>
    </row>
    <row r="130" spans="1:8">
      <c r="A130" s="704" t="str">
        <f>'Plant loading'!B96</f>
        <v>PECCF</v>
      </c>
      <c r="B130" s="705" t="str">
        <f>'Plant loading'!C96</f>
        <v>NetSure</v>
      </c>
      <c r="C130" s="706">
        <f>('Plant loading'!E96)*(54.5/1000)</f>
        <v>19.456499999999998</v>
      </c>
      <c r="D130" s="707">
        <f>('Plant loading'!N96+'Plant loading'!Q96)*(54.5/1000)</f>
        <v>2.3980000000000001</v>
      </c>
      <c r="E130" s="708">
        <f>'Plant loading'!H96</f>
        <v>36</v>
      </c>
      <c r="F130" s="709">
        <f>'Plant loading'!I96</f>
        <v>3.2</v>
      </c>
      <c r="G130" s="709">
        <f>'Plant loading'!L96</f>
        <v>57</v>
      </c>
      <c r="H130" s="710">
        <f>'Plant loading'!J96</f>
        <v>115</v>
      </c>
    </row>
    <row r="131" spans="1:8">
      <c r="A131" s="711" t="str">
        <f>'Plant loading'!B97</f>
        <v>PEDCF</v>
      </c>
      <c r="B131" s="730" t="str">
        <f>'Plant loading'!C97</f>
        <v>NetSure</v>
      </c>
      <c r="C131" s="727">
        <f>('Plant loading'!E97)*(54.5/1000)</f>
        <v>9.0470000000000006</v>
      </c>
      <c r="D131" s="731">
        <f>('Plant loading'!N97+'Plant loading'!Q97)*(54.5/1000)</f>
        <v>2.3980000000000001</v>
      </c>
      <c r="E131" s="732">
        <f>'Plant loading'!H97</f>
        <v>18</v>
      </c>
      <c r="F131" s="733">
        <f>'Plant loading'!I97</f>
        <v>3.2</v>
      </c>
      <c r="G131" s="733">
        <f>'Plant loading'!L97</f>
        <v>28</v>
      </c>
      <c r="H131" s="712">
        <f>'Plant loading'!J97</f>
        <v>57</v>
      </c>
    </row>
    <row r="132" spans="1:8" ht="10.9" thickBot="1">
      <c r="A132" s="713" t="str">
        <f>'Plant loading'!B98</f>
        <v>PEECF</v>
      </c>
      <c r="B132" s="714" t="str">
        <f>'Plant loading'!C98</f>
        <v>NetSure</v>
      </c>
      <c r="C132" s="715">
        <f>('Plant loading'!E98)*(54.5/1000)</f>
        <v>11.390499999999999</v>
      </c>
      <c r="D132" s="716">
        <f>('Plant loading'!N98+'Plant loading'!Q98)*(54.5/1000)</f>
        <v>0</v>
      </c>
      <c r="E132" s="717">
        <f>'Plant loading'!H98</f>
        <v>18</v>
      </c>
      <c r="F132" s="718">
        <f>'Plant loading'!I98</f>
        <v>3.2</v>
      </c>
      <c r="G132" s="718">
        <f>'Plant loading'!L98</f>
        <v>28</v>
      </c>
      <c r="H132" s="719">
        <f>'Plant loading'!J98</f>
        <v>57</v>
      </c>
    </row>
    <row r="133" spans="1:8">
      <c r="A133" s="704" t="str">
        <f>'Plant loading'!B99</f>
        <v>PEACE</v>
      </c>
      <c r="B133" s="705" t="str">
        <f>'Plant loading'!C99</f>
        <v>NetSure</v>
      </c>
      <c r="C133" s="706">
        <f>('Plant loading'!E99)*(54.5/1000)</f>
        <v>21.7455</v>
      </c>
      <c r="D133" s="707">
        <f>('Plant loading'!N99+'Plant loading'!Q99)*(54.5/1000)</f>
        <v>7.3029999999999999</v>
      </c>
      <c r="E133" s="708">
        <f>'Plant loading'!H99</f>
        <v>36</v>
      </c>
      <c r="F133" s="709">
        <f>'Plant loading'!I99</f>
        <v>3.2</v>
      </c>
      <c r="G133" s="709">
        <f>'Plant loading'!L99</f>
        <v>57</v>
      </c>
      <c r="H133" s="710">
        <f>'Plant loading'!J99</f>
        <v>115</v>
      </c>
    </row>
    <row r="134" spans="1:8" ht="10.9" thickBot="1">
      <c r="A134" s="713" t="str">
        <f>'Plant loading'!B100</f>
        <v>PEBCE</v>
      </c>
      <c r="B134" s="714" t="str">
        <f>'Plant loading'!C100</f>
        <v>NetSure</v>
      </c>
      <c r="C134" s="715">
        <f>('Plant loading'!E100)*(54.5/1000)</f>
        <v>24.470500000000001</v>
      </c>
      <c r="D134" s="716">
        <f>('Plant loading'!N100+'Plant loading'!Q100)*(54.5/1000)</f>
        <v>7.3029999999999999</v>
      </c>
      <c r="E134" s="717">
        <f>'Plant loading'!H100</f>
        <v>36</v>
      </c>
      <c r="F134" s="718">
        <f>'Plant loading'!I100</f>
        <v>3.2</v>
      </c>
      <c r="G134" s="718">
        <f>'Plant loading'!L100</f>
        <v>57</v>
      </c>
      <c r="H134" s="719">
        <f>'Plant loading'!J100</f>
        <v>115</v>
      </c>
    </row>
    <row r="135" spans="1:8">
      <c r="A135" s="704" t="str">
        <f>'Plant loading'!B101</f>
        <v>PEFCN</v>
      </c>
      <c r="B135" s="705" t="str">
        <f>'Plant loading'!C101</f>
        <v>NetSure</v>
      </c>
      <c r="C135" s="706">
        <f>('Plant loading'!E101)*(54.5/1000)</f>
        <v>16.513500000000001</v>
      </c>
      <c r="D135" s="707">
        <f>('Plant loading'!N101+'Plant loading'!Q101)*(54.5/1000)</f>
        <v>2.3980000000000001</v>
      </c>
      <c r="E135" s="708">
        <f>'Plant loading'!H101</f>
        <v>36</v>
      </c>
      <c r="F135" s="709">
        <f>'Plant loading'!I101</f>
        <v>3.2</v>
      </c>
      <c r="G135" s="709">
        <f>'Plant loading'!L101</f>
        <v>57</v>
      </c>
      <c r="H135" s="710">
        <f>'Plant loading'!J101</f>
        <v>115</v>
      </c>
    </row>
    <row r="136" spans="1:8" ht="10.9" thickBot="1">
      <c r="A136" s="713" t="str">
        <f>'Plant loading'!B102</f>
        <v>PEGCN</v>
      </c>
      <c r="B136" s="714" t="str">
        <f>'Plant loading'!C102</f>
        <v>NetSure</v>
      </c>
      <c r="C136" s="715">
        <f>('Plant loading'!E102)*(54.5/1000)</f>
        <v>21.5275</v>
      </c>
      <c r="D136" s="716">
        <f>('Plant loading'!N102+'Plant loading'!Q102)*(54.5/1000)</f>
        <v>2.3980000000000001</v>
      </c>
      <c r="E136" s="717">
        <f>'Plant loading'!H102</f>
        <v>36</v>
      </c>
      <c r="F136" s="718">
        <f>'Plant loading'!I102</f>
        <v>3.2</v>
      </c>
      <c r="G136" s="718">
        <f>'Plant loading'!L102</f>
        <v>57</v>
      </c>
      <c r="H136" s="719">
        <f>'Plant loading'!J102</f>
        <v>115</v>
      </c>
    </row>
    <row r="137" spans="1:8">
      <c r="A137" s="704" t="str">
        <f>'Plant loading'!B103</f>
        <v>PEJGW</v>
      </c>
      <c r="B137" s="705" t="str">
        <f>'Plant loading'!C103</f>
        <v>eSure</v>
      </c>
      <c r="C137" s="706">
        <f>('Plant loading'!E103)*(54.5/1000)</f>
        <v>4.9050000000000002</v>
      </c>
      <c r="D137" s="707">
        <f>('Plant loading'!N103+'Plant loading'!Q103)*(54.5/1000)</f>
        <v>0</v>
      </c>
      <c r="E137" s="708">
        <f>'Plant loading'!H103</f>
        <v>9</v>
      </c>
      <c r="F137" s="709">
        <f>'Plant loading'!I103</f>
        <v>3.5</v>
      </c>
      <c r="G137" s="709">
        <f>'Plant loading'!L103</f>
        <v>21</v>
      </c>
      <c r="H137" s="710">
        <f>'Plant loading'!J103</f>
        <v>31</v>
      </c>
    </row>
    <row r="138" spans="1:8" ht="10.9" thickBot="1">
      <c r="A138" s="713" t="str">
        <f>'Plant loading'!B104</f>
        <v>PEKGW</v>
      </c>
      <c r="B138" s="714" t="str">
        <f>'Plant loading'!C104</f>
        <v>eSure</v>
      </c>
      <c r="C138" s="715">
        <f>('Plant loading'!E104)*(54.5/1000)</f>
        <v>4.6325000000000003</v>
      </c>
      <c r="D138" s="716">
        <f>('Plant loading'!N104+'Plant loading'!Q104)*(54.5/1000)</f>
        <v>0</v>
      </c>
      <c r="E138" s="717">
        <f>'Plant loading'!H104</f>
        <v>9</v>
      </c>
      <c r="F138" s="718">
        <f>'Plant loading'!I104</f>
        <v>3.5</v>
      </c>
      <c r="G138" s="718">
        <f>'Plant loading'!L104</f>
        <v>21</v>
      </c>
      <c r="H138" s="719">
        <f>'Plant loading'!J104</f>
        <v>31</v>
      </c>
    </row>
    <row r="139" spans="1:8">
      <c r="A139" s="704" t="str">
        <f>'Plant loading'!B105</f>
        <v>PEFLR</v>
      </c>
      <c r="B139" s="705" t="str">
        <f>'Plant loading'!C105</f>
        <v>NetSure</v>
      </c>
      <c r="C139" s="706">
        <f>('Plant loading'!E105)*(54.5/1000)</f>
        <v>33.899000000000001</v>
      </c>
      <c r="D139" s="707">
        <f>('Plant loading'!N105+'Plant loading'!Q105)*(54.5/1000)</f>
        <v>0</v>
      </c>
      <c r="E139" s="708">
        <f>'Plant loading'!H105</f>
        <v>36</v>
      </c>
      <c r="F139" s="709">
        <f>'Plant loading'!I105</f>
        <v>3.2</v>
      </c>
      <c r="G139" s="709">
        <f>'Plant loading'!L105</f>
        <v>57</v>
      </c>
      <c r="H139" s="710">
        <f>'Plant loading'!J105</f>
        <v>115</v>
      </c>
    </row>
    <row r="140" spans="1:8" ht="10.9" thickBot="1">
      <c r="A140" s="713" t="str">
        <f>'Plant loading'!B106</f>
        <v>PEGLR</v>
      </c>
      <c r="B140" s="714" t="str">
        <f>'Plant loading'!C106</f>
        <v>NetSure</v>
      </c>
      <c r="C140" s="715">
        <f>('Plant loading'!E106)*(54.5/1000)</f>
        <v>28.449000000000002</v>
      </c>
      <c r="D140" s="716">
        <f>('Plant loading'!N106+'Plant loading'!Q106)*(54.5/1000)</f>
        <v>0</v>
      </c>
      <c r="E140" s="717">
        <f>'Plant loading'!H106</f>
        <v>36</v>
      </c>
      <c r="F140" s="718">
        <f>'Plant loading'!I106</f>
        <v>3.2</v>
      </c>
      <c r="G140" s="718">
        <f>'Plant loading'!L106</f>
        <v>57</v>
      </c>
      <c r="H140" s="719">
        <f>'Plant loading'!J106</f>
        <v>115</v>
      </c>
    </row>
    <row r="141" spans="1:8">
      <c r="A141" s="704" t="str">
        <f>'Plant loading'!B107</f>
        <v>PEGNY</v>
      </c>
      <c r="B141" s="705" t="str">
        <f>'Plant loading'!C107</f>
        <v>NetSure</v>
      </c>
      <c r="C141" s="706">
        <f>('Plant loading'!E107)*(54.5/1000)</f>
        <v>17.658000000000001</v>
      </c>
      <c r="D141" s="707">
        <f>('Plant loading'!N107+'Plant loading'!Q107)*(54.5/1000)</f>
        <v>0</v>
      </c>
      <c r="E141" s="708">
        <f>'Plant loading'!H107</f>
        <v>36</v>
      </c>
      <c r="F141" s="709">
        <f>'Plant loading'!I107</f>
        <v>3.2</v>
      </c>
      <c r="G141" s="709">
        <f>'Plant loading'!L107</f>
        <v>57</v>
      </c>
      <c r="H141" s="710">
        <f>'Plant loading'!J107</f>
        <v>115</v>
      </c>
    </row>
    <row r="142" spans="1:8">
      <c r="A142" s="711" t="str">
        <f>'Plant loading'!B108</f>
        <v>PEHNY</v>
      </c>
      <c r="B142" s="730" t="str">
        <f>'Plant loading'!C108</f>
        <v>NetSure</v>
      </c>
      <c r="C142" s="727">
        <f>('Plant loading'!E108)*(54.5/1000)</f>
        <v>16.077500000000001</v>
      </c>
      <c r="D142" s="731">
        <f>('Plant loading'!N108+'Plant loading'!Q108)*(54.5/1000)</f>
        <v>0</v>
      </c>
      <c r="E142" s="732">
        <f>'Plant loading'!H108</f>
        <v>36</v>
      </c>
      <c r="F142" s="733">
        <f>'Plant loading'!I108</f>
        <v>3.2</v>
      </c>
      <c r="G142" s="733">
        <f>'Plant loading'!L108</f>
        <v>57</v>
      </c>
      <c r="H142" s="712">
        <f>'Plant loading'!J108</f>
        <v>115</v>
      </c>
    </row>
    <row r="143" spans="1:8">
      <c r="A143" s="704" t="str">
        <f>'Plant loading'!B109</f>
        <v>PEENE</v>
      </c>
      <c r="B143" s="705" t="str">
        <f>'Plant loading'!C109</f>
        <v>NetSure</v>
      </c>
      <c r="C143" s="706">
        <f>('Plant loading'!E109)*(54.5/1000)</f>
        <v>16.677</v>
      </c>
      <c r="D143" s="707">
        <f>('Plant loading'!N109+'Plant loading'!Q109)*(54.5/1000)</f>
        <v>3.2155</v>
      </c>
      <c r="E143" s="708">
        <f>'Plant loading'!H109</f>
        <v>36</v>
      </c>
      <c r="F143" s="709">
        <f>'Plant loading'!I109</f>
        <v>3.2</v>
      </c>
      <c r="G143" s="709">
        <f>'Plant loading'!L109</f>
        <v>57</v>
      </c>
      <c r="H143" s="710">
        <f>'Plant loading'!J109</f>
        <v>115</v>
      </c>
    </row>
    <row r="144" spans="1:8">
      <c r="A144" s="711" t="str">
        <f>'Plant loading'!B110</f>
        <v>PEFNE</v>
      </c>
      <c r="B144" s="730" t="str">
        <f>'Plant loading'!C110</f>
        <v>NetSure</v>
      </c>
      <c r="C144" s="727">
        <f>('Plant loading'!E110)*(54.5/1000)</f>
        <v>19.62</v>
      </c>
      <c r="D144" s="731">
        <f>('Plant loading'!N110+'Plant loading'!Q110)*(54.5/1000)</f>
        <v>4.3055000000000003</v>
      </c>
      <c r="E144" s="732">
        <f>'Plant loading'!H110</f>
        <v>36</v>
      </c>
      <c r="F144" s="733">
        <f>'Plant loading'!I110</f>
        <v>3.2</v>
      </c>
      <c r="G144" s="733">
        <f>'Plant loading'!L110</f>
        <v>57</v>
      </c>
      <c r="H144" s="712">
        <f>'Plant loading'!J110</f>
        <v>115</v>
      </c>
    </row>
    <row r="145" spans="1:8" ht="10.9" thickBot="1">
      <c r="A145" s="713" t="str">
        <f>'Plant loading'!B111</f>
        <v>PEGNE</v>
      </c>
      <c r="B145" s="714" t="str">
        <f>'Plant loading'!C111</f>
        <v>NetSure</v>
      </c>
      <c r="C145" s="715">
        <f>('Plant loading'!E111)*(54.5/1000)</f>
        <v>8.2840000000000007</v>
      </c>
      <c r="D145" s="716">
        <f>('Plant loading'!N111+'Plant loading'!Q111)*(54.5/1000)</f>
        <v>1.0900000000000001</v>
      </c>
      <c r="E145" s="717">
        <f>'Plant loading'!H111</f>
        <v>18</v>
      </c>
      <c r="F145" s="718">
        <f>'Plant loading'!I111</f>
        <v>3.2</v>
      </c>
      <c r="G145" s="718">
        <f>'Plant loading'!L111</f>
        <v>28</v>
      </c>
      <c r="H145" s="719">
        <f>'Plant loading'!J111</f>
        <v>57</v>
      </c>
    </row>
    <row r="146" spans="1:8">
      <c r="A146" s="704" t="str">
        <f>'Plant loading'!B112</f>
        <v>PECOD</v>
      </c>
      <c r="B146" s="705" t="str">
        <f>'Plant loading'!C112</f>
        <v>NetSure</v>
      </c>
      <c r="C146" s="706">
        <f>('Plant loading'!E112)*(54.5/1000)</f>
        <v>11.663</v>
      </c>
      <c r="D146" s="707">
        <f>('Plant loading'!N112+'Plant loading'!Q112)*(54.5/1000)</f>
        <v>5.8315000000000001</v>
      </c>
      <c r="E146" s="708">
        <f>'Plant loading'!H112</f>
        <v>36</v>
      </c>
      <c r="F146" s="709">
        <f>'Plant loading'!I112</f>
        <v>3.2</v>
      </c>
      <c r="G146" s="709">
        <f>'Plant loading'!L112</f>
        <v>57</v>
      </c>
      <c r="H146" s="710">
        <f>'Plant loading'!J112</f>
        <v>115</v>
      </c>
    </row>
    <row r="147" spans="1:8" ht="10.9" thickBot="1">
      <c r="A147" s="713" t="str">
        <f>'Plant loading'!B113</f>
        <v>PEFOD</v>
      </c>
      <c r="B147" s="714" t="str">
        <f>'Plant loading'!C113</f>
        <v>NetSure</v>
      </c>
      <c r="C147" s="715">
        <f>('Plant loading'!E113)*(54.5/1000)</f>
        <v>7.63</v>
      </c>
      <c r="D147" s="716">
        <f>('Plant loading'!N113+'Plant loading'!Q113)*(54.5/1000)</f>
        <v>5.8315000000000001</v>
      </c>
      <c r="E147" s="717">
        <f>'Plant loading'!H113</f>
        <v>30</v>
      </c>
      <c r="F147" s="718">
        <f>'Plant loading'!I113</f>
        <v>3.2</v>
      </c>
      <c r="G147" s="718">
        <f>'Plant loading'!L113</f>
        <v>48</v>
      </c>
      <c r="H147" s="719">
        <f>'Plant loading'!J113</f>
        <v>96</v>
      </c>
    </row>
    <row r="148" spans="1:8">
      <c r="A148" s="704" t="str">
        <f>'Plant loading'!B114</f>
        <v>PEESD</v>
      </c>
      <c r="B148" s="705" t="str">
        <f>'Plant loading'!C114</f>
        <v>NetSure</v>
      </c>
      <c r="C148" s="706">
        <f>('Plant loading'!E114)*(54.5/1000)</f>
        <v>21.418500000000002</v>
      </c>
      <c r="D148" s="707">
        <f>('Plant loading'!N114+'Plant loading'!Q114)*(54.5/1000)</f>
        <v>0</v>
      </c>
      <c r="E148" s="708">
        <f>'Plant loading'!H114</f>
        <v>36</v>
      </c>
      <c r="F148" s="709">
        <f>'Plant loading'!I114</f>
        <v>3.2</v>
      </c>
      <c r="G148" s="709">
        <f>'Plant loading'!L114</f>
        <v>57</v>
      </c>
      <c r="H148" s="710">
        <f>'Plant loading'!J114</f>
        <v>115</v>
      </c>
    </row>
    <row r="149" spans="1:8" ht="10.9" thickBot="1">
      <c r="A149" s="713" t="str">
        <f>'Plant loading'!B115</f>
        <v>PEGSD</v>
      </c>
      <c r="B149" s="714" t="str">
        <f>'Plant loading'!C115</f>
        <v>NetSure</v>
      </c>
      <c r="C149" s="715">
        <f>('Plant loading'!E115)*(54.5/1000)</f>
        <v>22.8355</v>
      </c>
      <c r="D149" s="716">
        <f>('Plant loading'!N115+'Plant loading'!Q115)*(54.5/1000)</f>
        <v>0</v>
      </c>
      <c r="E149" s="717">
        <f>'Plant loading'!H115</f>
        <v>36</v>
      </c>
      <c r="F149" s="718">
        <f>'Plant loading'!I115</f>
        <v>3.2</v>
      </c>
      <c r="G149" s="718">
        <f>'Plant loading'!L115</f>
        <v>57</v>
      </c>
      <c r="H149" s="719">
        <f>'Plant loading'!J115</f>
        <v>115</v>
      </c>
    </row>
    <row r="150" spans="1:8">
      <c r="A150" s="704" t="str">
        <f>'Plant loading'!B116</f>
        <v>PELWN</v>
      </c>
      <c r="B150" s="705" t="str">
        <f>'Plant loading'!C116</f>
        <v>NetSure</v>
      </c>
      <c r="C150" s="706">
        <f>('Plant loading'!E116)*(54.5/1000)</f>
        <v>11.390499999999999</v>
      </c>
      <c r="D150" s="707">
        <f>('Plant loading'!N116+'Plant loading'!Q116)*(54.5/1000)</f>
        <v>0</v>
      </c>
      <c r="E150" s="708">
        <f>'Plant loading'!H116</f>
        <v>18</v>
      </c>
      <c r="F150" s="709">
        <f>'Plant loading'!I116</f>
        <v>3.2</v>
      </c>
      <c r="G150" s="709">
        <f>'Plant loading'!L116</f>
        <v>28</v>
      </c>
      <c r="H150" s="710">
        <f>'Plant loading'!J116</f>
        <v>57</v>
      </c>
    </row>
    <row r="151" spans="1:8">
      <c r="A151" s="711" t="str">
        <f>'Plant loading'!B117</f>
        <v>PEMWN</v>
      </c>
      <c r="B151" s="730" t="str">
        <f>'Plant loading'!C117</f>
        <v>NetSure</v>
      </c>
      <c r="C151" s="727">
        <f>('Plant loading'!E117)*(54.5/1000)</f>
        <v>8.5020000000000007</v>
      </c>
      <c r="D151" s="731">
        <f>('Plant loading'!N117+'Plant loading'!Q117)*(54.5/1000)</f>
        <v>0</v>
      </c>
      <c r="E151" s="732">
        <f>'Plant loading'!H117</f>
        <v>18</v>
      </c>
      <c r="F151" s="733">
        <f>'Plant loading'!I117</f>
        <v>3.2</v>
      </c>
      <c r="G151" s="733">
        <f>'Plant loading'!L117</f>
        <v>28</v>
      </c>
      <c r="H151" s="712">
        <f>'Plant loading'!J117</f>
        <v>57</v>
      </c>
    </row>
    <row r="152" spans="1:8" ht="10.9" thickBot="1">
      <c r="A152" s="713" t="str">
        <f>'Plant loading'!B118</f>
        <v>PENWN</v>
      </c>
      <c r="B152" s="714" t="str">
        <f>'Plant loading'!C118</f>
        <v>NetSure</v>
      </c>
      <c r="C152" s="715">
        <f>('Plant loading'!E118)*(54.5/1000)</f>
        <v>19.62</v>
      </c>
      <c r="D152" s="716">
        <f>('Plant loading'!N118+'Plant loading'!Q118)*(54.5/1000)</f>
        <v>0</v>
      </c>
      <c r="E152" s="717">
        <f>'Plant loading'!H118</f>
        <v>18</v>
      </c>
      <c r="F152" s="718">
        <f>'Plant loading'!I118</f>
        <v>3.2</v>
      </c>
      <c r="G152" s="718">
        <f>'Plant loading'!L118</f>
        <v>28</v>
      </c>
      <c r="H152" s="719">
        <f>'Plant loading'!J118</f>
        <v>57</v>
      </c>
    </row>
    <row r="153" spans="1:8">
      <c r="A153" s="5"/>
    </row>
  </sheetData>
  <mergeCells count="2">
    <mergeCell ref="B2:E2"/>
    <mergeCell ref="I8:J8"/>
  </mergeCells>
  <pageMargins left="0.7" right="0.7" top="0.75" bottom="0.75" header="0.3" footer="0.3"/>
  <pageSetup paperSize="9" orientation="portrait" r:id="rId1"/>
  <headerFooter>
    <oddFooter>&amp;L&amp;1#&amp;"Calibri"&amp;7&amp;K000000C2 General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47-1F9D-4A9C-8DAC-DC9A3F92FABE}">
  <sheetPr codeName="Sheet15"/>
  <dimension ref="B4:AK136"/>
  <sheetViews>
    <sheetView zoomScale="70" zoomScaleNormal="70" workbookViewId="0">
      <selection activeCell="O15" sqref="O15"/>
    </sheetView>
  </sheetViews>
  <sheetFormatPr defaultRowHeight="10.15"/>
  <cols>
    <col min="3" max="15" width="20.5" customWidth="1"/>
    <col min="16" max="16" width="10.33203125" customWidth="1"/>
    <col min="18" max="18" width="12" customWidth="1"/>
    <col min="22" max="22" width="12" customWidth="1"/>
    <col min="23" max="23" width="11.6640625" customWidth="1"/>
    <col min="24" max="24" width="11.5" customWidth="1"/>
    <col min="26" max="26" width="12.5" customWidth="1"/>
  </cols>
  <sheetData>
    <row r="4" spans="3:26" ht="41.45">
      <c r="K4" s="940" t="s">
        <v>441</v>
      </c>
    </row>
    <row r="5" spans="3:26" s="916" customFormat="1" ht="55.15">
      <c r="C5" s="914" t="s">
        <v>442</v>
      </c>
      <c r="D5" s="918" t="s">
        <v>443</v>
      </c>
      <c r="E5" s="918" t="s">
        <v>444</v>
      </c>
      <c r="F5" s="934" t="s">
        <v>445</v>
      </c>
      <c r="G5" s="918" t="s">
        <v>446</v>
      </c>
      <c r="H5" s="918" t="s">
        <v>447</v>
      </c>
      <c r="I5" s="918" t="s">
        <v>448</v>
      </c>
      <c r="J5" s="918" t="s">
        <v>449</v>
      </c>
      <c r="K5" s="918" t="s">
        <v>450</v>
      </c>
      <c r="L5" s="918" t="s">
        <v>451</v>
      </c>
      <c r="M5" s="942" t="s">
        <v>452</v>
      </c>
      <c r="N5" s="945" t="s">
        <v>453</v>
      </c>
      <c r="O5" s="948" t="s">
        <v>454</v>
      </c>
      <c r="P5" s="945" t="s">
        <v>455</v>
      </c>
      <c r="Q5" s="943" t="s">
        <v>456</v>
      </c>
      <c r="R5" s="918" t="s">
        <v>457</v>
      </c>
      <c r="S5" s="934">
        <v>0.8</v>
      </c>
      <c r="T5" s="918"/>
      <c r="V5" s="1038" t="s">
        <v>458</v>
      </c>
      <c r="W5" s="1038" t="s">
        <v>459</v>
      </c>
      <c r="X5" s="1038" t="s">
        <v>460</v>
      </c>
      <c r="Y5" s="1038" t="s">
        <v>461</v>
      </c>
      <c r="Z5" s="1038" t="s">
        <v>462</v>
      </c>
    </row>
    <row r="6" spans="3:26" ht="13.9">
      <c r="C6" s="915" t="s">
        <v>330</v>
      </c>
      <c r="D6" s="919" cm="1">
        <f t="array" ref="D6">SUM('Plant loading'!T72:T74+'Plant loading'!V72:V74)</f>
        <v>464.61250000000001</v>
      </c>
      <c r="E6" s="919">
        <f>D6*0.9</f>
        <v>418.15125</v>
      </c>
      <c r="F6" s="919">
        <f>D6*0.1</f>
        <v>46.461250000000007</v>
      </c>
      <c r="G6" s="919">
        <f>SUM('Plant loading'!G72:G74)</f>
        <v>294.57249999999999</v>
      </c>
      <c r="H6" s="919">
        <f>SUM('Plant loading'!P72:P74)</f>
        <v>105.5665</v>
      </c>
      <c r="I6" s="919">
        <f>SUM('Plant loading'!R72:R74)</f>
        <v>16.241</v>
      </c>
      <c r="J6" s="919">
        <f>SUM(G6:I6)</f>
        <v>416.38</v>
      </c>
      <c r="K6" s="919">
        <f>SUM(E6-J6)</f>
        <v>1.7712500000000091</v>
      </c>
      <c r="L6" s="919">
        <f>SUM(E6-(I6+G6))</f>
        <v>107.33775000000003</v>
      </c>
      <c r="M6" s="917" t="str">
        <f>[4]Sheet1!$W$15</f>
        <v>Dell S5248F</v>
      </c>
      <c r="N6" s="944" t="str">
        <f>[4]Sheet1!$W$4</f>
        <v>Dell S5248F</v>
      </c>
      <c r="O6" s="949">
        <f>SUM('Plant loading'!V72:V74)</f>
        <v>48.232500000000002</v>
      </c>
      <c r="P6" s="951"/>
      <c r="Q6" s="1039">
        <f>SUM(D6*0.85)</f>
        <v>394.92062499999997</v>
      </c>
      <c r="R6" s="1040">
        <f t="shared" ref="R6:R13" si="0">SUM(Q6-J6)</f>
        <v>-21.459375000000023</v>
      </c>
      <c r="S6" s="1041">
        <f t="shared" ref="S6:S13" si="1">SUM(D6*0.8)</f>
        <v>371.69000000000005</v>
      </c>
      <c r="T6" s="1040">
        <f t="shared" ref="T6:T13" si="2">SUM(S6-J6)</f>
        <v>-44.689999999999941</v>
      </c>
      <c r="U6" s="1042"/>
      <c r="V6" s="946" t="e">
        <f>N6/M6</f>
        <v>#VALUE!</v>
      </c>
      <c r="W6" s="947" t="s">
        <v>463</v>
      </c>
      <c r="X6" s="947">
        <v>6.5</v>
      </c>
      <c r="Y6" s="947">
        <v>5</v>
      </c>
      <c r="Z6" s="946">
        <f>Y6/X6</f>
        <v>0.76923076923076927</v>
      </c>
    </row>
    <row r="7" spans="3:26" ht="13.9">
      <c r="C7" s="915" t="s">
        <v>297</v>
      </c>
      <c r="D7" s="919" cm="1">
        <f t="array" ref="D7">SUM('Plant loading'!T39:T41+'Plant loading'!V39:V41)</f>
        <v>461.6149999999999</v>
      </c>
      <c r="E7" s="919">
        <f t="shared" ref="E7:E12" si="3">D7*0.9</f>
        <v>415.45349999999991</v>
      </c>
      <c r="F7" s="919">
        <f t="shared" ref="F7:F13" si="4">D7*0.1</f>
        <v>46.16149999999999</v>
      </c>
      <c r="G7" s="919">
        <f>SUM('Plant loading'!G39:G41)</f>
        <v>285.798</v>
      </c>
      <c r="H7" s="919">
        <f>SUM('Plant loading'!P39:P41)</f>
        <v>67.307500000000005</v>
      </c>
      <c r="I7" s="919">
        <f>SUM('Plant loading'!R39:R41)</f>
        <v>20.388449999999999</v>
      </c>
      <c r="J7" s="919">
        <f t="shared" ref="J7:J12" si="5">SUM(G7:I7)</f>
        <v>373.49394999999998</v>
      </c>
      <c r="K7" s="919">
        <f t="shared" ref="K7:K12" si="6">SUM(E7-J7)</f>
        <v>41.959549999999922</v>
      </c>
      <c r="L7" s="919">
        <f t="shared" ref="L7:L12" si="7">SUM(E7-(I7+G7))</f>
        <v>109.26704999999993</v>
      </c>
      <c r="M7" s="917" t="str">
        <f>[4]Sheet1!$W$16</f>
        <v>Dell S5248F</v>
      </c>
      <c r="N7" s="917" t="str">
        <f>[4]Sheet1!$W$5</f>
        <v>Dell S5248F</v>
      </c>
      <c r="O7" s="949">
        <f>SUM('Plant loading'!V39:V41)</f>
        <v>88.121049999999983</v>
      </c>
      <c r="P7" s="951"/>
      <c r="Q7" s="1039">
        <f t="shared" ref="Q7:Q12" si="8">SUM(D7*0.85)</f>
        <v>392.37274999999988</v>
      </c>
      <c r="R7" s="1040">
        <f t="shared" si="0"/>
        <v>18.878799999999899</v>
      </c>
      <c r="S7" s="1041">
        <f t="shared" si="1"/>
        <v>369.29199999999992</v>
      </c>
      <c r="T7" s="1040">
        <f t="shared" si="2"/>
        <v>-4.2019500000000676</v>
      </c>
      <c r="U7" s="1042"/>
      <c r="V7" s="946" t="e">
        <f t="shared" ref="V7:V13" si="9">N7/M7</f>
        <v>#VALUE!</v>
      </c>
      <c r="W7" s="947" t="s">
        <v>464</v>
      </c>
      <c r="X7" s="947">
        <v>7.5</v>
      </c>
      <c r="Y7" s="947">
        <v>5</v>
      </c>
      <c r="Z7" s="946">
        <f t="shared" ref="Z7:Z10" si="10">Y7/X7</f>
        <v>0.66666666666666663</v>
      </c>
    </row>
    <row r="8" spans="3:26" ht="13.9">
      <c r="C8" s="915" t="s">
        <v>305</v>
      </c>
      <c r="D8" s="919" cm="1">
        <f t="array" ref="D8">SUM('Plant loading'!T32:T34+'Plant loading'!V32:V34)</f>
        <v>464.72149999999993</v>
      </c>
      <c r="E8" s="919">
        <f t="shared" si="3"/>
        <v>418.24934999999994</v>
      </c>
      <c r="F8" s="919">
        <f t="shared" si="4"/>
        <v>46.472149999999999</v>
      </c>
      <c r="G8" s="919">
        <f>SUM('Plant loading'!G32:G34)</f>
        <v>260.51</v>
      </c>
      <c r="H8" s="919">
        <f>SUM('Plant loading'!P32:P34)</f>
        <v>120.336</v>
      </c>
      <c r="I8" s="919">
        <f>SUM('Plant loading'!R32:R34)</f>
        <v>6.0604000000000005</v>
      </c>
      <c r="J8" s="919">
        <f t="shared" si="5"/>
        <v>386.90640000000002</v>
      </c>
      <c r="K8" s="919">
        <f t="shared" si="6"/>
        <v>31.342949999999917</v>
      </c>
      <c r="L8" s="919">
        <f t="shared" si="7"/>
        <v>151.67894999999993</v>
      </c>
      <c r="M8" s="917" t="str">
        <f>[4]Sheet1!$W$17</f>
        <v>Dell S5248F</v>
      </c>
      <c r="N8" s="917" t="str">
        <f>[4]Sheet1!$W$6</f>
        <v>Dell S5248F</v>
      </c>
      <c r="O8" s="949">
        <f>SUM('Plant loading'!V32:V34)</f>
        <v>77.815099999999987</v>
      </c>
      <c r="P8" s="951"/>
      <c r="Q8" s="1039">
        <f t="shared" si="8"/>
        <v>395.01327499999991</v>
      </c>
      <c r="R8" s="1040">
        <f t="shared" si="0"/>
        <v>8.1068749999998886</v>
      </c>
      <c r="S8" s="1041">
        <f t="shared" si="1"/>
        <v>371.77719999999999</v>
      </c>
      <c r="T8" s="1040">
        <f t="shared" si="2"/>
        <v>-15.129200000000026</v>
      </c>
      <c r="U8" s="1042"/>
      <c r="V8" s="946" t="e">
        <f t="shared" si="9"/>
        <v>#VALUE!</v>
      </c>
      <c r="W8" s="947" t="s">
        <v>465</v>
      </c>
      <c r="X8" s="947">
        <v>6.5</v>
      </c>
      <c r="Y8" s="947">
        <v>4.5</v>
      </c>
      <c r="Z8" s="946">
        <f t="shared" si="10"/>
        <v>0.69230769230769229</v>
      </c>
    </row>
    <row r="9" spans="3:26" ht="13.9">
      <c r="C9" s="915" t="s">
        <v>277</v>
      </c>
      <c r="D9" s="919" cm="1">
        <f t="array" ref="D9">SUM('Plant loading'!T9:T12+'Plant loading'!V9:V12)</f>
        <v>503.58</v>
      </c>
      <c r="E9" s="919">
        <f t="shared" si="3"/>
        <v>453.22199999999998</v>
      </c>
      <c r="F9" s="919">
        <f t="shared" si="4"/>
        <v>50.358000000000004</v>
      </c>
      <c r="G9" s="919">
        <f>SUM('Plant loading'!G9:G12)</f>
        <v>370.6</v>
      </c>
      <c r="H9" s="919">
        <f>SUM('Plant loading'!P9:P12)</f>
        <v>39.021999999999998</v>
      </c>
      <c r="I9" s="919">
        <f>SUM('Plant loading'!R9:R12)</f>
        <v>57.606499999999997</v>
      </c>
      <c r="J9" s="919">
        <f t="shared" si="5"/>
        <v>467.2285</v>
      </c>
      <c r="K9" s="919">
        <f t="shared" si="6"/>
        <v>-14.006500000000017</v>
      </c>
      <c r="L9" s="919">
        <f t="shared" si="7"/>
        <v>25.015499999999975</v>
      </c>
      <c r="M9" s="917" t="str">
        <f>[4]Sheet1!$W$19</f>
        <v>Dell S5248F</v>
      </c>
      <c r="N9" s="917" t="str">
        <f>[4]Sheet1!$W$8</f>
        <v>Dell S5248F</v>
      </c>
      <c r="O9" s="949">
        <f>SUM('Plant loading'!V9:V12)</f>
        <v>36.351500000000001</v>
      </c>
      <c r="P9" s="951"/>
      <c r="Q9" s="1039">
        <f t="shared" si="8"/>
        <v>428.04299999999995</v>
      </c>
      <c r="R9" s="1040">
        <f t="shared" si="0"/>
        <v>-39.185500000000047</v>
      </c>
      <c r="S9" s="1041">
        <f t="shared" si="1"/>
        <v>402.86400000000003</v>
      </c>
      <c r="T9" s="1040">
        <f t="shared" si="2"/>
        <v>-64.364499999999964</v>
      </c>
      <c r="U9" s="1042"/>
      <c r="V9" s="946" t="e">
        <f t="shared" si="9"/>
        <v>#VALUE!</v>
      </c>
      <c r="W9" s="947" t="s">
        <v>466</v>
      </c>
      <c r="X9" s="947">
        <v>10.5</v>
      </c>
      <c r="Y9" s="947">
        <v>6.5</v>
      </c>
      <c r="Z9" s="946">
        <f t="shared" si="10"/>
        <v>0.61904761904761907</v>
      </c>
    </row>
    <row r="10" spans="3:26" ht="13.9">
      <c r="C10" s="915" t="s">
        <v>288</v>
      </c>
      <c r="D10" s="919" cm="1">
        <f t="array" ref="D10">SUM('Plant loading'!T22:T24+'Plant loading'!V22:V24)</f>
        <v>377.685</v>
      </c>
      <c r="E10" s="919">
        <f>D10*0.945</f>
        <v>356.91232500000001</v>
      </c>
      <c r="F10" s="935">
        <f>D10*0.06</f>
        <v>22.661099999999998</v>
      </c>
      <c r="G10" s="919">
        <f>SUM('Plant loading'!G22:G24)</f>
        <v>290.1035</v>
      </c>
      <c r="H10" s="919">
        <f>SUM('Plant loading'!P22:P24)</f>
        <v>65.127499999999998</v>
      </c>
      <c r="I10" s="919">
        <f>SUM('Plant loading'!R22:R24)</f>
        <v>6.3765000000000001</v>
      </c>
      <c r="J10" s="919">
        <f t="shared" si="5"/>
        <v>361.60750000000002</v>
      </c>
      <c r="K10" s="935">
        <f t="shared" si="6"/>
        <v>-4.6951750000000061</v>
      </c>
      <c r="L10" s="919">
        <f t="shared" si="7"/>
        <v>60.432324999999992</v>
      </c>
      <c r="M10" s="917" t="str">
        <f>[4]Sheet1!$W$20</f>
        <v>Dell S5248F</v>
      </c>
      <c r="N10" s="917" t="str">
        <f>[4]Sheet1!$W$9</f>
        <v>Dell S5248F</v>
      </c>
      <c r="O10" s="949">
        <f>SUM('Plant loading'!V22:V24)</f>
        <v>16.077500000000001</v>
      </c>
      <c r="P10" s="951"/>
      <c r="Q10" s="1039">
        <f t="shared" si="8"/>
        <v>321.03224999999998</v>
      </c>
      <c r="R10" s="1040">
        <f t="shared" si="0"/>
        <v>-40.57525000000004</v>
      </c>
      <c r="S10" s="1041">
        <f t="shared" si="1"/>
        <v>302.14800000000002</v>
      </c>
      <c r="T10" s="1040">
        <f t="shared" si="2"/>
        <v>-59.459499999999991</v>
      </c>
      <c r="U10" s="1042"/>
      <c r="V10" s="946" t="e">
        <f t="shared" si="9"/>
        <v>#VALUE!</v>
      </c>
      <c r="W10" s="947" t="s">
        <v>467</v>
      </c>
      <c r="X10" s="947">
        <v>8.5</v>
      </c>
      <c r="Y10" s="947">
        <v>6</v>
      </c>
      <c r="Z10" s="946">
        <f t="shared" si="10"/>
        <v>0.70588235294117652</v>
      </c>
    </row>
    <row r="11" spans="3:26" ht="13.9">
      <c r="C11" s="915" t="s">
        <v>322</v>
      </c>
      <c r="D11" s="919" cm="1">
        <f t="array" ref="D11">SUM('Plant loading'!T64:T66+'Plant loading'!V64:V66)</f>
        <v>479.81799999999998</v>
      </c>
      <c r="E11" s="919">
        <f t="shared" si="3"/>
        <v>431.83620000000002</v>
      </c>
      <c r="F11" s="919">
        <f t="shared" si="4"/>
        <v>47.9818</v>
      </c>
      <c r="G11" s="919">
        <f>SUM('Plant loading'!G64:G66)</f>
        <v>368.14749999999998</v>
      </c>
      <c r="H11" s="919">
        <f>SUM('Plant loading'!P64:P66)</f>
        <v>28.721499999999999</v>
      </c>
      <c r="I11" s="919">
        <f>SUM('Plant loading'!R64:R66)</f>
        <v>46.106999999999999</v>
      </c>
      <c r="J11" s="919">
        <f t="shared" si="5"/>
        <v>442.976</v>
      </c>
      <c r="K11" s="919">
        <f t="shared" si="6"/>
        <v>-11.13979999999998</v>
      </c>
      <c r="L11" s="919">
        <f t="shared" si="7"/>
        <v>17.581700000000012</v>
      </c>
      <c r="M11" s="917" t="str">
        <f>[4]Sheet1!$W$21</f>
        <v>Dell S5248F</v>
      </c>
      <c r="N11" s="917" t="str">
        <f>[4]Sheet1!$W$10</f>
        <v>Dell S5248F</v>
      </c>
      <c r="O11" s="949">
        <f>SUM('Plant loading'!V64:V66)</f>
        <v>36.841999999999999</v>
      </c>
      <c r="P11" s="951"/>
      <c r="Q11" s="1039">
        <f t="shared" si="8"/>
        <v>407.84529999999995</v>
      </c>
      <c r="R11" s="1040">
        <f t="shared" si="0"/>
        <v>-35.130700000000047</v>
      </c>
      <c r="S11" s="1041">
        <f t="shared" si="1"/>
        <v>383.8544</v>
      </c>
      <c r="T11" s="1040">
        <f t="shared" si="2"/>
        <v>-59.121600000000001</v>
      </c>
      <c r="U11" s="1042"/>
      <c r="V11" s="946" t="e">
        <f t="shared" si="9"/>
        <v>#VALUE!</v>
      </c>
      <c r="W11" s="947"/>
      <c r="X11" s="947"/>
      <c r="Y11" s="947"/>
      <c r="Z11" s="946"/>
    </row>
    <row r="12" spans="3:26" ht="13.9">
      <c r="C12" s="915" t="s">
        <v>317</v>
      </c>
      <c r="D12" s="919" cm="1">
        <f t="array" ref="D12">SUM('Plant loading'!T56:T58+'Plant loading'!V56:V58)</f>
        <v>467.39349999999996</v>
      </c>
      <c r="E12" s="919">
        <f t="shared" si="3"/>
        <v>420.65414999999996</v>
      </c>
      <c r="F12" s="919">
        <f t="shared" si="4"/>
        <v>46.739350000000002</v>
      </c>
      <c r="G12" s="919">
        <f>SUM('Plant loading'!G56:G58)</f>
        <v>335.55650000000003</v>
      </c>
      <c r="H12" s="919">
        <f>SUM('Plant loading'!P56:P58)</f>
        <v>55.917000000000002</v>
      </c>
      <c r="I12" s="919">
        <f>SUM('Plant loading'!R56:R58)</f>
        <v>7.085</v>
      </c>
      <c r="J12" s="919">
        <f t="shared" si="5"/>
        <v>398.55850000000004</v>
      </c>
      <c r="K12" s="919">
        <f t="shared" si="6"/>
        <v>22.095649999999921</v>
      </c>
      <c r="L12" s="919">
        <f t="shared" si="7"/>
        <v>78.012649999999951</v>
      </c>
      <c r="M12" s="917" t="str">
        <f>[4]Sheet1!$W$22</f>
        <v>Dell S5248F</v>
      </c>
      <c r="N12" s="917" t="str">
        <f>[4]Sheet1!$W$11</f>
        <v>Dell S5248F</v>
      </c>
      <c r="O12" s="949">
        <f>SUM('Plant loading'!V56:V58)</f>
        <v>68.834999999999994</v>
      </c>
      <c r="P12" s="951"/>
      <c r="Q12" s="1039">
        <f t="shared" si="8"/>
        <v>397.28447499999993</v>
      </c>
      <c r="R12" s="1040">
        <f t="shared" si="0"/>
        <v>-1.2740250000001083</v>
      </c>
      <c r="S12" s="1041">
        <f t="shared" si="1"/>
        <v>373.91480000000001</v>
      </c>
      <c r="T12" s="1040">
        <f t="shared" si="2"/>
        <v>-24.643700000000024</v>
      </c>
      <c r="U12" s="1042"/>
      <c r="V12" s="946" t="e">
        <f t="shared" si="9"/>
        <v>#VALUE!</v>
      </c>
      <c r="W12" s="947"/>
      <c r="X12" s="947"/>
      <c r="Y12" s="947"/>
      <c r="Z12" s="946"/>
    </row>
    <row r="13" spans="3:26" ht="13.9">
      <c r="C13" s="932" t="s">
        <v>468</v>
      </c>
      <c r="D13" s="935">
        <v>345</v>
      </c>
      <c r="E13" s="930">
        <f>D13*0.9</f>
        <v>310.5</v>
      </c>
      <c r="F13" s="930">
        <f t="shared" si="4"/>
        <v>34.5</v>
      </c>
      <c r="G13" s="930">
        <v>160</v>
      </c>
      <c r="H13" s="930">
        <v>61</v>
      </c>
      <c r="I13" s="930">
        <v>88</v>
      </c>
      <c r="J13" s="930">
        <f>SUM(G13:I13)</f>
        <v>309</v>
      </c>
      <c r="K13" s="930">
        <f>SUM(E13-J13)</f>
        <v>1.5</v>
      </c>
      <c r="L13" s="930">
        <f>SUM(E13-(I13+G13))</f>
        <v>62.5</v>
      </c>
      <c r="M13" s="931" t="str">
        <f>[4]Sheet1!$W$18</f>
        <v>Dell S5248F</v>
      </c>
      <c r="N13" s="931" t="str">
        <f>[4]Sheet1!$W$7</f>
        <v>Dell S5248F</v>
      </c>
      <c r="O13" s="950">
        <f>(F13+K13)</f>
        <v>36</v>
      </c>
      <c r="P13" s="951"/>
      <c r="Q13" s="1039">
        <f>SUM(D13*0.85)</f>
        <v>293.25</v>
      </c>
      <c r="R13" s="1040">
        <f t="shared" si="0"/>
        <v>-15.75</v>
      </c>
      <c r="S13" s="1041">
        <f t="shared" si="1"/>
        <v>276</v>
      </c>
      <c r="T13" s="1040">
        <f t="shared" si="2"/>
        <v>-33</v>
      </c>
      <c r="U13" s="1042"/>
      <c r="V13" s="946" t="e">
        <f t="shared" si="9"/>
        <v>#VALUE!</v>
      </c>
      <c r="W13" s="947"/>
      <c r="X13" s="947"/>
      <c r="Y13" s="947"/>
      <c r="Z13" s="946"/>
    </row>
    <row r="14" spans="3:26" s="933" customFormat="1" ht="13.9">
      <c r="C14" s="1043"/>
      <c r="D14" s="1043"/>
      <c r="E14" s="1043"/>
      <c r="F14" s="919"/>
      <c r="G14" s="1043"/>
      <c r="H14" s="1043"/>
      <c r="I14" s="1043"/>
      <c r="J14" s="1043"/>
      <c r="K14" s="1043"/>
      <c r="L14" s="1043"/>
      <c r="M14" s="1043"/>
      <c r="N14" s="1043"/>
      <c r="O14" s="1043"/>
      <c r="P14" s="1043"/>
      <c r="Q14" s="1043"/>
      <c r="R14" s="1043"/>
      <c r="S14" s="1043"/>
      <c r="T14" s="1043"/>
      <c r="U14" s="1043"/>
      <c r="V14" s="1043"/>
      <c r="W14" s="1043"/>
      <c r="X14" s="1043"/>
      <c r="Y14" s="1043"/>
      <c r="Z14" s="1043"/>
    </row>
    <row r="15" spans="3:26" s="933" customFormat="1" ht="13.9">
      <c r="C15" s="1043"/>
      <c r="D15" s="1043"/>
      <c r="E15" s="1043"/>
      <c r="F15" s="1043"/>
      <c r="G15" s="1043"/>
      <c r="H15" s="1043"/>
      <c r="I15" s="1043"/>
      <c r="J15" s="1043"/>
      <c r="K15" s="1043"/>
      <c r="L15" s="1043"/>
      <c r="M15" s="1043"/>
      <c r="N15" s="1043"/>
      <c r="O15" s="1043"/>
      <c r="P15" s="1043"/>
      <c r="Q15" s="1043"/>
      <c r="R15" s="1043"/>
      <c r="S15" s="1043"/>
      <c r="T15" s="1043"/>
      <c r="U15" s="1043"/>
      <c r="V15" s="1043"/>
      <c r="W15" s="1043"/>
      <c r="X15" s="1043"/>
      <c r="Y15" s="1043"/>
      <c r="Z15" s="1043"/>
    </row>
    <row r="16" spans="3:26" s="933" customFormat="1" ht="13.9">
      <c r="C16" s="1043"/>
      <c r="D16" s="1043"/>
      <c r="E16" s="1043"/>
      <c r="F16" s="1043"/>
      <c r="G16" s="1043"/>
      <c r="H16" s="1043"/>
      <c r="I16" s="1043"/>
      <c r="J16" s="1043"/>
      <c r="K16" s="1043"/>
      <c r="L16" s="1043"/>
      <c r="M16" s="1043"/>
      <c r="N16" s="1043"/>
      <c r="O16" s="1043"/>
      <c r="P16" s="1043"/>
      <c r="Q16" s="1043"/>
      <c r="R16" s="1043"/>
      <c r="S16" s="1043"/>
      <c r="T16" s="1043"/>
      <c r="U16" s="1043"/>
      <c r="V16" s="1043"/>
      <c r="W16" s="1043"/>
      <c r="X16" s="1043"/>
      <c r="Y16" s="1043"/>
      <c r="Z16" s="1043"/>
    </row>
    <row r="17" s="933" customFormat="1" ht="13.9"/>
    <row r="18" s="933" customFormat="1" ht="13.9"/>
    <row r="19" s="933" customFormat="1" ht="13.9"/>
    <row r="20" s="933" customFormat="1" ht="13.9"/>
    <row r="52" spans="6:7" ht="62.25" customHeight="1"/>
    <row r="61" spans="6:7">
      <c r="F61" s="1349"/>
      <c r="G61" s="1349"/>
    </row>
    <row r="111" spans="2:37" ht="28.9">
      <c r="B111" s="973"/>
      <c r="C111" s="1001" t="s">
        <v>469</v>
      </c>
      <c r="D111" s="1002" t="s">
        <v>470</v>
      </c>
      <c r="E111" s="1003" t="s">
        <v>471</v>
      </c>
      <c r="F111" s="988" t="s">
        <v>110</v>
      </c>
      <c r="G111" s="974"/>
      <c r="H111" s="974"/>
      <c r="I111" s="973"/>
      <c r="J111" s="973"/>
      <c r="K111" s="973"/>
      <c r="L111" s="973"/>
      <c r="M111" s="973"/>
      <c r="N111" s="973"/>
      <c r="O111" s="973"/>
      <c r="P111" s="973"/>
      <c r="Q111" s="973"/>
      <c r="R111" s="973"/>
      <c r="S111" s="973"/>
      <c r="T111" s="973"/>
      <c r="U111" s="973"/>
      <c r="V111" s="973"/>
      <c r="W111" s="973"/>
      <c r="X111" s="973"/>
      <c r="Y111" s="973"/>
      <c r="Z111" s="973"/>
      <c r="AA111" s="973"/>
      <c r="AB111" s="973"/>
      <c r="AC111" s="973"/>
      <c r="AD111" s="973"/>
      <c r="AE111" s="973"/>
      <c r="AF111" s="973"/>
      <c r="AG111" s="973"/>
      <c r="AH111" s="975"/>
      <c r="AI111" s="973"/>
      <c r="AJ111" s="973"/>
      <c r="AK111" s="973"/>
    </row>
    <row r="112" spans="2:37" ht="100.9">
      <c r="B112" s="973"/>
      <c r="C112" s="982" t="s">
        <v>472</v>
      </c>
      <c r="D112" s="976">
        <v>7.35</v>
      </c>
      <c r="E112" s="977">
        <v>4.74</v>
      </c>
      <c r="F112" s="978" t="s">
        <v>110</v>
      </c>
      <c r="G112" s="974"/>
      <c r="H112" s="974"/>
      <c r="I112" s="973"/>
      <c r="J112" s="973"/>
      <c r="K112" s="973"/>
      <c r="L112" s="973"/>
      <c r="M112" s="973"/>
      <c r="N112" s="973"/>
      <c r="O112" s="973"/>
      <c r="P112" s="973"/>
      <c r="Q112" s="973"/>
      <c r="R112" s="973"/>
      <c r="S112" s="973"/>
      <c r="T112" s="973"/>
      <c r="U112" s="973"/>
      <c r="V112" s="973"/>
      <c r="W112" s="973"/>
      <c r="X112" s="973"/>
      <c r="Y112" s="973"/>
      <c r="Z112" s="973"/>
      <c r="AA112" s="973"/>
      <c r="AB112" s="973"/>
      <c r="AC112" s="973"/>
      <c r="AD112" s="973"/>
      <c r="AE112" s="973"/>
      <c r="AF112" s="973"/>
      <c r="AG112" s="973"/>
      <c r="AH112" s="975"/>
      <c r="AI112" s="973"/>
      <c r="AJ112" s="973"/>
      <c r="AK112" s="973"/>
    </row>
    <row r="113" spans="2:37" ht="115.15">
      <c r="B113" s="973"/>
      <c r="C113" s="982" t="s">
        <v>473</v>
      </c>
      <c r="D113" s="976">
        <v>9.15</v>
      </c>
      <c r="E113" s="977">
        <v>5.84</v>
      </c>
      <c r="F113" s="979" t="s">
        <v>110</v>
      </c>
      <c r="G113" s="974"/>
      <c r="H113" s="974"/>
      <c r="I113" s="973"/>
      <c r="J113" s="973"/>
      <c r="K113" s="973"/>
      <c r="L113" s="973"/>
      <c r="M113" s="973"/>
      <c r="N113" s="973"/>
      <c r="O113" s="973"/>
      <c r="P113" s="973"/>
      <c r="Q113" s="973"/>
      <c r="R113" s="973"/>
      <c r="S113" s="973"/>
      <c r="T113" s="973"/>
      <c r="U113" s="973"/>
      <c r="V113" s="973"/>
      <c r="W113" s="973"/>
      <c r="X113" s="973"/>
      <c r="Y113" s="973"/>
      <c r="Z113" s="973"/>
      <c r="AA113" s="973"/>
      <c r="AB113" s="973"/>
      <c r="AC113" s="973"/>
      <c r="AD113" s="973"/>
      <c r="AE113" s="973"/>
      <c r="AF113" s="973"/>
      <c r="AG113" s="973"/>
      <c r="AH113" s="975"/>
      <c r="AI113" s="973"/>
      <c r="AJ113" s="973"/>
      <c r="AK113" s="973"/>
    </row>
    <row r="114" spans="2:37" ht="100.9">
      <c r="B114" s="973"/>
      <c r="C114" s="982" t="s">
        <v>474</v>
      </c>
      <c r="D114" s="976">
        <v>8.1999999999999993</v>
      </c>
      <c r="E114" s="977">
        <v>5.34</v>
      </c>
      <c r="F114" s="979" t="s">
        <v>110</v>
      </c>
      <c r="G114" s="974"/>
      <c r="H114" s="974"/>
      <c r="I114" s="973"/>
      <c r="J114" s="973"/>
      <c r="K114" s="973"/>
      <c r="L114" s="973"/>
      <c r="M114" s="973"/>
      <c r="N114" s="973"/>
      <c r="O114" s="973"/>
      <c r="P114" s="973"/>
      <c r="Q114" s="973"/>
      <c r="R114" s="973"/>
      <c r="S114" s="973"/>
      <c r="T114" s="973"/>
      <c r="U114" s="973"/>
      <c r="V114" s="973"/>
      <c r="W114" s="973"/>
      <c r="X114" s="973"/>
      <c r="Y114" s="973"/>
      <c r="Z114" s="973"/>
      <c r="AA114" s="973"/>
      <c r="AB114" s="973"/>
      <c r="AC114" s="973"/>
      <c r="AD114" s="973"/>
      <c r="AE114" s="973"/>
      <c r="AF114" s="973"/>
      <c r="AG114" s="973"/>
      <c r="AH114" s="975"/>
      <c r="AI114" s="973"/>
      <c r="AJ114" s="973"/>
      <c r="AK114" s="973"/>
    </row>
    <row r="115" spans="2:37" ht="28.9">
      <c r="B115" s="973"/>
      <c r="C115" s="982" t="s">
        <v>475</v>
      </c>
      <c r="D115" s="976">
        <v>8.1999999999999993</v>
      </c>
      <c r="E115" s="977">
        <v>5.85</v>
      </c>
      <c r="F115" s="979" t="s">
        <v>110</v>
      </c>
      <c r="G115" s="974"/>
      <c r="H115" s="974"/>
      <c r="I115" s="973"/>
      <c r="J115" s="973"/>
      <c r="K115" s="973"/>
      <c r="L115" s="973"/>
      <c r="M115" s="973"/>
      <c r="N115" s="973"/>
      <c r="O115" s="973"/>
      <c r="P115" s="973"/>
      <c r="Q115" s="973"/>
      <c r="R115" s="973"/>
      <c r="S115" s="973"/>
      <c r="T115" s="973"/>
      <c r="U115" s="973"/>
      <c r="V115" s="973"/>
      <c r="W115" s="973"/>
      <c r="X115" s="973"/>
      <c r="Y115" s="973"/>
      <c r="Z115" s="973"/>
      <c r="AA115" s="973"/>
      <c r="AB115" s="973"/>
      <c r="AC115" s="973"/>
      <c r="AD115" s="973"/>
      <c r="AE115" s="973"/>
      <c r="AF115" s="973"/>
      <c r="AG115" s="973"/>
      <c r="AH115" s="975"/>
      <c r="AI115" s="973"/>
      <c r="AJ115" s="973"/>
      <c r="AK115" s="973"/>
    </row>
    <row r="116" spans="2:37" ht="14.45">
      <c r="B116" s="973"/>
      <c r="C116" s="982" t="s">
        <v>476</v>
      </c>
      <c r="D116" s="976">
        <v>7.15</v>
      </c>
      <c r="E116" s="977">
        <v>5.04</v>
      </c>
      <c r="F116" s="979" t="s">
        <v>110</v>
      </c>
      <c r="G116" s="974"/>
      <c r="H116" s="974"/>
      <c r="I116" s="973"/>
      <c r="J116" s="973"/>
      <c r="K116" s="973"/>
      <c r="L116" s="973"/>
      <c r="M116" s="973"/>
      <c r="N116" s="973"/>
      <c r="O116" s="973"/>
      <c r="P116" s="973"/>
      <c r="Q116" s="973"/>
      <c r="R116" s="973"/>
      <c r="S116" s="973"/>
      <c r="T116" s="973"/>
      <c r="U116" s="973"/>
      <c r="V116" s="973"/>
      <c r="W116" s="973"/>
      <c r="X116" s="973"/>
      <c r="Y116" s="973"/>
      <c r="Z116" s="973"/>
      <c r="AA116" s="973"/>
      <c r="AB116" s="973"/>
      <c r="AC116" s="973"/>
      <c r="AD116" s="973"/>
      <c r="AE116" s="973"/>
      <c r="AF116" s="973"/>
      <c r="AG116" s="973"/>
      <c r="AH116" s="975"/>
      <c r="AI116" s="973"/>
      <c r="AJ116" s="973"/>
      <c r="AK116" s="973"/>
    </row>
    <row r="117" spans="2:37" ht="14.45">
      <c r="B117" s="973"/>
      <c r="C117" s="974"/>
      <c r="D117" s="974"/>
      <c r="E117" s="980"/>
      <c r="F117" s="974"/>
      <c r="G117" s="974"/>
      <c r="H117" s="974"/>
      <c r="I117" s="973"/>
      <c r="J117" s="973"/>
      <c r="K117" s="973"/>
      <c r="L117" s="973"/>
      <c r="M117" s="973"/>
      <c r="N117" s="973"/>
      <c r="O117" s="973"/>
      <c r="P117" s="973"/>
      <c r="Q117" s="973"/>
      <c r="R117" s="973"/>
      <c r="S117" s="973"/>
      <c r="T117" s="973"/>
      <c r="U117" s="973"/>
      <c r="V117" s="973"/>
      <c r="W117" s="973"/>
      <c r="X117" s="973"/>
      <c r="Y117" s="973"/>
      <c r="Z117" s="973"/>
      <c r="AA117" s="973"/>
      <c r="AB117" s="973"/>
      <c r="AC117" s="973"/>
      <c r="AD117" s="973"/>
      <c r="AE117" s="973"/>
      <c r="AF117" s="973"/>
      <c r="AG117" s="973"/>
      <c r="AH117" s="975"/>
      <c r="AI117" s="973"/>
      <c r="AJ117" s="973"/>
      <c r="AK117" s="973"/>
    </row>
    <row r="118" spans="2:37" ht="43.15">
      <c r="B118" s="974"/>
      <c r="C118" s="989" t="s">
        <v>477</v>
      </c>
      <c r="D118" s="990" t="s">
        <v>478</v>
      </c>
      <c r="E118" s="991" t="s">
        <v>479</v>
      </c>
      <c r="F118" s="813"/>
      <c r="G118" s="992" t="s">
        <v>480</v>
      </c>
      <c r="I118" s="973"/>
      <c r="J118" s="973"/>
      <c r="K118" s="973"/>
      <c r="L118" s="973"/>
      <c r="M118" s="973"/>
      <c r="N118" s="973"/>
      <c r="O118" s="973"/>
      <c r="P118" s="973"/>
      <c r="Q118" s="973"/>
      <c r="R118" s="973"/>
      <c r="S118" s="973"/>
      <c r="T118" s="973"/>
      <c r="U118" s="973"/>
      <c r="V118" s="973"/>
      <c r="W118" s="973"/>
      <c r="X118" s="973"/>
      <c r="Y118" s="973"/>
      <c r="Z118" s="973"/>
      <c r="AA118" s="973"/>
      <c r="AB118" s="973"/>
      <c r="AC118" s="973"/>
      <c r="AD118" s="973"/>
      <c r="AE118" s="973"/>
      <c r="AF118" s="973"/>
      <c r="AG118" s="973"/>
      <c r="AH118" s="975"/>
      <c r="AI118" s="973"/>
      <c r="AJ118" s="973"/>
      <c r="AK118" s="973"/>
    </row>
    <row r="119" spans="2:37" ht="14.45">
      <c r="B119" s="974">
        <v>1</v>
      </c>
      <c r="C119" s="993">
        <v>41.85</v>
      </c>
      <c r="D119" s="994">
        <v>7.35</v>
      </c>
      <c r="E119" s="994">
        <v>49.2</v>
      </c>
      <c r="F119" s="813"/>
      <c r="G119" s="995">
        <v>34.700000000000003</v>
      </c>
      <c r="I119" s="973"/>
      <c r="J119" s="973"/>
      <c r="K119" s="973"/>
      <c r="L119" s="973"/>
      <c r="M119" s="973"/>
      <c r="N119" s="973"/>
      <c r="O119" s="973"/>
      <c r="P119" s="973"/>
      <c r="Q119" s="973"/>
      <c r="R119" s="973"/>
      <c r="S119" s="973"/>
      <c r="T119" s="973"/>
      <c r="U119" s="973"/>
      <c r="V119" s="973"/>
      <c r="W119" s="973"/>
      <c r="X119" s="973"/>
      <c r="Y119" s="973"/>
      <c r="Z119" s="973"/>
      <c r="AA119" s="973"/>
      <c r="AB119" s="973"/>
      <c r="AC119" s="973"/>
      <c r="AD119" s="973"/>
      <c r="AE119" s="973"/>
      <c r="AF119" s="973"/>
      <c r="AG119" s="973"/>
      <c r="AH119" s="975"/>
      <c r="AI119" s="973"/>
      <c r="AJ119" s="973"/>
      <c r="AK119" s="973"/>
    </row>
    <row r="120" spans="2:37" ht="14.45">
      <c r="B120" s="974">
        <v>2</v>
      </c>
      <c r="C120" s="995">
        <v>83.7</v>
      </c>
      <c r="D120" s="996" t="s">
        <v>110</v>
      </c>
      <c r="E120" s="996" t="s">
        <v>110</v>
      </c>
      <c r="F120" s="813"/>
      <c r="G120" s="997"/>
      <c r="H120" s="974"/>
      <c r="I120" s="973"/>
      <c r="J120" s="973"/>
      <c r="K120" s="973"/>
      <c r="L120" s="973"/>
      <c r="M120" s="973"/>
      <c r="N120" s="973"/>
      <c r="O120" s="973"/>
      <c r="P120" s="973"/>
      <c r="Q120" s="973"/>
      <c r="R120" s="973"/>
      <c r="S120" s="973"/>
      <c r="T120" s="973"/>
      <c r="U120" s="973"/>
      <c r="V120" s="973"/>
      <c r="W120" s="973"/>
      <c r="X120" s="973"/>
      <c r="Y120" s="973"/>
      <c r="Z120" s="973"/>
      <c r="AA120" s="973"/>
      <c r="AB120" s="973"/>
      <c r="AC120" s="973"/>
      <c r="AD120" s="973"/>
      <c r="AE120" s="973"/>
      <c r="AF120" s="973"/>
      <c r="AG120" s="973"/>
      <c r="AH120" s="975"/>
      <c r="AI120" s="973"/>
      <c r="AJ120" s="973"/>
      <c r="AK120" s="973"/>
    </row>
    <row r="121" spans="2:37" ht="14.45">
      <c r="B121" s="974"/>
      <c r="C121" s="997"/>
      <c r="D121" s="997"/>
      <c r="E121" s="997"/>
      <c r="F121" s="813"/>
      <c r="G121" s="997"/>
      <c r="H121" s="974"/>
      <c r="I121" s="973"/>
      <c r="J121" s="973"/>
      <c r="K121" s="973"/>
      <c r="L121" s="973"/>
      <c r="M121" s="973"/>
      <c r="N121" s="973"/>
      <c r="O121" s="973"/>
      <c r="P121" s="973"/>
      <c r="Q121" s="973"/>
      <c r="R121" s="973"/>
      <c r="S121" s="973"/>
      <c r="T121" s="973"/>
      <c r="U121" s="973"/>
      <c r="V121" s="973"/>
      <c r="W121" s="973"/>
      <c r="X121" s="973"/>
      <c r="Y121" s="973"/>
      <c r="Z121" s="973"/>
      <c r="AA121" s="973"/>
      <c r="AB121" s="973"/>
      <c r="AC121" s="973"/>
      <c r="AD121" s="973"/>
      <c r="AE121" s="973"/>
      <c r="AF121" s="973"/>
      <c r="AG121" s="973"/>
      <c r="AH121" s="975"/>
      <c r="AI121" s="973"/>
      <c r="AJ121" s="973"/>
      <c r="AK121" s="973"/>
    </row>
    <row r="122" spans="2:37" ht="43.15">
      <c r="B122" s="974"/>
      <c r="C122" s="989" t="s">
        <v>481</v>
      </c>
      <c r="D122" s="990" t="s">
        <v>478</v>
      </c>
      <c r="E122" s="991" t="s">
        <v>479</v>
      </c>
      <c r="F122" s="813"/>
      <c r="G122" s="997"/>
      <c r="H122" s="974"/>
      <c r="I122" s="973"/>
      <c r="J122" s="973"/>
      <c r="K122" s="973"/>
      <c r="L122" s="973"/>
      <c r="M122" s="973"/>
      <c r="N122" s="973"/>
      <c r="O122" s="973"/>
      <c r="P122" s="973"/>
      <c r="Q122" s="973"/>
      <c r="R122" s="973"/>
      <c r="S122" s="973"/>
      <c r="T122" s="973"/>
      <c r="U122" s="973"/>
      <c r="V122" s="973"/>
      <c r="W122" s="973"/>
      <c r="X122" s="973"/>
      <c r="Y122" s="973"/>
      <c r="Z122" s="973"/>
      <c r="AA122" s="973"/>
      <c r="AB122" s="973"/>
      <c r="AC122" s="973"/>
      <c r="AD122" s="973"/>
      <c r="AE122" s="973"/>
      <c r="AF122" s="973"/>
      <c r="AG122" s="973"/>
      <c r="AH122" s="975"/>
      <c r="AI122" s="973"/>
      <c r="AJ122" s="973"/>
      <c r="AK122" s="973"/>
    </row>
    <row r="123" spans="2:37" ht="14.45">
      <c r="B123" s="974">
        <v>1</v>
      </c>
      <c r="C123" s="993">
        <v>39.950000000000003</v>
      </c>
      <c r="D123" s="994">
        <v>7.35</v>
      </c>
      <c r="E123" s="994">
        <v>47.3</v>
      </c>
      <c r="F123" s="813"/>
      <c r="G123" s="997"/>
      <c r="H123" s="974"/>
      <c r="I123" s="973"/>
      <c r="J123" s="973"/>
      <c r="K123" s="973"/>
      <c r="L123" s="973"/>
      <c r="M123" s="973"/>
      <c r="N123" s="973"/>
      <c r="O123" s="973"/>
      <c r="P123" s="973"/>
      <c r="Q123" s="973"/>
      <c r="R123" s="973"/>
      <c r="S123" s="973"/>
      <c r="T123" s="973"/>
      <c r="U123" s="973"/>
      <c r="V123" s="973"/>
      <c r="W123" s="973"/>
      <c r="X123" s="973"/>
      <c r="Y123" s="973"/>
      <c r="Z123" s="973"/>
      <c r="AA123" s="973"/>
      <c r="AB123" s="973"/>
      <c r="AC123" s="973"/>
      <c r="AD123" s="973"/>
      <c r="AE123" s="973"/>
      <c r="AF123" s="973"/>
      <c r="AG123" s="973"/>
      <c r="AH123" s="975"/>
      <c r="AI123" s="973"/>
      <c r="AJ123" s="973"/>
      <c r="AK123" s="973"/>
    </row>
    <row r="124" spans="2:37" ht="14.45">
      <c r="B124" s="974">
        <v>2</v>
      </c>
      <c r="C124" s="995">
        <v>79.900000000000006</v>
      </c>
      <c r="D124" s="996" t="s">
        <v>110</v>
      </c>
      <c r="E124" s="996" t="s">
        <v>110</v>
      </c>
      <c r="F124" s="813"/>
      <c r="G124" s="997"/>
      <c r="H124" s="974"/>
      <c r="I124" s="973"/>
      <c r="J124" s="973"/>
      <c r="K124" s="973"/>
      <c r="L124" s="973"/>
      <c r="M124" s="973"/>
      <c r="N124" s="973"/>
      <c r="O124" s="973"/>
      <c r="P124" s="973"/>
      <c r="Q124" s="973"/>
      <c r="R124" s="973"/>
      <c r="S124" s="973"/>
      <c r="T124" s="973"/>
      <c r="U124" s="973"/>
      <c r="V124" s="973"/>
      <c r="W124" s="973"/>
      <c r="X124" s="973"/>
      <c r="Y124" s="973"/>
      <c r="Z124" s="973"/>
      <c r="AA124" s="973"/>
      <c r="AB124" s="973"/>
      <c r="AC124" s="973"/>
      <c r="AD124" s="973"/>
      <c r="AE124" s="973"/>
      <c r="AF124" s="973"/>
      <c r="AG124" s="973"/>
      <c r="AH124" s="975"/>
      <c r="AI124" s="973"/>
      <c r="AJ124" s="973"/>
      <c r="AK124" s="973"/>
    </row>
    <row r="125" spans="2:37" ht="14.45">
      <c r="B125" s="973"/>
      <c r="C125" s="974"/>
      <c r="D125" s="974"/>
      <c r="E125" s="980"/>
      <c r="F125" s="974"/>
      <c r="G125" s="974"/>
      <c r="H125" s="974"/>
      <c r="I125" s="973"/>
      <c r="J125" s="973"/>
      <c r="K125" s="973"/>
      <c r="L125" s="973"/>
      <c r="M125" s="973"/>
      <c r="N125" s="973"/>
      <c r="O125" s="973"/>
      <c r="P125" s="973"/>
      <c r="Q125" s="973"/>
      <c r="R125" s="973"/>
      <c r="S125" s="973"/>
      <c r="T125" s="973"/>
      <c r="U125" s="973"/>
      <c r="V125" s="973"/>
      <c r="W125" s="973"/>
      <c r="X125" s="973"/>
      <c r="Y125" s="973"/>
      <c r="Z125" s="973"/>
      <c r="AA125" s="973"/>
      <c r="AB125" s="973"/>
      <c r="AC125" s="973"/>
      <c r="AD125" s="973"/>
      <c r="AE125" s="973"/>
      <c r="AF125" s="973"/>
      <c r="AG125" s="973"/>
      <c r="AH125" s="975"/>
      <c r="AI125" s="973"/>
      <c r="AJ125" s="973"/>
      <c r="AK125" s="973"/>
    </row>
    <row r="126" spans="2:37" ht="28.9">
      <c r="B126" s="973"/>
      <c r="C126" s="998" t="s">
        <v>482</v>
      </c>
      <c r="D126" s="999" t="s">
        <v>483</v>
      </c>
      <c r="E126" s="1000" t="s">
        <v>484</v>
      </c>
      <c r="F126" s="974"/>
      <c r="G126" s="974"/>
      <c r="H126" s="974"/>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5"/>
      <c r="AI126" s="973"/>
      <c r="AJ126" s="973"/>
      <c r="AK126" s="973"/>
    </row>
    <row r="127" spans="2:37" ht="43.15">
      <c r="B127" s="973"/>
      <c r="C127" s="983" t="s">
        <v>485</v>
      </c>
      <c r="D127" s="984">
        <v>131</v>
      </c>
      <c r="E127" s="985">
        <v>99.7</v>
      </c>
      <c r="F127" s="1350" t="s">
        <v>486</v>
      </c>
      <c r="G127" s="1351"/>
      <c r="H127" s="1351"/>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5"/>
      <c r="AI127" s="973"/>
      <c r="AJ127" s="973"/>
      <c r="AK127" s="973"/>
    </row>
    <row r="128" spans="2:37" ht="43.15">
      <c r="B128" s="973"/>
      <c r="C128" s="983" t="s">
        <v>487</v>
      </c>
      <c r="D128" s="1004">
        <v>170.95</v>
      </c>
      <c r="E128" s="1005" t="s">
        <v>488</v>
      </c>
      <c r="F128" s="1352" t="s">
        <v>489</v>
      </c>
      <c r="G128" s="1353"/>
      <c r="H128" s="135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5"/>
      <c r="AI128" s="973"/>
      <c r="AJ128" s="973"/>
      <c r="AK128" s="973"/>
    </row>
    <row r="129" spans="2:37" ht="76.5" customHeight="1">
      <c r="B129" s="973"/>
      <c r="C129" s="983" t="s">
        <v>490</v>
      </c>
      <c r="D129" s="984">
        <v>170.95</v>
      </c>
      <c r="E129" s="985">
        <v>75</v>
      </c>
      <c r="F129" s="1352" t="s">
        <v>491</v>
      </c>
      <c r="G129" s="1353"/>
      <c r="H129" s="135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5"/>
      <c r="AI129" s="973"/>
      <c r="AJ129" s="973"/>
      <c r="AK129" s="973"/>
    </row>
    <row r="130" spans="2:37" ht="57.6">
      <c r="B130" s="973"/>
      <c r="C130" s="983" t="s">
        <v>492</v>
      </c>
      <c r="D130" s="986">
        <v>89.15</v>
      </c>
      <c r="E130" s="987">
        <v>90</v>
      </c>
      <c r="F130" s="1350" t="s">
        <v>493</v>
      </c>
      <c r="G130" s="1351"/>
      <c r="H130" s="1351"/>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5"/>
      <c r="AI130" s="973"/>
      <c r="AJ130" s="973"/>
      <c r="AK130" s="973"/>
    </row>
    <row r="131" spans="2:37" ht="14.45">
      <c r="B131" s="973"/>
      <c r="C131" s="974"/>
      <c r="D131" s="974"/>
      <c r="E131" s="980"/>
      <c r="F131" s="974"/>
      <c r="G131" s="974"/>
      <c r="H131" s="974"/>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5"/>
      <c r="AI131" s="973"/>
      <c r="AJ131" s="973"/>
      <c r="AK131" s="973"/>
    </row>
    <row r="132" spans="2:37" ht="15">
      <c r="B132" s="973"/>
      <c r="C132" s="981" t="s">
        <v>494</v>
      </c>
      <c r="D132" s="981"/>
      <c r="E132" s="981"/>
      <c r="F132" s="981"/>
      <c r="G132" s="974"/>
      <c r="H132" s="974"/>
      <c r="I132" s="973"/>
      <c r="J132" s="973"/>
      <c r="K132" s="973"/>
      <c r="L132" s="973"/>
      <c r="M132" s="973"/>
      <c r="N132" s="973"/>
      <c r="O132" s="973"/>
      <c r="P132" s="973"/>
      <c r="Q132" s="973"/>
      <c r="R132" s="973"/>
      <c r="S132" s="973"/>
      <c r="T132" s="973"/>
      <c r="U132" s="973"/>
      <c r="V132" s="973"/>
      <c r="W132" s="973"/>
      <c r="X132" s="973"/>
      <c r="Y132" s="973"/>
      <c r="Z132" s="973"/>
      <c r="AA132" s="973"/>
      <c r="AB132" s="973"/>
      <c r="AC132" s="973"/>
      <c r="AD132" s="973"/>
      <c r="AE132" s="973"/>
      <c r="AF132" s="973"/>
      <c r="AG132" s="973"/>
      <c r="AH132" s="975"/>
      <c r="AI132" s="973"/>
      <c r="AJ132" s="973"/>
      <c r="AK132" s="973"/>
    </row>
    <row r="133" spans="2:37" ht="15">
      <c r="B133" s="973"/>
      <c r="C133" s="981" t="s">
        <v>495</v>
      </c>
      <c r="D133" s="981"/>
      <c r="E133" s="980"/>
      <c r="F133" s="974"/>
      <c r="G133" s="974"/>
      <c r="H133" s="974"/>
      <c r="I133" s="973"/>
      <c r="J133" s="973"/>
      <c r="K133" s="973"/>
      <c r="L133" s="973"/>
      <c r="M133" s="973"/>
      <c r="N133" s="973"/>
      <c r="O133" s="973"/>
      <c r="P133" s="973"/>
      <c r="Q133" s="973"/>
      <c r="R133" s="973"/>
      <c r="S133" s="973"/>
      <c r="T133" s="973"/>
      <c r="U133" s="973"/>
      <c r="V133" s="973"/>
      <c r="W133" s="973"/>
      <c r="X133" s="973"/>
      <c r="Y133" s="973"/>
      <c r="Z133" s="973"/>
      <c r="AA133" s="973"/>
      <c r="AB133" s="973"/>
      <c r="AC133" s="973"/>
      <c r="AD133" s="973"/>
      <c r="AE133" s="973"/>
      <c r="AF133" s="973"/>
      <c r="AG133" s="973"/>
      <c r="AH133" s="975"/>
      <c r="AI133" s="973"/>
      <c r="AJ133" s="973"/>
      <c r="AK133" s="973"/>
    </row>
    <row r="134" spans="2:37" ht="15">
      <c r="B134" s="973"/>
      <c r="C134" s="981" t="s">
        <v>496</v>
      </c>
      <c r="D134" s="981"/>
      <c r="E134" s="981"/>
      <c r="F134" s="981"/>
      <c r="G134" s="981"/>
      <c r="H134" s="974"/>
      <c r="I134" s="973"/>
      <c r="J134" s="973"/>
      <c r="K134" s="973"/>
      <c r="L134" s="973"/>
      <c r="M134" s="973"/>
      <c r="N134" s="973"/>
      <c r="O134" s="973"/>
      <c r="P134" s="973"/>
      <c r="Q134" s="973"/>
      <c r="R134" s="973"/>
      <c r="S134" s="973"/>
      <c r="T134" s="973"/>
      <c r="U134" s="973"/>
      <c r="V134" s="973"/>
      <c r="W134" s="973"/>
      <c r="X134" s="973"/>
      <c r="Y134" s="973"/>
      <c r="Z134" s="973"/>
      <c r="AA134" s="973"/>
      <c r="AB134" s="973"/>
      <c r="AC134" s="973"/>
      <c r="AD134" s="973"/>
      <c r="AE134" s="973"/>
      <c r="AF134" s="973"/>
      <c r="AG134" s="973"/>
      <c r="AH134" s="975"/>
      <c r="AI134" s="973"/>
      <c r="AJ134" s="973"/>
      <c r="AK134" s="973"/>
    </row>
    <row r="135" spans="2:37" ht="15">
      <c r="B135" s="973"/>
      <c r="C135" s="981" t="s">
        <v>497</v>
      </c>
      <c r="D135" s="981"/>
      <c r="E135" s="980"/>
      <c r="F135" s="974"/>
      <c r="G135" s="974"/>
      <c r="H135" s="974"/>
      <c r="I135" s="973"/>
      <c r="J135" s="973"/>
      <c r="K135" s="973"/>
      <c r="L135" s="973"/>
      <c r="M135" s="973"/>
      <c r="N135" s="973"/>
      <c r="O135" s="973"/>
      <c r="P135" s="973"/>
      <c r="Q135" s="973"/>
      <c r="R135" s="973"/>
      <c r="S135" s="973"/>
      <c r="T135" s="973"/>
      <c r="U135" s="973"/>
      <c r="V135" s="973"/>
      <c r="W135" s="973"/>
      <c r="X135" s="973"/>
      <c r="Y135" s="973"/>
      <c r="Z135" s="973"/>
      <c r="AA135" s="973"/>
      <c r="AB135" s="973"/>
      <c r="AC135" s="973"/>
      <c r="AD135" s="973"/>
      <c r="AE135" s="973"/>
      <c r="AF135" s="973"/>
      <c r="AG135" s="973"/>
      <c r="AH135" s="975"/>
      <c r="AI135" s="973"/>
      <c r="AJ135" s="973"/>
      <c r="AK135" s="973"/>
    </row>
    <row r="136" spans="2:37" ht="15">
      <c r="B136" s="973"/>
      <c r="C136" s="981" t="s">
        <v>498</v>
      </c>
      <c r="D136" s="981"/>
      <c r="E136" s="980"/>
      <c r="F136" s="974"/>
      <c r="G136" s="974"/>
      <c r="H136" s="974"/>
      <c r="I136" s="973"/>
      <c r="J136" s="973"/>
      <c r="K136" s="973"/>
      <c r="L136" s="973"/>
      <c r="M136" s="973"/>
      <c r="N136" s="973"/>
      <c r="O136" s="973"/>
      <c r="P136" s="973"/>
      <c r="Q136" s="973"/>
      <c r="R136" s="973"/>
      <c r="S136" s="973"/>
      <c r="T136" s="973"/>
      <c r="U136" s="973"/>
      <c r="V136" s="973"/>
      <c r="W136" s="973"/>
      <c r="X136" s="973"/>
      <c r="Y136" s="973"/>
      <c r="Z136" s="973"/>
      <c r="AA136" s="973"/>
      <c r="AB136" s="973"/>
      <c r="AC136" s="973"/>
      <c r="AD136" s="973"/>
      <c r="AE136" s="973"/>
      <c r="AF136" s="973"/>
      <c r="AG136" s="973"/>
      <c r="AH136" s="975"/>
      <c r="AI136" s="973"/>
      <c r="AJ136" s="973"/>
      <c r="AK136" s="973"/>
    </row>
  </sheetData>
  <mergeCells count="5">
    <mergeCell ref="F61:G61"/>
    <mergeCell ref="F130:H130"/>
    <mergeCell ref="F129:H129"/>
    <mergeCell ref="F128:H128"/>
    <mergeCell ref="F127:H127"/>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C118"/>
  <sheetViews>
    <sheetView topLeftCell="C23" zoomScale="70" zoomScaleNormal="70" workbookViewId="0">
      <selection activeCell="H24" sqref="H24"/>
    </sheetView>
  </sheetViews>
  <sheetFormatPr defaultColWidth="8.6640625" defaultRowHeight="10.15"/>
  <cols>
    <col min="1" max="1" width="37.6640625" bestFit="1" customWidth="1"/>
    <col min="2" max="2" width="24.1640625" bestFit="1" customWidth="1"/>
    <col min="3" max="3" width="35.6640625" bestFit="1" customWidth="1"/>
    <col min="4" max="4" width="31.6640625" bestFit="1" customWidth="1"/>
    <col min="5" max="5" width="36.6640625" bestFit="1" customWidth="1"/>
    <col min="6" max="6" width="35.6640625" bestFit="1" customWidth="1"/>
    <col min="7" max="7" width="28.5" bestFit="1" customWidth="1"/>
    <col min="8" max="8" width="35.6640625" style="23" customWidth="1"/>
    <col min="9" max="9" width="28.1640625" style="23" bestFit="1" customWidth="1"/>
    <col min="10" max="10" width="16.6640625" style="23" bestFit="1" customWidth="1"/>
    <col min="11" max="11" width="20.6640625" bestFit="1" customWidth="1"/>
    <col min="12" max="12" width="14.5" bestFit="1" customWidth="1"/>
    <col min="13" max="13" width="27.6640625" bestFit="1" customWidth="1"/>
    <col min="14" max="14" width="35.6640625" bestFit="1" customWidth="1"/>
    <col min="15" max="15" width="37.6640625" bestFit="1" customWidth="1"/>
    <col min="16" max="16" width="45" bestFit="1" customWidth="1"/>
    <col min="20" max="20" width="10.6640625" bestFit="1" customWidth="1"/>
  </cols>
  <sheetData>
    <row r="1" spans="1:29" ht="26.45">
      <c r="A1" s="809" t="s">
        <v>499</v>
      </c>
      <c r="B1" s="809" t="s">
        <v>500</v>
      </c>
      <c r="C1" s="809" t="s">
        <v>501</v>
      </c>
      <c r="D1" s="809" t="s">
        <v>502</v>
      </c>
      <c r="E1" s="809" t="s">
        <v>503</v>
      </c>
      <c r="F1" s="809" t="s">
        <v>504</v>
      </c>
      <c r="G1" s="46" t="s">
        <v>505</v>
      </c>
      <c r="H1" s="865" t="s">
        <v>506</v>
      </c>
      <c r="I1" s="170"/>
      <c r="J1" s="170"/>
      <c r="M1" s="3" t="s">
        <v>507</v>
      </c>
      <c r="N1" s="809" t="s">
        <v>502</v>
      </c>
      <c r="O1" s="2" t="s">
        <v>508</v>
      </c>
      <c r="P1" s="809" t="s">
        <v>509</v>
      </c>
      <c r="Z1" s="512"/>
      <c r="AA1" s="513"/>
      <c r="AB1" s="513"/>
      <c r="AC1" s="512"/>
    </row>
    <row r="2" spans="1:29" ht="14.45">
      <c r="A2" s="3" t="s">
        <v>271</v>
      </c>
      <c r="B2" s="4">
        <v>943</v>
      </c>
      <c r="C2" s="4">
        <v>326</v>
      </c>
      <c r="D2" s="4">
        <v>96</v>
      </c>
      <c r="E2" s="4">
        <v>190</v>
      </c>
      <c r="F2" s="4">
        <v>27</v>
      </c>
      <c r="G2" s="26">
        <v>37</v>
      </c>
      <c r="H2" s="864">
        <f>INT((G2*600)/800)</f>
        <v>27</v>
      </c>
      <c r="I2" s="169"/>
      <c r="J2" s="169"/>
      <c r="M2" s="4">
        <f t="shared" ref="M2:M17" si="0">B2*0.48</f>
        <v>452.64</v>
      </c>
      <c r="N2" s="4">
        <f t="shared" ref="N2:N17" si="1">C2*0.8</f>
        <v>260.8</v>
      </c>
      <c r="O2" s="4">
        <f t="shared" ref="O2:O17" si="2">D2*0.48</f>
        <v>46.08</v>
      </c>
      <c r="P2" s="4">
        <f t="shared" ref="P2:P17" si="3">E2*0.8</f>
        <v>152</v>
      </c>
      <c r="S2" s="354"/>
      <c r="T2" s="354"/>
      <c r="Z2" s="12"/>
      <c r="AA2" s="12"/>
      <c r="AB2" s="12"/>
      <c r="AC2" s="12"/>
    </row>
    <row r="3" spans="1:29" ht="14.45">
      <c r="A3" s="3" t="s">
        <v>277</v>
      </c>
      <c r="B3" s="4">
        <v>1614</v>
      </c>
      <c r="C3" s="4">
        <v>586</v>
      </c>
      <c r="D3" s="4">
        <v>261</v>
      </c>
      <c r="E3" s="4">
        <v>327</v>
      </c>
      <c r="F3" s="4">
        <v>106</v>
      </c>
      <c r="G3" s="26">
        <v>142</v>
      </c>
      <c r="H3" s="864">
        <f t="shared" ref="H3:H17" si="4">INT((G3*600)/800)</f>
        <v>106</v>
      </c>
      <c r="I3" s="169"/>
      <c r="J3" s="169"/>
      <c r="M3" s="4">
        <f t="shared" si="0"/>
        <v>774.72</v>
      </c>
      <c r="N3" s="4">
        <f t="shared" si="1"/>
        <v>468.8</v>
      </c>
      <c r="O3" s="4">
        <f t="shared" si="2"/>
        <v>125.28</v>
      </c>
      <c r="P3" s="4">
        <f t="shared" si="3"/>
        <v>261.60000000000002</v>
      </c>
      <c r="S3" s="354"/>
      <c r="T3" s="354"/>
      <c r="Z3" s="12"/>
      <c r="AA3" s="12"/>
      <c r="AB3" s="12"/>
      <c r="AC3" s="12"/>
    </row>
    <row r="4" spans="1:29" ht="14.45">
      <c r="A4" s="3" t="s">
        <v>284</v>
      </c>
      <c r="B4" s="4">
        <v>1073</v>
      </c>
      <c r="C4" s="4">
        <v>611</v>
      </c>
      <c r="D4" s="4">
        <v>83</v>
      </c>
      <c r="E4" s="4">
        <v>444</v>
      </c>
      <c r="F4" s="4">
        <v>24</v>
      </c>
      <c r="G4" s="26">
        <v>33</v>
      </c>
      <c r="H4" s="864">
        <f t="shared" si="4"/>
        <v>24</v>
      </c>
      <c r="I4" s="169"/>
      <c r="J4" s="169"/>
      <c r="M4" s="4">
        <f t="shared" si="0"/>
        <v>515.04</v>
      </c>
      <c r="N4" s="4">
        <f t="shared" si="1"/>
        <v>488.8</v>
      </c>
      <c r="O4" s="4">
        <f t="shared" si="2"/>
        <v>39.839999999999996</v>
      </c>
      <c r="P4" s="4">
        <f t="shared" si="3"/>
        <v>355.20000000000005</v>
      </c>
      <c r="S4" s="354"/>
      <c r="T4" s="354"/>
      <c r="Z4" s="12"/>
      <c r="AA4" s="12"/>
      <c r="AB4" s="12"/>
      <c r="AC4" s="12"/>
    </row>
    <row r="5" spans="1:29" ht="14.45">
      <c r="A5" s="3" t="s">
        <v>288</v>
      </c>
      <c r="B5" s="4">
        <v>837</v>
      </c>
      <c r="C5" s="4">
        <v>337</v>
      </c>
      <c r="D5" s="4">
        <v>113</v>
      </c>
      <c r="E5" s="4">
        <v>110</v>
      </c>
      <c r="F5" s="4">
        <v>16</v>
      </c>
      <c r="G5" s="26">
        <v>22</v>
      </c>
      <c r="H5" s="864">
        <f t="shared" si="4"/>
        <v>16</v>
      </c>
      <c r="I5" s="169"/>
      <c r="J5" s="169"/>
      <c r="M5" s="4">
        <f t="shared" si="0"/>
        <v>401.76</v>
      </c>
      <c r="N5" s="4">
        <f t="shared" si="1"/>
        <v>269.60000000000002</v>
      </c>
      <c r="O5" s="4">
        <f t="shared" si="2"/>
        <v>54.239999999999995</v>
      </c>
      <c r="P5" s="4">
        <f t="shared" si="3"/>
        <v>88</v>
      </c>
      <c r="S5" s="354"/>
      <c r="T5" s="354"/>
      <c r="Z5" s="12"/>
      <c r="AA5" s="12"/>
      <c r="AB5" s="12"/>
      <c r="AC5" s="12"/>
    </row>
    <row r="6" spans="1:29" ht="14.45">
      <c r="A6" s="3" t="s">
        <v>293</v>
      </c>
      <c r="B6" s="4">
        <v>701</v>
      </c>
      <c r="C6" s="4">
        <v>384</v>
      </c>
      <c r="D6" s="4">
        <v>32</v>
      </c>
      <c r="E6" s="4">
        <v>201</v>
      </c>
      <c r="F6" s="4">
        <v>16</v>
      </c>
      <c r="G6" s="26">
        <v>22</v>
      </c>
      <c r="H6" s="864">
        <f t="shared" si="4"/>
        <v>16</v>
      </c>
      <c r="I6" s="169"/>
      <c r="J6" s="169"/>
      <c r="M6" s="4">
        <f t="shared" si="0"/>
        <v>336.47999999999996</v>
      </c>
      <c r="N6" s="4">
        <f t="shared" si="1"/>
        <v>307.20000000000005</v>
      </c>
      <c r="O6" s="4">
        <f t="shared" si="2"/>
        <v>15.36</v>
      </c>
      <c r="P6" s="4">
        <f t="shared" si="3"/>
        <v>160.80000000000001</v>
      </c>
      <c r="S6" s="354"/>
      <c r="T6" s="354"/>
      <c r="Z6" s="12"/>
      <c r="AA6" s="12"/>
      <c r="AB6" s="12"/>
      <c r="AC6" s="12"/>
    </row>
    <row r="7" spans="1:29" ht="14.45">
      <c r="A7" s="3" t="s">
        <v>305</v>
      </c>
      <c r="B7" s="4">
        <v>1044</v>
      </c>
      <c r="C7" s="4">
        <v>515</v>
      </c>
      <c r="D7" s="4">
        <v>114</v>
      </c>
      <c r="E7" s="4">
        <v>305</v>
      </c>
      <c r="F7" s="4">
        <v>26</v>
      </c>
      <c r="G7" s="26">
        <v>35</v>
      </c>
      <c r="H7" s="864">
        <f t="shared" si="4"/>
        <v>26</v>
      </c>
      <c r="I7" s="169"/>
      <c r="J7" s="169"/>
      <c r="M7" s="4">
        <f t="shared" si="0"/>
        <v>501.12</v>
      </c>
      <c r="N7" s="4">
        <f t="shared" si="1"/>
        <v>412</v>
      </c>
      <c r="O7" s="4">
        <f t="shared" si="2"/>
        <v>54.72</v>
      </c>
      <c r="P7" s="4">
        <f t="shared" si="3"/>
        <v>244</v>
      </c>
      <c r="S7" s="354"/>
      <c r="T7" s="354"/>
      <c r="Z7" s="12"/>
      <c r="AA7" s="12"/>
      <c r="AB7" s="12"/>
      <c r="AC7" s="12"/>
    </row>
    <row r="8" spans="1:29" ht="14.45">
      <c r="A8" s="3" t="s">
        <v>297</v>
      </c>
      <c r="B8" s="4">
        <v>1045</v>
      </c>
      <c r="C8" s="4">
        <v>399</v>
      </c>
      <c r="D8" s="4">
        <v>167</v>
      </c>
      <c r="E8" s="4">
        <v>134</v>
      </c>
      <c r="F8" s="4">
        <v>26</v>
      </c>
      <c r="G8" s="26">
        <v>35</v>
      </c>
      <c r="H8" s="864">
        <f>INT((G8*600)/800)</f>
        <v>26</v>
      </c>
      <c r="I8" s="169"/>
      <c r="J8" s="169"/>
      <c r="M8" s="4">
        <f>B8*0.48</f>
        <v>501.59999999999997</v>
      </c>
      <c r="N8" s="4">
        <f>C8*0.8</f>
        <v>319.20000000000005</v>
      </c>
      <c r="O8" s="4">
        <f>D8*0.48</f>
        <v>80.16</v>
      </c>
      <c r="P8" s="4">
        <f>E8*0.8</f>
        <v>107.2</v>
      </c>
      <c r="S8" s="354"/>
      <c r="T8" s="354"/>
      <c r="Z8" s="12"/>
      <c r="AA8" s="12"/>
      <c r="AB8" s="12"/>
      <c r="AC8" s="12"/>
    </row>
    <row r="9" spans="1:29" ht="15.6">
      <c r="A9" s="3" t="s">
        <v>510</v>
      </c>
      <c r="B9" s="4">
        <v>619</v>
      </c>
      <c r="C9" s="4">
        <v>302</v>
      </c>
      <c r="D9" s="4">
        <v>39</v>
      </c>
      <c r="E9" s="4">
        <v>171</v>
      </c>
      <c r="F9" s="4">
        <v>19</v>
      </c>
      <c r="G9" s="26">
        <v>26</v>
      </c>
      <c r="H9" s="864">
        <f t="shared" si="4"/>
        <v>19</v>
      </c>
      <c r="I9" s="169"/>
      <c r="J9" s="169"/>
      <c r="M9" s="4">
        <f t="shared" si="0"/>
        <v>297.12</v>
      </c>
      <c r="N9" s="4">
        <f t="shared" si="1"/>
        <v>241.60000000000002</v>
      </c>
      <c r="O9" s="4">
        <f t="shared" si="2"/>
        <v>18.72</v>
      </c>
      <c r="P9" s="4">
        <f t="shared" si="3"/>
        <v>136.80000000000001</v>
      </c>
      <c r="S9" s="354"/>
      <c r="T9" s="354"/>
      <c r="Z9" s="12"/>
      <c r="AA9" s="12"/>
      <c r="AB9" s="12"/>
      <c r="AC9" s="12"/>
    </row>
    <row r="10" spans="1:29" ht="15.6">
      <c r="A10" s="3" t="s">
        <v>511</v>
      </c>
      <c r="B10" s="4">
        <v>621</v>
      </c>
      <c r="C10" s="4">
        <v>273</v>
      </c>
      <c r="D10" s="4">
        <v>39</v>
      </c>
      <c r="E10" s="4">
        <v>148</v>
      </c>
      <c r="F10" s="4">
        <v>1</v>
      </c>
      <c r="G10" s="26">
        <v>2</v>
      </c>
      <c r="H10" s="864">
        <f t="shared" si="4"/>
        <v>1</v>
      </c>
      <c r="I10" s="169"/>
      <c r="J10" s="169"/>
      <c r="M10" s="4">
        <f t="shared" si="0"/>
        <v>298.08</v>
      </c>
      <c r="N10" s="4">
        <f t="shared" si="1"/>
        <v>218.4</v>
      </c>
      <c r="O10" s="4">
        <f t="shared" si="2"/>
        <v>18.72</v>
      </c>
      <c r="P10" s="4">
        <f t="shared" si="3"/>
        <v>118.4</v>
      </c>
      <c r="S10" s="354"/>
      <c r="T10" s="354"/>
      <c r="Z10" s="12"/>
      <c r="AA10" s="12"/>
      <c r="AB10" s="12"/>
      <c r="AC10" s="12"/>
    </row>
    <row r="11" spans="1:29" ht="15.6">
      <c r="A11" s="3" t="s">
        <v>512</v>
      </c>
      <c r="B11" s="4">
        <v>622</v>
      </c>
      <c r="C11" s="4">
        <v>240</v>
      </c>
      <c r="D11" s="4">
        <v>30</v>
      </c>
      <c r="E11" s="4">
        <v>195</v>
      </c>
      <c r="F11" s="4">
        <v>24</v>
      </c>
      <c r="G11" s="26">
        <v>41</v>
      </c>
      <c r="H11" s="864">
        <f t="shared" si="4"/>
        <v>30</v>
      </c>
      <c r="I11" s="169"/>
      <c r="J11" s="169"/>
      <c r="M11" s="4">
        <f t="shared" si="0"/>
        <v>298.56</v>
      </c>
      <c r="N11" s="4">
        <f t="shared" si="1"/>
        <v>192</v>
      </c>
      <c r="O11" s="4">
        <f t="shared" si="2"/>
        <v>14.399999999999999</v>
      </c>
      <c r="P11" s="4">
        <f t="shared" si="3"/>
        <v>156</v>
      </c>
      <c r="S11" s="354"/>
      <c r="T11" s="354"/>
      <c r="Z11" s="12"/>
      <c r="AA11" s="12"/>
      <c r="AB11" s="12"/>
      <c r="AC11" s="12"/>
    </row>
    <row r="12" spans="1:29" ht="14.45">
      <c r="A12" s="3" t="s">
        <v>317</v>
      </c>
      <c r="B12" s="4">
        <v>1049</v>
      </c>
      <c r="C12" s="4">
        <v>453</v>
      </c>
      <c r="D12" s="4">
        <v>127</v>
      </c>
      <c r="E12" s="4">
        <v>171</v>
      </c>
      <c r="F12" s="4">
        <v>28</v>
      </c>
      <c r="G12" s="26">
        <v>38</v>
      </c>
      <c r="H12" s="864">
        <f t="shared" si="4"/>
        <v>28</v>
      </c>
      <c r="I12" s="169"/>
      <c r="J12" s="169"/>
      <c r="M12" s="4">
        <f t="shared" si="0"/>
        <v>503.52</v>
      </c>
      <c r="N12" s="4">
        <f t="shared" si="1"/>
        <v>362.40000000000003</v>
      </c>
      <c r="O12" s="4">
        <f t="shared" si="2"/>
        <v>60.96</v>
      </c>
      <c r="P12" s="4">
        <f t="shared" si="3"/>
        <v>136.80000000000001</v>
      </c>
      <c r="S12" s="354"/>
      <c r="T12" s="354"/>
      <c r="Z12" s="12"/>
      <c r="AA12" s="12"/>
      <c r="AB12" s="12"/>
      <c r="AC12" s="12"/>
    </row>
    <row r="13" spans="1:29" ht="14.45">
      <c r="A13" s="3" t="s">
        <v>322</v>
      </c>
      <c r="B13" s="4">
        <v>1045</v>
      </c>
      <c r="C13" s="4">
        <v>386</v>
      </c>
      <c r="D13" s="4">
        <v>208</v>
      </c>
      <c r="E13" s="4">
        <v>188</v>
      </c>
      <c r="F13" s="4">
        <v>35</v>
      </c>
      <c r="G13" s="26">
        <v>47</v>
      </c>
      <c r="H13" s="864">
        <f t="shared" si="4"/>
        <v>35</v>
      </c>
      <c r="I13" s="169"/>
      <c r="J13" s="169"/>
      <c r="M13" s="4">
        <f t="shared" si="0"/>
        <v>501.59999999999997</v>
      </c>
      <c r="N13" s="4">
        <f t="shared" si="1"/>
        <v>308.8</v>
      </c>
      <c r="O13" s="4">
        <f t="shared" si="2"/>
        <v>99.84</v>
      </c>
      <c r="P13" s="4">
        <f t="shared" si="3"/>
        <v>150.4</v>
      </c>
      <c r="S13" s="354"/>
      <c r="T13" s="354"/>
      <c r="Z13" s="12"/>
      <c r="AA13" s="12"/>
      <c r="AB13" s="12"/>
      <c r="AC13" s="12"/>
    </row>
    <row r="14" spans="1:29" ht="14.45">
      <c r="A14" s="3" t="s">
        <v>330</v>
      </c>
      <c r="B14" s="4">
        <v>1415</v>
      </c>
      <c r="C14" s="4">
        <v>536</v>
      </c>
      <c r="D14" s="4">
        <v>117</v>
      </c>
      <c r="E14" s="4">
        <v>357</v>
      </c>
      <c r="F14" s="4">
        <v>47</v>
      </c>
      <c r="G14" s="26">
        <v>53</v>
      </c>
      <c r="H14" s="864">
        <f t="shared" si="4"/>
        <v>39</v>
      </c>
      <c r="I14" s="169"/>
      <c r="J14" s="169"/>
      <c r="M14" s="4">
        <f t="shared" si="0"/>
        <v>679.19999999999993</v>
      </c>
      <c r="N14" s="4">
        <f t="shared" si="1"/>
        <v>428.8</v>
      </c>
      <c r="O14" s="4">
        <f t="shared" si="2"/>
        <v>56.16</v>
      </c>
      <c r="P14" s="4">
        <f t="shared" si="3"/>
        <v>285.60000000000002</v>
      </c>
      <c r="S14" s="354"/>
      <c r="T14" s="354"/>
      <c r="Z14" s="12"/>
      <c r="AA14" s="12"/>
      <c r="AB14" s="12"/>
      <c r="AC14" s="12"/>
    </row>
    <row r="15" spans="1:29" ht="14.45">
      <c r="A15" s="3" t="s">
        <v>335</v>
      </c>
      <c r="B15" s="4">
        <v>1078</v>
      </c>
      <c r="C15" s="4">
        <v>595</v>
      </c>
      <c r="D15" s="4">
        <v>63</v>
      </c>
      <c r="E15" s="4">
        <v>379</v>
      </c>
      <c r="F15" s="4">
        <v>21</v>
      </c>
      <c r="G15" s="26">
        <v>29</v>
      </c>
      <c r="H15" s="864">
        <f t="shared" si="4"/>
        <v>21</v>
      </c>
      <c r="I15" s="169"/>
      <c r="J15" s="169"/>
      <c r="M15" s="4">
        <f t="shared" si="0"/>
        <v>517.43999999999994</v>
      </c>
      <c r="N15" s="4">
        <f t="shared" si="1"/>
        <v>476</v>
      </c>
      <c r="O15" s="4">
        <f t="shared" si="2"/>
        <v>30.24</v>
      </c>
      <c r="P15" s="4">
        <f t="shared" si="3"/>
        <v>303.2</v>
      </c>
      <c r="S15" s="354"/>
      <c r="T15" s="354"/>
      <c r="Z15" s="12"/>
      <c r="AA15" s="12"/>
      <c r="AB15" s="12"/>
      <c r="AC15" s="12"/>
    </row>
    <row r="16" spans="1:29" ht="14.45">
      <c r="A16" s="3" t="s">
        <v>338</v>
      </c>
      <c r="B16" s="4">
        <v>1218</v>
      </c>
      <c r="C16" s="4">
        <v>666</v>
      </c>
      <c r="D16" s="4">
        <v>57</v>
      </c>
      <c r="E16" s="4">
        <v>521</v>
      </c>
      <c r="F16" s="4">
        <v>15</v>
      </c>
      <c r="G16" s="26">
        <v>76</v>
      </c>
      <c r="H16" s="864">
        <f t="shared" si="4"/>
        <v>57</v>
      </c>
      <c r="I16" s="169"/>
      <c r="J16" s="169"/>
      <c r="M16" s="4">
        <f t="shared" si="0"/>
        <v>584.64</v>
      </c>
      <c r="N16" s="4">
        <f t="shared" si="1"/>
        <v>532.80000000000007</v>
      </c>
      <c r="O16" s="4">
        <f t="shared" si="2"/>
        <v>27.36</v>
      </c>
      <c r="P16" s="4">
        <f t="shared" si="3"/>
        <v>416.8</v>
      </c>
      <c r="S16" s="354"/>
      <c r="T16" s="354"/>
      <c r="Z16" s="12"/>
      <c r="AA16" s="12"/>
      <c r="AB16" s="12"/>
      <c r="AC16" s="12"/>
    </row>
    <row r="17" spans="1:29" ht="14.45">
      <c r="A17" s="3" t="s">
        <v>341</v>
      </c>
      <c r="B17" s="4">
        <v>861</v>
      </c>
      <c r="C17" s="4">
        <v>469</v>
      </c>
      <c r="D17" s="4">
        <v>43</v>
      </c>
      <c r="E17" s="4">
        <v>283</v>
      </c>
      <c r="F17" s="4">
        <v>20</v>
      </c>
      <c r="G17" s="26">
        <v>27</v>
      </c>
      <c r="H17" s="864">
        <f t="shared" si="4"/>
        <v>20</v>
      </c>
      <c r="I17" s="169"/>
      <c r="J17" s="169"/>
      <c r="M17" s="4">
        <f t="shared" si="0"/>
        <v>413.28</v>
      </c>
      <c r="N17" s="4">
        <f t="shared" si="1"/>
        <v>375.20000000000005</v>
      </c>
      <c r="O17" s="4">
        <f t="shared" si="2"/>
        <v>20.64</v>
      </c>
      <c r="P17" s="4">
        <f t="shared" si="3"/>
        <v>226.4</v>
      </c>
      <c r="S17" s="354"/>
      <c r="T17" s="354"/>
      <c r="Z17" s="12"/>
      <c r="AA17" s="12"/>
      <c r="AB17" s="12"/>
      <c r="AC17" s="12"/>
    </row>
    <row r="19" spans="1:29" ht="13.15">
      <c r="A19" s="814" t="s">
        <v>513</v>
      </c>
    </row>
    <row r="20" spans="1:29" ht="13.15">
      <c r="A20" s="350" t="s">
        <v>514</v>
      </c>
      <c r="B20" s="2"/>
    </row>
    <row r="21" spans="1:29" ht="40.9">
      <c r="A21" s="3" t="s">
        <v>515</v>
      </c>
      <c r="B21" s="3" t="s">
        <v>516</v>
      </c>
      <c r="C21" s="3" t="s">
        <v>517</v>
      </c>
      <c r="D21" s="809" t="s">
        <v>518</v>
      </c>
      <c r="E21" s="809" t="s">
        <v>519</v>
      </c>
      <c r="F21" s="3" t="s">
        <v>520</v>
      </c>
      <c r="G21" s="3" t="s">
        <v>521</v>
      </c>
      <c r="H21" s="809" t="s">
        <v>522</v>
      </c>
      <c r="I21" s="809" t="s">
        <v>523</v>
      </c>
      <c r="J21" s="435" t="s">
        <v>524</v>
      </c>
      <c r="K21" s="435" t="s">
        <v>525</v>
      </c>
      <c r="L21" s="435" t="s">
        <v>526</v>
      </c>
      <c r="M21" s="435" t="s">
        <v>527</v>
      </c>
      <c r="N21" s="124" t="s">
        <v>528</v>
      </c>
      <c r="O21" s="435" t="s">
        <v>529</v>
      </c>
      <c r="R21" s="124" t="s">
        <v>528</v>
      </c>
    </row>
    <row r="22" spans="1:29" ht="13.15">
      <c r="A22" s="3" t="s">
        <v>277</v>
      </c>
      <c r="B22" s="4">
        <f>B3-D3</f>
        <v>1353</v>
      </c>
      <c r="C22" s="4">
        <v>0</v>
      </c>
      <c r="D22" s="4">
        <v>0</v>
      </c>
      <c r="E22" s="4">
        <f>(B3-B22)-C22-D22</f>
        <v>261</v>
      </c>
      <c r="F22" s="4">
        <f>C3-E3</f>
        <v>259</v>
      </c>
      <c r="G22" s="4">
        <v>1</v>
      </c>
      <c r="H22" s="4">
        <v>8</v>
      </c>
      <c r="I22" s="4">
        <f>C3-F22-G22-H22</f>
        <v>318</v>
      </c>
      <c r="J22" s="125">
        <f t="shared" ref="J22:L28" si="5">(B22*0.96)+(F22*1.6)</f>
        <v>1713.28</v>
      </c>
      <c r="K22" s="125">
        <f t="shared" si="5"/>
        <v>1.6</v>
      </c>
      <c r="L22" s="125">
        <f t="shared" si="5"/>
        <v>12.8</v>
      </c>
      <c r="M22" s="125">
        <f>(B3*0.96)+(C3*1.6)</f>
        <v>2487.04</v>
      </c>
      <c r="N22" s="514">
        <f t="shared" ref="N22" si="6">1-(J22/M22)</f>
        <v>0.31111682964487908</v>
      </c>
      <c r="O22" s="171">
        <f>M22-(J22+K22+L22)</f>
        <v>759.36000000000013</v>
      </c>
      <c r="P22" s="354"/>
      <c r="Q22" s="354"/>
      <c r="R22" s="514">
        <v>0.44408251900108575</v>
      </c>
      <c r="S22" s="828">
        <v>1</v>
      </c>
      <c r="T22" s="828">
        <f>S22-R22</f>
        <v>0.55591748099891425</v>
      </c>
    </row>
    <row r="23" spans="1:29" ht="13.15">
      <c r="A23" s="3" t="s">
        <v>322</v>
      </c>
      <c r="B23" s="4">
        <f>B13-D13</f>
        <v>837</v>
      </c>
      <c r="C23" s="4">
        <v>2</v>
      </c>
      <c r="D23" s="4">
        <v>6</v>
      </c>
      <c r="E23" s="4">
        <f>(B13-B23)-C23-D23</f>
        <v>200</v>
      </c>
      <c r="F23" s="4">
        <f>C13-E13</f>
        <v>198</v>
      </c>
      <c r="G23" s="4">
        <v>0</v>
      </c>
      <c r="H23" s="4">
        <v>6</v>
      </c>
      <c r="I23" s="4">
        <f>C13-F23-G23-H23</f>
        <v>182</v>
      </c>
      <c r="J23" s="125">
        <f t="shared" si="5"/>
        <v>1120.32</v>
      </c>
      <c r="K23" s="125">
        <f t="shared" si="5"/>
        <v>1.92</v>
      </c>
      <c r="L23" s="125">
        <f t="shared" si="5"/>
        <v>15.360000000000001</v>
      </c>
      <c r="M23" s="125">
        <f>(B13*0.96)+(C13*1.6)</f>
        <v>1620.8</v>
      </c>
      <c r="N23" s="514">
        <f t="shared" ref="N23:N28" si="7">1-(J23/M23)</f>
        <v>0.30878578479763086</v>
      </c>
      <c r="O23" s="171">
        <f t="shared" ref="O23:O25" si="8">M23-(J23+K23+L23)</f>
        <v>483.20000000000005</v>
      </c>
      <c r="P23" s="354"/>
      <c r="Q23" s="354"/>
      <c r="R23" s="514">
        <v>0.22017866526537055</v>
      </c>
      <c r="S23" s="828">
        <v>1</v>
      </c>
      <c r="T23" s="828">
        <f t="shared" ref="T23:T42" si="9">S23-R23</f>
        <v>0.77982133473462945</v>
      </c>
    </row>
    <row r="24" spans="1:29" ht="13.15">
      <c r="A24" s="3" t="s">
        <v>317</v>
      </c>
      <c r="B24" s="4">
        <f>B12-D12</f>
        <v>922</v>
      </c>
      <c r="C24" s="4">
        <v>16</v>
      </c>
      <c r="D24" s="4">
        <v>0</v>
      </c>
      <c r="E24" s="4">
        <f>(B12-B24)-C24-D24</f>
        <v>111</v>
      </c>
      <c r="F24" s="4">
        <f>C12-E12</f>
        <v>282</v>
      </c>
      <c r="G24" s="4">
        <v>3</v>
      </c>
      <c r="H24" s="4">
        <v>0</v>
      </c>
      <c r="I24" s="4">
        <f>C12-F24-G24-H24</f>
        <v>168</v>
      </c>
      <c r="J24" s="125">
        <f t="shared" si="5"/>
        <v>1336.3200000000002</v>
      </c>
      <c r="K24" s="125">
        <f t="shared" si="5"/>
        <v>20.16</v>
      </c>
      <c r="L24" s="125">
        <f t="shared" si="5"/>
        <v>0</v>
      </c>
      <c r="M24" s="125">
        <f>(B12*0.96)+(C12*1.6)</f>
        <v>1731.8400000000001</v>
      </c>
      <c r="N24" s="514">
        <f t="shared" si="7"/>
        <v>0.22838137472283815</v>
      </c>
      <c r="O24" s="171">
        <f t="shared" si="8"/>
        <v>375.3599999999999</v>
      </c>
      <c r="P24" s="354"/>
      <c r="Q24" s="13"/>
      <c r="R24" s="514">
        <v>0.3553766532489937</v>
      </c>
      <c r="S24" s="828">
        <v>1</v>
      </c>
      <c r="T24" s="828">
        <f t="shared" si="9"/>
        <v>0.6446233467510063</v>
      </c>
    </row>
    <row r="25" spans="1:29" ht="13.15">
      <c r="A25" s="3" t="s">
        <v>288</v>
      </c>
      <c r="B25" s="4">
        <f>B5-D5</f>
        <v>724</v>
      </c>
      <c r="C25" s="4">
        <v>6</v>
      </c>
      <c r="D25" s="4">
        <v>4</v>
      </c>
      <c r="E25" s="4">
        <f>(B5-B25)-C25-D25</f>
        <v>103</v>
      </c>
      <c r="F25" s="4">
        <f>C5-E5</f>
        <v>227</v>
      </c>
      <c r="G25" s="4">
        <v>1</v>
      </c>
      <c r="H25" s="4">
        <v>0</v>
      </c>
      <c r="I25" s="4">
        <f>C5-F25-G25-H25</f>
        <v>109</v>
      </c>
      <c r="J25" s="125">
        <f t="shared" si="5"/>
        <v>1058.24</v>
      </c>
      <c r="K25" s="125">
        <f t="shared" si="5"/>
        <v>7.3599999999999994</v>
      </c>
      <c r="L25" s="125">
        <f t="shared" si="5"/>
        <v>3.84</v>
      </c>
      <c r="M25" s="125">
        <f>(B5*0.96)+(C5*1.6)</f>
        <v>1342.72</v>
      </c>
      <c r="N25" s="514">
        <f t="shared" si="7"/>
        <v>0.21186844613918021</v>
      </c>
      <c r="O25" s="171">
        <f t="shared" si="8"/>
        <v>273.2800000000002</v>
      </c>
      <c r="P25" s="354"/>
      <c r="Q25" s="354"/>
      <c r="R25" s="514">
        <v>0.23096446700507611</v>
      </c>
      <c r="S25" s="828">
        <v>1</v>
      </c>
      <c r="T25" s="828">
        <f t="shared" si="9"/>
        <v>0.76903553299492389</v>
      </c>
    </row>
    <row r="26" spans="1:29" ht="13.15">
      <c r="A26" s="3" t="s">
        <v>297</v>
      </c>
      <c r="B26" s="4">
        <f>B8-D8</f>
        <v>878</v>
      </c>
      <c r="C26" s="4">
        <v>12</v>
      </c>
      <c r="D26" s="4">
        <v>0</v>
      </c>
      <c r="E26" s="4">
        <f>(B8-B26)-C26-D26</f>
        <v>155</v>
      </c>
      <c r="F26" s="4">
        <f>C8-E8</f>
        <v>265</v>
      </c>
      <c r="G26" s="4">
        <v>1</v>
      </c>
      <c r="H26" s="4">
        <v>0</v>
      </c>
      <c r="I26" s="4">
        <f>C8-F26-G26-H26</f>
        <v>133</v>
      </c>
      <c r="J26" s="125">
        <f t="shared" si="5"/>
        <v>1266.8800000000001</v>
      </c>
      <c r="K26" s="125">
        <f t="shared" si="5"/>
        <v>13.12</v>
      </c>
      <c r="L26" s="125">
        <f t="shared" si="5"/>
        <v>0</v>
      </c>
      <c r="M26" s="125">
        <f>(B8*0.96)+(C8*1.6)</f>
        <v>1641.6</v>
      </c>
      <c r="N26" s="514">
        <f t="shared" si="7"/>
        <v>0.2282651072124755</v>
      </c>
      <c r="O26" s="171">
        <f>M26-(J26+K26+L26)</f>
        <v>361.59999999999991</v>
      </c>
      <c r="P26" s="354"/>
      <c r="Q26" s="13"/>
      <c r="R26" s="514">
        <v>0.21066956995100716</v>
      </c>
      <c r="S26" s="828">
        <v>1</v>
      </c>
      <c r="T26" s="828">
        <f t="shared" si="9"/>
        <v>0.78933043004899284</v>
      </c>
    </row>
    <row r="27" spans="1:29" ht="13.15">
      <c r="A27" s="3" t="s">
        <v>305</v>
      </c>
      <c r="B27" s="4">
        <f>B7-D7</f>
        <v>930</v>
      </c>
      <c r="C27" s="4">
        <v>0</v>
      </c>
      <c r="D27" s="4">
        <v>10</v>
      </c>
      <c r="E27" s="4">
        <f>(B7-B27)-C27-D27</f>
        <v>104</v>
      </c>
      <c r="F27" s="4">
        <f>C7-E7</f>
        <v>210</v>
      </c>
      <c r="G27" s="4">
        <v>0</v>
      </c>
      <c r="H27" s="4">
        <v>2</v>
      </c>
      <c r="I27" s="4">
        <f>C7-F27-G27-H27</f>
        <v>303</v>
      </c>
      <c r="J27" s="125">
        <f t="shared" si="5"/>
        <v>1228.8</v>
      </c>
      <c r="K27" s="125">
        <f t="shared" si="5"/>
        <v>0</v>
      </c>
      <c r="L27" s="125">
        <f t="shared" si="5"/>
        <v>12.8</v>
      </c>
      <c r="M27" s="125">
        <f>(B7*0.96)+(C7*1.6)</f>
        <v>1826.24</v>
      </c>
      <c r="N27" s="514">
        <f t="shared" si="7"/>
        <v>0.32714210618538642</v>
      </c>
      <c r="O27" s="171">
        <f>M27-(J27+K27+L27)</f>
        <v>584.6400000000001</v>
      </c>
      <c r="P27" s="354"/>
      <c r="Q27" s="354"/>
      <c r="R27" s="514">
        <v>0.56595744680851068</v>
      </c>
      <c r="S27" s="828">
        <v>1</v>
      </c>
      <c r="T27" s="828">
        <f t="shared" si="9"/>
        <v>0.43404255319148932</v>
      </c>
    </row>
    <row r="28" spans="1:29" ht="13.15">
      <c r="A28" s="3" t="s">
        <v>330</v>
      </c>
      <c r="B28" s="4">
        <f>B14-D14</f>
        <v>1298</v>
      </c>
      <c r="C28" s="4">
        <v>11</v>
      </c>
      <c r="D28" s="4">
        <v>0</v>
      </c>
      <c r="E28" s="4">
        <f>(B14-B28)-C28-D28</f>
        <v>106</v>
      </c>
      <c r="F28" s="4">
        <f>C14-E14</f>
        <v>179</v>
      </c>
      <c r="G28" s="4">
        <v>0</v>
      </c>
      <c r="H28" s="4">
        <v>0</v>
      </c>
      <c r="I28" s="4">
        <f>C14-F28-G28-H28</f>
        <v>357</v>
      </c>
      <c r="J28" s="125">
        <f t="shared" si="5"/>
        <v>1532.48</v>
      </c>
      <c r="K28" s="125">
        <f t="shared" si="5"/>
        <v>10.559999999999999</v>
      </c>
      <c r="L28" s="125">
        <f t="shared" si="5"/>
        <v>0</v>
      </c>
      <c r="M28" s="125">
        <f>(B14*0.96)+(C14*1.6)</f>
        <v>2216</v>
      </c>
      <c r="N28" s="514">
        <f t="shared" si="7"/>
        <v>0.3084476534296029</v>
      </c>
      <c r="O28" s="171">
        <f>M28-(J28+K28+L28)</f>
        <v>672.96</v>
      </c>
      <c r="P28" s="354"/>
      <c r="Q28" s="354"/>
      <c r="R28" s="514">
        <v>0.60312764158917997</v>
      </c>
      <c r="S28" s="828">
        <v>1</v>
      </c>
      <c r="T28" s="828">
        <f t="shared" si="9"/>
        <v>0.39687235841082003</v>
      </c>
    </row>
    <row r="29" spans="1:29" ht="13.15">
      <c r="A29" s="3"/>
      <c r="B29" s="4"/>
      <c r="C29" s="4"/>
      <c r="D29" s="4"/>
      <c r="E29" s="4"/>
      <c r="F29" s="4"/>
      <c r="G29" s="4"/>
      <c r="H29" s="4"/>
      <c r="I29" s="4"/>
      <c r="J29" s="125"/>
      <c r="K29" s="125"/>
      <c r="L29" s="125"/>
      <c r="M29" s="125"/>
      <c r="N29" s="514"/>
      <c r="O29" s="171"/>
      <c r="P29" s="354"/>
      <c r="Q29" s="13"/>
      <c r="R29" s="514"/>
      <c r="S29" s="828"/>
      <c r="T29" s="828"/>
    </row>
    <row r="30" spans="1:29">
      <c r="J30"/>
      <c r="S30" s="828"/>
      <c r="T30" s="828"/>
    </row>
    <row r="31" spans="1:29" ht="13.15">
      <c r="A31" s="814" t="s">
        <v>530</v>
      </c>
      <c r="B31" s="4"/>
      <c r="C31" s="4"/>
      <c r="D31" s="4"/>
      <c r="E31" s="4"/>
      <c r="F31" s="4"/>
      <c r="G31" s="4"/>
      <c r="H31" s="4"/>
      <c r="I31" s="4"/>
      <c r="J31" s="125"/>
      <c r="K31" s="125"/>
      <c r="L31" s="125"/>
      <c r="M31" s="125"/>
      <c r="N31" s="514"/>
      <c r="O31" s="171"/>
      <c r="P31" s="354"/>
      <c r="Q31" s="354"/>
      <c r="R31" s="514"/>
      <c r="S31" s="828"/>
      <c r="T31" s="828"/>
    </row>
    <row r="32" spans="1:29" ht="40.9">
      <c r="A32" s="3" t="s">
        <v>515</v>
      </c>
      <c r="B32" s="4"/>
      <c r="C32" s="4"/>
      <c r="D32" s="4"/>
      <c r="E32" s="4"/>
      <c r="F32" s="4"/>
      <c r="G32" s="4"/>
      <c r="H32" s="4"/>
      <c r="I32" s="4"/>
      <c r="J32" s="435" t="s">
        <v>524</v>
      </c>
      <c r="K32" s="435" t="s">
        <v>525</v>
      </c>
      <c r="L32" s="435" t="s">
        <v>526</v>
      </c>
      <c r="M32" s="124" t="s">
        <v>531</v>
      </c>
      <c r="N32" s="124" t="s">
        <v>528</v>
      </c>
      <c r="O32" s="435" t="s">
        <v>529</v>
      </c>
      <c r="P32" s="354"/>
      <c r="Q32" s="354"/>
      <c r="R32" s="124" t="s">
        <v>528</v>
      </c>
      <c r="S32" s="828"/>
      <c r="T32" s="828"/>
    </row>
    <row r="33" spans="1:21" ht="13.15">
      <c r="A33" s="3" t="s">
        <v>271</v>
      </c>
      <c r="B33" s="4">
        <f>B2-D2</f>
        <v>847</v>
      </c>
      <c r="C33" s="4">
        <v>0</v>
      </c>
      <c r="D33" s="4">
        <v>2</v>
      </c>
      <c r="E33" s="4">
        <f>(B2-B33)-C33-D33</f>
        <v>94</v>
      </c>
      <c r="F33" s="4">
        <f>C2-E2</f>
        <v>136</v>
      </c>
      <c r="G33" s="4">
        <v>0</v>
      </c>
      <c r="H33" s="4">
        <v>0</v>
      </c>
      <c r="I33" s="4">
        <f>C2-F33-H33</f>
        <v>190</v>
      </c>
      <c r="J33" s="125">
        <f t="shared" ref="J33:J42" si="10">(B33*0.96)+(F33*1.6)</f>
        <v>1030.72</v>
      </c>
      <c r="K33" s="125">
        <f t="shared" ref="K33:K42" si="11">(C33*0.96)+(G33*1.6)</f>
        <v>0</v>
      </c>
      <c r="L33" s="125">
        <f t="shared" ref="L33:L42" si="12">(D33*0.96)+(H33*1.6)</f>
        <v>1.92</v>
      </c>
      <c r="M33" s="125">
        <f>(B2*0.96)+(C2*1.6)</f>
        <v>1426.88</v>
      </c>
      <c r="N33" s="514">
        <f>1-(J33/M33)</f>
        <v>0.27764072662031847</v>
      </c>
      <c r="O33" s="171">
        <f>M33-(J33+K33+L33)</f>
        <v>394.24</v>
      </c>
      <c r="P33" s="354"/>
      <c r="Q33" s="354"/>
      <c r="R33" s="514">
        <v>0.44646758922068464</v>
      </c>
      <c r="S33" s="828">
        <v>1</v>
      </c>
      <c r="T33" s="828">
        <f t="shared" si="9"/>
        <v>0.55353241077931536</v>
      </c>
    </row>
    <row r="34" spans="1:21" ht="13.15">
      <c r="A34" s="3" t="s">
        <v>284</v>
      </c>
      <c r="B34" s="4">
        <f>B4-D4</f>
        <v>990</v>
      </c>
      <c r="C34" s="4">
        <v>0</v>
      </c>
      <c r="D34" s="4">
        <v>0</v>
      </c>
      <c r="E34" s="4">
        <f>(B4-B34)-C34-D34</f>
        <v>83</v>
      </c>
      <c r="F34" s="4">
        <f>C4-E4</f>
        <v>167</v>
      </c>
      <c r="G34" s="4"/>
      <c r="H34" s="4">
        <v>0</v>
      </c>
      <c r="I34" s="4">
        <f>C4-F34-G34-H34</f>
        <v>444</v>
      </c>
      <c r="J34" s="125">
        <f t="shared" si="10"/>
        <v>1217.5999999999999</v>
      </c>
      <c r="K34" s="125">
        <f t="shared" si="11"/>
        <v>0</v>
      </c>
      <c r="L34" s="125">
        <f t="shared" si="12"/>
        <v>0</v>
      </c>
      <c r="M34" s="125">
        <f>(B4*0.96)+(C4*1.6)</f>
        <v>2007.6799999999998</v>
      </c>
      <c r="N34" s="514">
        <f t="shared" ref="N34:N40" si="13">1-(J34/M34)</f>
        <v>0.393528849218999</v>
      </c>
      <c r="O34" s="171">
        <f>M34-(J34+K34+L34)</f>
        <v>790.07999999999993</v>
      </c>
      <c r="P34" s="354"/>
      <c r="Q34" s="354"/>
      <c r="R34" s="514">
        <v>0.64101423487544484</v>
      </c>
      <c r="S34" s="828">
        <v>1</v>
      </c>
      <c r="T34" s="828">
        <f t="shared" si="9"/>
        <v>0.35898576512455516</v>
      </c>
    </row>
    <row r="35" spans="1:21" ht="13.15">
      <c r="A35" s="3" t="s">
        <v>293</v>
      </c>
      <c r="B35" s="4">
        <f>B6-D6</f>
        <v>669</v>
      </c>
      <c r="C35" s="4">
        <v>0</v>
      </c>
      <c r="D35" s="4">
        <v>0</v>
      </c>
      <c r="E35" s="4">
        <f>(B6-B35)-C35-D35</f>
        <v>32</v>
      </c>
      <c r="F35" s="4">
        <f>C6-E6</f>
        <v>183</v>
      </c>
      <c r="G35" s="4">
        <v>0</v>
      </c>
      <c r="H35" s="4">
        <v>0</v>
      </c>
      <c r="I35" s="4">
        <f>C6-F35-G35-H35</f>
        <v>201</v>
      </c>
      <c r="J35" s="125">
        <f t="shared" si="10"/>
        <v>935.04</v>
      </c>
      <c r="K35" s="125">
        <f t="shared" si="11"/>
        <v>0</v>
      </c>
      <c r="L35" s="125">
        <f t="shared" si="12"/>
        <v>0</v>
      </c>
      <c r="M35" s="125">
        <f>(B6*0.96)+(C6*1.6)</f>
        <v>1287.3600000000001</v>
      </c>
      <c r="N35" s="514">
        <f t="shared" si="13"/>
        <v>0.27367636092468317</v>
      </c>
      <c r="O35" s="171">
        <f t="shared" ref="O35:O42" si="14">M35-(J35+K35+L35)</f>
        <v>352.32000000000016</v>
      </c>
      <c r="P35" s="354"/>
      <c r="Q35" s="354"/>
      <c r="R35" s="514">
        <v>0.50457317073170727</v>
      </c>
      <c r="S35" s="828">
        <v>1</v>
      </c>
      <c r="T35" s="828">
        <f t="shared" si="9"/>
        <v>0.49542682926829273</v>
      </c>
    </row>
    <row r="36" spans="1:21" ht="13.15">
      <c r="A36" s="3" t="s">
        <v>314</v>
      </c>
      <c r="B36" s="4">
        <f>SUM(B37:B39)</f>
        <v>1754</v>
      </c>
      <c r="C36" s="4">
        <v>6</v>
      </c>
      <c r="D36" s="4">
        <v>0</v>
      </c>
      <c r="E36" s="4">
        <f t="shared" ref="E36:I36" si="15">SUM(E37:E39)</f>
        <v>108</v>
      </c>
      <c r="F36" s="4">
        <f t="shared" si="15"/>
        <v>301</v>
      </c>
      <c r="G36" s="4">
        <f t="shared" si="15"/>
        <v>0</v>
      </c>
      <c r="H36" s="4">
        <f t="shared" si="15"/>
        <v>0</v>
      </c>
      <c r="I36" s="4">
        <f t="shared" si="15"/>
        <v>514</v>
      </c>
      <c r="J36" s="125">
        <f t="shared" si="10"/>
        <v>2165.44</v>
      </c>
      <c r="K36" s="125">
        <f t="shared" si="11"/>
        <v>5.76</v>
      </c>
      <c r="L36" s="125">
        <f t="shared" si="12"/>
        <v>0</v>
      </c>
      <c r="M36" s="515">
        <f>SUM(M37:M39)</f>
        <v>3091.52</v>
      </c>
      <c r="N36" s="516">
        <f t="shared" si="13"/>
        <v>0.2995549114998447</v>
      </c>
      <c r="O36" s="171">
        <f t="shared" si="14"/>
        <v>920.31999999999971</v>
      </c>
      <c r="P36" s="354"/>
      <c r="Q36" s="354"/>
      <c r="R36" s="516">
        <v>0.57822445561139024</v>
      </c>
      <c r="S36" s="828">
        <v>1</v>
      </c>
      <c r="T36" s="828">
        <f t="shared" si="9"/>
        <v>0.42177554438860976</v>
      </c>
    </row>
    <row r="37" spans="1:21" ht="15.6">
      <c r="A37" s="3" t="s">
        <v>510</v>
      </c>
      <c r="B37" s="4">
        <f>B9-D9</f>
        <v>580</v>
      </c>
      <c r="C37" s="4"/>
      <c r="D37" s="4">
        <v>0</v>
      </c>
      <c r="E37" s="4">
        <f>(B9-B37)-C37-D37</f>
        <v>39</v>
      </c>
      <c r="F37" s="4">
        <f>C9-E9</f>
        <v>131</v>
      </c>
      <c r="G37" s="4"/>
      <c r="H37" s="4">
        <v>0</v>
      </c>
      <c r="I37" s="4">
        <f>C9-F37-G37-H37</f>
        <v>171</v>
      </c>
      <c r="J37" s="125">
        <f t="shared" si="10"/>
        <v>766.4</v>
      </c>
      <c r="K37" s="125">
        <f t="shared" si="11"/>
        <v>0</v>
      </c>
      <c r="L37" s="125">
        <f t="shared" si="12"/>
        <v>0</v>
      </c>
      <c r="M37" s="125">
        <f>(B9*0.96)+(C9*1.6)</f>
        <v>1077.44</v>
      </c>
      <c r="N37" s="514">
        <f t="shared" si="13"/>
        <v>0.28868428868428875</v>
      </c>
      <c r="O37" s="171">
        <f t="shared" si="14"/>
        <v>311.04000000000008</v>
      </c>
      <c r="P37" s="354"/>
      <c r="Q37" s="354"/>
      <c r="R37" s="514">
        <v>0.55222524977293386</v>
      </c>
      <c r="S37" s="828">
        <v>1</v>
      </c>
      <c r="T37" s="828">
        <f t="shared" si="9"/>
        <v>0.44777475022706614</v>
      </c>
    </row>
    <row r="38" spans="1:21" ht="15.6">
      <c r="A38" s="3" t="s">
        <v>511</v>
      </c>
      <c r="B38" s="4">
        <f>B10-D10</f>
        <v>582</v>
      </c>
      <c r="C38" s="4">
        <v>0</v>
      </c>
      <c r="D38" s="4">
        <v>0</v>
      </c>
      <c r="E38" s="4">
        <f>(B10-B38)-C38-D38</f>
        <v>39</v>
      </c>
      <c r="F38" s="4">
        <f>C10-E10</f>
        <v>125</v>
      </c>
      <c r="G38" s="4"/>
      <c r="H38" s="4">
        <v>0</v>
      </c>
      <c r="I38" s="4">
        <f>C10-F38-G38-H38</f>
        <v>148</v>
      </c>
      <c r="J38" s="125">
        <f t="shared" si="10"/>
        <v>758.72</v>
      </c>
      <c r="K38" s="125">
        <f t="shared" si="11"/>
        <v>0</v>
      </c>
      <c r="L38" s="125">
        <f t="shared" si="12"/>
        <v>0</v>
      </c>
      <c r="M38" s="125">
        <f>(B10*0.96)+(C10*1.6)</f>
        <v>1032.96</v>
      </c>
      <c r="N38" s="514">
        <f t="shared" si="13"/>
        <v>0.26548946716232957</v>
      </c>
      <c r="O38" s="171">
        <f t="shared" si="14"/>
        <v>274.24</v>
      </c>
      <c r="P38" s="354"/>
      <c r="Q38" s="354"/>
      <c r="R38" s="514">
        <v>0.40729783037475353</v>
      </c>
      <c r="S38" s="828">
        <v>1</v>
      </c>
      <c r="T38" s="828">
        <f t="shared" si="9"/>
        <v>0.59270216962524647</v>
      </c>
    </row>
    <row r="39" spans="1:21" ht="15.6">
      <c r="A39" s="3" t="s">
        <v>512</v>
      </c>
      <c r="B39" s="4">
        <f>B11-D11</f>
        <v>592</v>
      </c>
      <c r="C39" s="4"/>
      <c r="D39" s="4">
        <v>0</v>
      </c>
      <c r="E39" s="4">
        <f>(B11-B39)-C39-D39</f>
        <v>30</v>
      </c>
      <c r="F39" s="4">
        <f>C11-E11</f>
        <v>45</v>
      </c>
      <c r="G39" s="4">
        <v>0</v>
      </c>
      <c r="H39" s="4">
        <v>0</v>
      </c>
      <c r="I39" s="4">
        <f>C11-F39-G39-H39</f>
        <v>195</v>
      </c>
      <c r="J39" s="125">
        <f t="shared" si="10"/>
        <v>640.31999999999994</v>
      </c>
      <c r="K39" s="125">
        <f t="shared" si="11"/>
        <v>0</v>
      </c>
      <c r="L39" s="125">
        <f t="shared" si="12"/>
        <v>0</v>
      </c>
      <c r="M39" s="125">
        <f>(B11*0.96)+(C11*1.6)</f>
        <v>981.12</v>
      </c>
      <c r="N39" s="514">
        <f t="shared" si="13"/>
        <v>0.34735812133072419</v>
      </c>
      <c r="O39" s="171">
        <f t="shared" si="14"/>
        <v>340.80000000000007</v>
      </c>
      <c r="P39" s="354"/>
      <c r="Q39" s="354"/>
      <c r="R39" s="514">
        <v>0.81034482758620685</v>
      </c>
      <c r="S39" s="828">
        <v>1</v>
      </c>
      <c r="T39" s="828">
        <f t="shared" si="9"/>
        <v>0.18965517241379315</v>
      </c>
    </row>
    <row r="40" spans="1:21" ht="13.15">
      <c r="A40" s="3" t="s">
        <v>335</v>
      </c>
      <c r="B40" s="4">
        <f>B15-D15</f>
        <v>1015</v>
      </c>
      <c r="C40" s="4">
        <v>0</v>
      </c>
      <c r="D40" s="4">
        <v>2</v>
      </c>
      <c r="E40" s="4">
        <f>(B15-B40)-C40-D40</f>
        <v>61</v>
      </c>
      <c r="F40" s="4">
        <f>C15-E15</f>
        <v>216</v>
      </c>
      <c r="G40" s="4">
        <v>0</v>
      </c>
      <c r="H40" s="4">
        <v>2</v>
      </c>
      <c r="I40" s="4">
        <f>C15-F40-G40-H40</f>
        <v>377</v>
      </c>
      <c r="J40" s="125">
        <f t="shared" si="10"/>
        <v>1320</v>
      </c>
      <c r="K40" s="125">
        <f t="shared" si="11"/>
        <v>0</v>
      </c>
      <c r="L40" s="125">
        <f t="shared" si="12"/>
        <v>5.12</v>
      </c>
      <c r="M40" s="125">
        <f>(B15*0.96)+(C15*1.6)</f>
        <v>1986.8799999999999</v>
      </c>
      <c r="N40" s="514">
        <f t="shared" si="13"/>
        <v>0.33564181027540663</v>
      </c>
      <c r="O40" s="171">
        <f t="shared" si="14"/>
        <v>661.76</v>
      </c>
      <c r="P40" s="354"/>
      <c r="Q40" s="354"/>
      <c r="R40" s="514">
        <v>0.58981612446958986</v>
      </c>
      <c r="S40" s="828">
        <v>1</v>
      </c>
      <c r="T40" s="828">
        <f t="shared" si="9"/>
        <v>0.41018387553041014</v>
      </c>
    </row>
    <row r="41" spans="1:21" ht="13.15">
      <c r="A41" s="3" t="s">
        <v>338</v>
      </c>
      <c r="B41" s="4">
        <f>B16-D16</f>
        <v>1161</v>
      </c>
      <c r="C41" s="4">
        <v>0</v>
      </c>
      <c r="D41" s="4">
        <v>14</v>
      </c>
      <c r="E41" s="4">
        <f>(B16-B41)-C41-D41</f>
        <v>43</v>
      </c>
      <c r="F41" s="4">
        <f>C16-E16</f>
        <v>145</v>
      </c>
      <c r="G41" s="4">
        <v>0</v>
      </c>
      <c r="H41" s="4">
        <v>0</v>
      </c>
      <c r="I41" s="4">
        <f>C16-F41-G41-H41</f>
        <v>521</v>
      </c>
      <c r="J41" s="125">
        <f t="shared" si="10"/>
        <v>1346.56</v>
      </c>
      <c r="K41" s="125">
        <f t="shared" si="11"/>
        <v>0</v>
      </c>
      <c r="L41" s="125">
        <f t="shared" si="12"/>
        <v>13.44</v>
      </c>
      <c r="M41" s="125">
        <f>(B16*0.96)+(C16*1.6)</f>
        <v>2234.88</v>
      </c>
      <c r="N41" s="514">
        <f>1-(J41/M41)</f>
        <v>0.39747995418098514</v>
      </c>
      <c r="O41" s="171">
        <f t="shared" si="14"/>
        <v>874.88000000000011</v>
      </c>
      <c r="P41" s="354"/>
      <c r="Q41" s="354"/>
      <c r="R41" s="514">
        <v>0.70136144049187532</v>
      </c>
      <c r="S41" s="828">
        <v>1</v>
      </c>
      <c r="T41" s="828">
        <f t="shared" si="9"/>
        <v>0.29863855950812468</v>
      </c>
    </row>
    <row r="42" spans="1:21" ht="13.15">
      <c r="A42" s="3" t="s">
        <v>341</v>
      </c>
      <c r="B42" s="4">
        <f>B17-D17</f>
        <v>818</v>
      </c>
      <c r="C42" s="4">
        <v>0</v>
      </c>
      <c r="D42" s="4">
        <v>0</v>
      </c>
      <c r="E42" s="4">
        <f>(B17-B42)-C42-D42</f>
        <v>43</v>
      </c>
      <c r="F42" s="4">
        <f>C17-E17</f>
        <v>186</v>
      </c>
      <c r="G42" s="4">
        <v>0</v>
      </c>
      <c r="H42" s="4">
        <v>0</v>
      </c>
      <c r="I42" s="4">
        <f>C17-F42-G42-H42</f>
        <v>283</v>
      </c>
      <c r="J42" s="125">
        <f t="shared" si="10"/>
        <v>1082.8800000000001</v>
      </c>
      <c r="K42" s="125">
        <f t="shared" si="11"/>
        <v>0</v>
      </c>
      <c r="L42" s="125">
        <f t="shared" si="12"/>
        <v>0</v>
      </c>
      <c r="M42" s="125">
        <f>(B17*0.96)+(C17*1.6)</f>
        <v>1576.96</v>
      </c>
      <c r="N42" s="514">
        <f>1-(J42/M42)</f>
        <v>0.31331168831168821</v>
      </c>
      <c r="O42" s="171">
        <f t="shared" si="14"/>
        <v>494.07999999999993</v>
      </c>
      <c r="P42" s="354"/>
      <c r="Q42" s="354"/>
      <c r="R42" s="514">
        <v>0.56843403205918608</v>
      </c>
      <c r="S42" s="828">
        <v>1</v>
      </c>
      <c r="T42" s="828">
        <f t="shared" si="9"/>
        <v>0.43156596794081392</v>
      </c>
    </row>
    <row r="43" spans="1:21" ht="13.15">
      <c r="A43" s="3"/>
      <c r="B43" s="4"/>
      <c r="C43" s="4"/>
      <c r="D43" s="4"/>
      <c r="E43" s="4"/>
      <c r="F43" s="4"/>
      <c r="G43" s="4"/>
      <c r="H43" s="10"/>
      <c r="I43" s="10"/>
      <c r="J43" s="10"/>
      <c r="K43" s="10"/>
      <c r="L43" s="10"/>
      <c r="M43" s="10"/>
      <c r="N43" s="10"/>
      <c r="O43" s="517"/>
      <c r="P43" s="495"/>
      <c r="S43" s="827" cm="1">
        <f t="array" ref="S43:S52">R22:R28+R33:R42</f>
        <v>0.89055010822177039</v>
      </c>
      <c r="T43" s="827"/>
      <c r="U43" s="827" cm="1">
        <f t="array" ref="U43:U52">T22:T28+T33:T42</f>
        <v>1.1094498917782296</v>
      </c>
    </row>
    <row r="44" spans="1:21" ht="13.15">
      <c r="A44" s="11"/>
      <c r="B44" s="3" t="s">
        <v>516</v>
      </c>
      <c r="C44" s="809" t="s">
        <v>532</v>
      </c>
      <c r="D44" s="3" t="s">
        <v>519</v>
      </c>
      <c r="E44" s="3" t="s">
        <v>520</v>
      </c>
      <c r="F44" s="2" t="s">
        <v>533</v>
      </c>
      <c r="G44" s="3" t="s">
        <v>523</v>
      </c>
      <c r="K44" s="10"/>
      <c r="L44" s="10"/>
      <c r="M44" s="10"/>
      <c r="N44" s="10"/>
      <c r="O44" s="517"/>
      <c r="P44" s="495"/>
      <c r="S44">
        <v>0.8611929001408154</v>
      </c>
      <c r="U44">
        <v>1.1388070998591846</v>
      </c>
    </row>
    <row r="45" spans="1:21" ht="13.15">
      <c r="A45" s="27" t="s">
        <v>534</v>
      </c>
      <c r="B45">
        <f>SUM(B22:B42)</f>
        <v>15950</v>
      </c>
      <c r="C45" s="518">
        <f>SUM(D22:D42)</f>
        <v>38</v>
      </c>
      <c r="D45">
        <f>SUM(E22:E42)</f>
        <v>1612</v>
      </c>
      <c r="E45">
        <f>SUM(F22:F42)</f>
        <v>3255</v>
      </c>
      <c r="F45" s="518">
        <f>SUM(H22:H42)</f>
        <v>18</v>
      </c>
      <c r="G45" s="518">
        <f>SUM(I22:I42)</f>
        <v>4614</v>
      </c>
      <c r="K45" s="10"/>
      <c r="L45" s="10"/>
      <c r="M45" s="10"/>
      <c r="N45" s="10"/>
      <c r="O45" s="517"/>
      <c r="P45" s="495"/>
      <c r="S45">
        <v>0.85994982398070097</v>
      </c>
      <c r="U45">
        <v>1.1400501760192991</v>
      </c>
    </row>
    <row r="46" spans="1:21">
      <c r="K46" s="10"/>
      <c r="L46" s="10"/>
      <c r="M46" s="10"/>
      <c r="N46" s="10"/>
      <c r="O46" s="517"/>
      <c r="P46" s="495"/>
      <c r="S46">
        <v>0.80918892261646636</v>
      </c>
      <c r="U46">
        <v>1.1908110773835336</v>
      </c>
    </row>
    <row r="47" spans="1:21">
      <c r="A47" s="11"/>
      <c r="K47" s="10"/>
      <c r="L47" s="10"/>
      <c r="M47" s="10"/>
      <c r="N47" s="10"/>
      <c r="O47" s="517"/>
      <c r="P47" s="495"/>
      <c r="S47">
        <v>0.76289481972394102</v>
      </c>
      <c r="U47">
        <v>1.2371051802760591</v>
      </c>
    </row>
    <row r="48" spans="1:21">
      <c r="K48" s="10"/>
      <c r="L48" s="10"/>
      <c r="M48" s="10"/>
      <c r="N48" s="10"/>
      <c r="O48" s="517"/>
      <c r="P48" s="495"/>
      <c r="S48">
        <v>0.97325527718326421</v>
      </c>
      <c r="U48">
        <v>1.0267447228167357</v>
      </c>
    </row>
    <row r="49" spans="1:21" ht="26.45">
      <c r="A49" s="28" t="s">
        <v>535</v>
      </c>
      <c r="B49" s="809" t="s">
        <v>500</v>
      </c>
      <c r="C49" s="3" t="s">
        <v>501</v>
      </c>
      <c r="D49" s="809" t="s">
        <v>502</v>
      </c>
      <c r="E49" s="809" t="s">
        <v>508</v>
      </c>
      <c r="F49" s="809" t="s">
        <v>509</v>
      </c>
      <c r="H49" s="24" t="s">
        <v>505</v>
      </c>
      <c r="I49" s="25" t="s">
        <v>536</v>
      </c>
      <c r="J49" s="25"/>
      <c r="K49" s="25"/>
      <c r="L49" s="10"/>
      <c r="M49" s="10"/>
      <c r="N49" s="10"/>
      <c r="O49" s="10"/>
      <c r="P49" s="517"/>
      <c r="Q49" s="495"/>
      <c r="S49">
        <v>1.4134724691753868</v>
      </c>
      <c r="U49">
        <v>0.58652753082461317</v>
      </c>
    </row>
    <row r="50" spans="1:21" ht="13.15">
      <c r="A50" s="2" t="s">
        <v>350</v>
      </c>
      <c r="B50" s="866">
        <v>373</v>
      </c>
      <c r="C50">
        <v>207</v>
      </c>
      <c r="D50">
        <v>13</v>
      </c>
      <c r="E50">
        <v>104</v>
      </c>
      <c r="F50">
        <v>9</v>
      </c>
      <c r="H50" s="5">
        <v>12</v>
      </c>
      <c r="I50" s="5">
        <f>INT((H50*600)/800)</f>
        <v>9</v>
      </c>
      <c r="J50" s="5"/>
      <c r="K50" s="5"/>
      <c r="L50" s="10"/>
      <c r="M50" s="10"/>
      <c r="N50" s="10"/>
      <c r="O50" s="10"/>
      <c r="P50" s="517"/>
      <c r="Q50" s="495"/>
      <c r="S50" t="e">
        <v>#N/A</v>
      </c>
      <c r="U50" t="e">
        <v>#N/A</v>
      </c>
    </row>
    <row r="51" spans="1:21" ht="13.15">
      <c r="A51" s="2" t="s">
        <v>355</v>
      </c>
      <c r="B51" s="866">
        <v>1046</v>
      </c>
      <c r="C51">
        <v>643</v>
      </c>
      <c r="D51">
        <v>52</v>
      </c>
      <c r="E51">
        <v>527</v>
      </c>
      <c r="F51">
        <v>46</v>
      </c>
      <c r="H51" s="5">
        <v>62</v>
      </c>
      <c r="I51" s="5">
        <f>INT((H51*600)/800)</f>
        <v>46</v>
      </c>
      <c r="J51" s="5"/>
      <c r="K51" s="5"/>
      <c r="L51" s="10"/>
      <c r="M51" s="10"/>
      <c r="N51" s="10"/>
      <c r="O51" s="10"/>
      <c r="P51" s="517"/>
      <c r="Q51" s="495"/>
      <c r="S51" t="e">
        <v>#N/A</v>
      </c>
      <c r="U51" t="e">
        <v>#N/A</v>
      </c>
    </row>
    <row r="52" spans="1:21" ht="13.15">
      <c r="A52" s="2" t="s">
        <v>352</v>
      </c>
      <c r="B52" s="866">
        <v>666</v>
      </c>
      <c r="C52">
        <v>391</v>
      </c>
      <c r="D52">
        <v>12</v>
      </c>
      <c r="E52">
        <v>269</v>
      </c>
      <c r="F52">
        <v>12</v>
      </c>
      <c r="H52" s="5">
        <v>16</v>
      </c>
      <c r="I52" s="5">
        <f t="shared" ref="I52:I63" si="16">INT((H52*600)/800)</f>
        <v>12</v>
      </c>
      <c r="J52" s="5"/>
      <c r="K52" s="5"/>
      <c r="L52" s="10"/>
      <c r="M52" s="10"/>
      <c r="N52" s="10"/>
      <c r="O52" s="10"/>
      <c r="P52" s="517"/>
      <c r="Q52" s="495"/>
      <c r="S52" t="e">
        <v>#N/A</v>
      </c>
      <c r="U52" t="e">
        <v>#N/A</v>
      </c>
    </row>
    <row r="53" spans="1:21" ht="13.15">
      <c r="A53" s="2" t="s">
        <v>357</v>
      </c>
      <c r="B53" s="866">
        <v>995</v>
      </c>
      <c r="C53">
        <v>630</v>
      </c>
      <c r="D53">
        <v>6</v>
      </c>
      <c r="E53">
        <v>450</v>
      </c>
      <c r="F53">
        <v>5</v>
      </c>
      <c r="H53" s="5">
        <v>7</v>
      </c>
      <c r="I53" s="5">
        <f t="shared" si="16"/>
        <v>5</v>
      </c>
      <c r="J53" s="5"/>
      <c r="K53" s="5"/>
      <c r="L53" s="10"/>
      <c r="M53" s="10"/>
      <c r="N53" s="10"/>
      <c r="O53" s="10"/>
      <c r="P53" s="517"/>
      <c r="Q53" s="495"/>
    </row>
    <row r="54" spans="1:21" ht="13.15">
      <c r="A54" s="2" t="s">
        <v>359</v>
      </c>
      <c r="B54" s="866">
        <v>67</v>
      </c>
      <c r="C54">
        <v>29</v>
      </c>
      <c r="D54">
        <v>0</v>
      </c>
      <c r="E54">
        <v>8</v>
      </c>
      <c r="F54">
        <v>0</v>
      </c>
      <c r="H54" s="5"/>
      <c r="I54" s="5">
        <f t="shared" si="16"/>
        <v>0</v>
      </c>
      <c r="J54" s="5"/>
      <c r="K54" s="5"/>
      <c r="L54" s="10"/>
      <c r="M54" s="10"/>
      <c r="N54" s="10"/>
      <c r="O54" s="10"/>
      <c r="P54" s="517"/>
      <c r="Q54" s="495"/>
    </row>
    <row r="55" spans="1:21" ht="13.15">
      <c r="A55" s="2" t="s">
        <v>361</v>
      </c>
      <c r="B55" s="866">
        <v>694</v>
      </c>
      <c r="C55">
        <v>396</v>
      </c>
      <c r="D55">
        <v>0</v>
      </c>
      <c r="E55">
        <v>171</v>
      </c>
      <c r="F55">
        <v>0</v>
      </c>
      <c r="H55" s="5"/>
      <c r="I55" s="5">
        <f t="shared" si="16"/>
        <v>0</v>
      </c>
      <c r="J55" s="5"/>
      <c r="K55" s="5"/>
      <c r="L55" s="10"/>
      <c r="M55" s="10"/>
      <c r="N55" s="10"/>
      <c r="O55" s="10"/>
      <c r="P55" s="517"/>
      <c r="Q55" s="495"/>
    </row>
    <row r="56" spans="1:21" ht="13.15">
      <c r="A56" s="2" t="s">
        <v>537</v>
      </c>
      <c r="B56" s="866">
        <v>588</v>
      </c>
      <c r="C56">
        <v>336</v>
      </c>
      <c r="D56">
        <v>0</v>
      </c>
      <c r="E56">
        <v>252</v>
      </c>
      <c r="F56">
        <v>0</v>
      </c>
      <c r="H56" s="5"/>
      <c r="I56" s="5"/>
      <c r="J56" s="5"/>
      <c r="K56" s="5"/>
      <c r="L56" s="10"/>
      <c r="M56" s="10"/>
      <c r="N56" s="10"/>
      <c r="O56" s="10"/>
      <c r="P56" s="517"/>
      <c r="Q56" s="495"/>
    </row>
    <row r="57" spans="1:21" ht="13.15">
      <c r="A57" s="2" t="s">
        <v>538</v>
      </c>
      <c r="B57" s="866">
        <v>108</v>
      </c>
      <c r="C57">
        <v>172</v>
      </c>
      <c r="D57">
        <v>7</v>
      </c>
      <c r="E57">
        <v>99</v>
      </c>
      <c r="F57">
        <v>7</v>
      </c>
      <c r="H57" s="5">
        <v>10</v>
      </c>
      <c r="I57" s="5">
        <f t="shared" si="16"/>
        <v>7</v>
      </c>
      <c r="J57" s="5"/>
      <c r="K57" s="5"/>
      <c r="L57" s="10"/>
      <c r="M57" s="10"/>
      <c r="N57" s="10"/>
      <c r="O57" s="10"/>
      <c r="P57" s="517"/>
      <c r="Q57" s="495"/>
    </row>
    <row r="58" spans="1:21" ht="13.15">
      <c r="A58" s="2" t="s">
        <v>365</v>
      </c>
      <c r="B58" s="866">
        <v>966</v>
      </c>
      <c r="C58">
        <v>512</v>
      </c>
      <c r="D58">
        <v>21</v>
      </c>
      <c r="E58">
        <v>265</v>
      </c>
      <c r="F58">
        <v>7</v>
      </c>
      <c r="H58" s="5">
        <v>10</v>
      </c>
      <c r="I58" s="5">
        <f t="shared" si="16"/>
        <v>7</v>
      </c>
      <c r="J58" s="5"/>
      <c r="K58" s="5"/>
      <c r="L58" s="10"/>
      <c r="M58" s="10"/>
      <c r="N58" s="10"/>
      <c r="O58" s="10"/>
      <c r="P58" s="517"/>
      <c r="Q58" s="495"/>
    </row>
    <row r="59" spans="1:21" ht="13.15">
      <c r="A59" s="2" t="s">
        <v>539</v>
      </c>
      <c r="B59" s="866">
        <v>166</v>
      </c>
      <c r="C59">
        <v>55</v>
      </c>
      <c r="D59">
        <v>0</v>
      </c>
      <c r="E59">
        <v>4</v>
      </c>
      <c r="F59">
        <v>0</v>
      </c>
      <c r="H59" s="5"/>
      <c r="I59" s="5"/>
      <c r="J59" s="5"/>
      <c r="K59" s="5"/>
      <c r="L59" s="10"/>
      <c r="M59" s="10"/>
      <c r="N59" s="10"/>
      <c r="O59" s="10"/>
      <c r="P59" s="517"/>
      <c r="Q59" s="495"/>
    </row>
    <row r="60" spans="1:21" ht="13.15">
      <c r="A60" s="2" t="s">
        <v>540</v>
      </c>
      <c r="B60" s="866">
        <v>250</v>
      </c>
      <c r="C60">
        <v>156</v>
      </c>
      <c r="D60">
        <v>0</v>
      </c>
      <c r="E60">
        <v>56</v>
      </c>
      <c r="F60">
        <v>0</v>
      </c>
      <c r="H60" s="5"/>
      <c r="I60" s="5">
        <f t="shared" si="16"/>
        <v>0</v>
      </c>
      <c r="J60" s="5"/>
      <c r="K60" s="5"/>
      <c r="L60" s="10"/>
      <c r="M60" s="10"/>
      <c r="N60" s="10"/>
      <c r="O60" s="10"/>
      <c r="P60" s="517"/>
      <c r="Q60" s="495"/>
    </row>
    <row r="61" spans="1:21" ht="13.15">
      <c r="A61" s="2" t="s">
        <v>541</v>
      </c>
      <c r="B61" s="866">
        <v>252</v>
      </c>
      <c r="C61">
        <v>156</v>
      </c>
      <c r="D61">
        <v>0</v>
      </c>
      <c r="E61">
        <v>115</v>
      </c>
      <c r="F61">
        <v>0</v>
      </c>
      <c r="H61" s="5"/>
      <c r="I61" s="5"/>
      <c r="J61" s="5"/>
      <c r="K61" s="5"/>
      <c r="L61" s="10"/>
      <c r="M61" s="10"/>
      <c r="N61" s="10"/>
      <c r="O61" s="10"/>
      <c r="P61" s="517"/>
      <c r="Q61" s="495"/>
    </row>
    <row r="62" spans="1:21" ht="13.15">
      <c r="A62" s="2" t="s">
        <v>372</v>
      </c>
      <c r="B62" s="866">
        <v>939</v>
      </c>
      <c r="C62">
        <v>640</v>
      </c>
      <c r="D62">
        <v>9</v>
      </c>
      <c r="E62">
        <v>488</v>
      </c>
      <c r="F62">
        <v>1</v>
      </c>
      <c r="H62" s="5">
        <v>2</v>
      </c>
      <c r="I62" s="5">
        <f t="shared" si="16"/>
        <v>1</v>
      </c>
      <c r="J62" s="5"/>
      <c r="K62" s="5"/>
      <c r="L62" s="10"/>
      <c r="M62" s="10"/>
      <c r="N62" s="10"/>
      <c r="O62" s="10"/>
      <c r="P62" s="517"/>
      <c r="Q62" s="495"/>
    </row>
    <row r="63" spans="1:21" ht="13.15">
      <c r="A63" s="2" t="s">
        <v>374</v>
      </c>
      <c r="B63" s="866">
        <v>268</v>
      </c>
      <c r="C63">
        <v>105</v>
      </c>
      <c r="D63">
        <v>0</v>
      </c>
      <c r="E63">
        <v>41</v>
      </c>
      <c r="F63">
        <v>0</v>
      </c>
      <c r="H63" s="5"/>
      <c r="I63" s="5">
        <f t="shared" si="16"/>
        <v>0</v>
      </c>
      <c r="J63" s="5"/>
      <c r="K63" s="5"/>
      <c r="L63" s="10"/>
      <c r="M63" s="10"/>
      <c r="N63" s="10"/>
      <c r="O63" s="10"/>
      <c r="P63" s="517"/>
      <c r="Q63" s="495"/>
    </row>
    <row r="64" spans="1:21">
      <c r="H64" s="5"/>
      <c r="I64" s="5"/>
      <c r="J64" s="5"/>
      <c r="K64" s="10"/>
      <c r="L64" s="10"/>
      <c r="M64" s="10"/>
      <c r="N64" s="10"/>
      <c r="O64" s="517"/>
      <c r="P64" s="495"/>
    </row>
    <row r="65" spans="1:16">
      <c r="K65" s="10"/>
      <c r="L65" s="10"/>
      <c r="M65" s="10"/>
      <c r="N65" s="10"/>
      <c r="O65" s="517"/>
      <c r="P65" s="495"/>
    </row>
    <row r="66" spans="1:16" ht="13.15">
      <c r="A66" s="2" t="s">
        <v>542</v>
      </c>
      <c r="B66" s="2"/>
      <c r="K66" s="10"/>
      <c r="L66" s="10"/>
      <c r="M66" s="10"/>
      <c r="N66" s="10"/>
      <c r="O66" s="517"/>
      <c r="P66" s="495"/>
    </row>
    <row r="67" spans="1:16" ht="21">
      <c r="A67" s="2" t="s">
        <v>515</v>
      </c>
      <c r="B67" s="3" t="s">
        <v>516</v>
      </c>
      <c r="C67" s="3" t="s">
        <v>517</v>
      </c>
      <c r="D67" s="3" t="s">
        <v>518</v>
      </c>
      <c r="E67" s="809" t="s">
        <v>519</v>
      </c>
      <c r="F67" s="3" t="s">
        <v>520</v>
      </c>
      <c r="G67" s="3" t="s">
        <v>521</v>
      </c>
      <c r="H67" s="2" t="s">
        <v>522</v>
      </c>
      <c r="I67" s="3" t="s">
        <v>523</v>
      </c>
      <c r="J67" s="3"/>
      <c r="K67" s="125" t="s">
        <v>524</v>
      </c>
      <c r="L67" s="125" t="s">
        <v>525</v>
      </c>
      <c r="M67" s="125" t="s">
        <v>526</v>
      </c>
      <c r="N67" s="496" t="s">
        <v>531</v>
      </c>
      <c r="O67" s="514" t="s">
        <v>528</v>
      </c>
      <c r="P67" s="171" t="s">
        <v>529</v>
      </c>
    </row>
    <row r="68" spans="1:16" ht="13.15">
      <c r="A68" s="2" t="s">
        <v>350</v>
      </c>
      <c r="B68" s="4">
        <f t="shared" ref="B68:B74" si="17">C50-E50</f>
        <v>103</v>
      </c>
      <c r="C68" s="4"/>
      <c r="D68" s="4">
        <v>0</v>
      </c>
      <c r="E68" s="4">
        <f t="shared" ref="E68:E81" si="18">SUM(E50-C68-D68)</f>
        <v>104</v>
      </c>
      <c r="F68" s="4">
        <f t="shared" ref="F68:F76" si="19">D50-F50</f>
        <v>4</v>
      </c>
      <c r="G68" s="4"/>
      <c r="H68" s="4">
        <v>0</v>
      </c>
      <c r="I68" s="4">
        <f t="shared" ref="I68:I76" si="20">D50-F68-H68</f>
        <v>9</v>
      </c>
      <c r="J68" s="4"/>
      <c r="K68" s="125">
        <f>(B68*0.96)+(F68*1.6)</f>
        <v>105.28</v>
      </c>
      <c r="L68" s="125">
        <f>(C68*0.96)+(G68*1.6)</f>
        <v>0</v>
      </c>
      <c r="M68" s="125">
        <f>(D68*0.96)+(H68*1.6)</f>
        <v>0</v>
      </c>
      <c r="N68" s="125">
        <f t="shared" ref="N68:N74" si="21">(C50*0.96)+(D50*1.6)</f>
        <v>219.52</v>
      </c>
      <c r="O68" s="514">
        <f t="shared" ref="O68:O81" si="22">1-(K68/N68)</f>
        <v>0.52040816326530615</v>
      </c>
      <c r="P68" s="171">
        <f t="shared" ref="P68:P81" si="23">N68-(K68+M68)</f>
        <v>114.24000000000001</v>
      </c>
    </row>
    <row r="69" spans="1:16" ht="13.15">
      <c r="A69" s="2" t="s">
        <v>355</v>
      </c>
      <c r="B69" s="4">
        <f t="shared" si="17"/>
        <v>116</v>
      </c>
      <c r="C69" s="4"/>
      <c r="D69" s="4">
        <v>0</v>
      </c>
      <c r="E69" s="4">
        <f t="shared" si="18"/>
        <v>527</v>
      </c>
      <c r="F69" s="4">
        <f t="shared" si="19"/>
        <v>6</v>
      </c>
      <c r="G69" s="4"/>
      <c r="H69" s="4">
        <v>0</v>
      </c>
      <c r="I69" s="4">
        <f t="shared" si="20"/>
        <v>46</v>
      </c>
      <c r="J69" s="4"/>
      <c r="K69" s="125">
        <f>(B69*0.96)+(F69*1.6)</f>
        <v>120.96000000000001</v>
      </c>
      <c r="L69" s="125">
        <f t="shared" ref="L69:L81" si="24">(C69*0.96)+(G69*1.6)</f>
        <v>0</v>
      </c>
      <c r="M69" s="125">
        <f t="shared" ref="M69:M81" si="25">(D69*0.96)+(H69*1.6)</f>
        <v>0</v>
      </c>
      <c r="N69" s="125">
        <f t="shared" si="21"/>
        <v>700.48</v>
      </c>
      <c r="O69" s="514">
        <f t="shared" si="22"/>
        <v>0.82731841023298314</v>
      </c>
      <c r="P69" s="171">
        <f t="shared" si="23"/>
        <v>579.52</v>
      </c>
    </row>
    <row r="70" spans="1:16" ht="13.15">
      <c r="A70" s="2" t="s">
        <v>352</v>
      </c>
      <c r="B70" s="4">
        <f t="shared" si="17"/>
        <v>122</v>
      </c>
      <c r="C70" s="4"/>
      <c r="D70" s="4">
        <v>1</v>
      </c>
      <c r="E70" s="4">
        <f t="shared" si="18"/>
        <v>268</v>
      </c>
      <c r="F70" s="4">
        <f t="shared" si="19"/>
        <v>0</v>
      </c>
      <c r="G70" s="4"/>
      <c r="H70" s="4">
        <v>0</v>
      </c>
      <c r="I70" s="4">
        <f t="shared" si="20"/>
        <v>12</v>
      </c>
      <c r="J70" s="4"/>
      <c r="K70" s="125">
        <f t="shared" ref="K70:K76" si="26">(B70*0.96)+(F70*1.6)</f>
        <v>117.11999999999999</v>
      </c>
      <c r="L70" s="125">
        <f t="shared" si="24"/>
        <v>0</v>
      </c>
      <c r="M70" s="125">
        <f t="shared" si="25"/>
        <v>0.96</v>
      </c>
      <c r="N70" s="125">
        <f t="shared" si="21"/>
        <v>394.56</v>
      </c>
      <c r="O70" s="514">
        <f t="shared" si="22"/>
        <v>0.7031630170316302</v>
      </c>
      <c r="P70" s="171">
        <f t="shared" si="23"/>
        <v>276.48</v>
      </c>
    </row>
    <row r="71" spans="1:16" ht="13.15">
      <c r="A71" s="527" t="s">
        <v>357</v>
      </c>
      <c r="B71" s="4">
        <f t="shared" si="17"/>
        <v>180</v>
      </c>
      <c r="C71" s="4"/>
      <c r="D71" s="4">
        <v>0</v>
      </c>
      <c r="E71" s="4">
        <f t="shared" si="18"/>
        <v>450</v>
      </c>
      <c r="F71" s="4">
        <f t="shared" si="19"/>
        <v>1</v>
      </c>
      <c r="G71" s="4"/>
      <c r="H71" s="4">
        <v>0</v>
      </c>
      <c r="I71" s="4">
        <f t="shared" si="20"/>
        <v>5</v>
      </c>
      <c r="J71" s="4"/>
      <c r="K71" s="125">
        <f t="shared" si="26"/>
        <v>174.39999999999998</v>
      </c>
      <c r="L71" s="125">
        <f t="shared" si="24"/>
        <v>0</v>
      </c>
      <c r="M71" s="125">
        <f t="shared" si="25"/>
        <v>0</v>
      </c>
      <c r="N71" s="125">
        <f t="shared" si="21"/>
        <v>614.4</v>
      </c>
      <c r="O71" s="514">
        <f t="shared" si="22"/>
        <v>0.71614583333333337</v>
      </c>
      <c r="P71" s="171">
        <f t="shared" si="23"/>
        <v>440</v>
      </c>
    </row>
    <row r="72" spans="1:16" ht="13.15">
      <c r="A72" s="2" t="s">
        <v>359</v>
      </c>
      <c r="B72" s="4">
        <f t="shared" si="17"/>
        <v>21</v>
      </c>
      <c r="C72" s="4"/>
      <c r="D72" s="4">
        <v>0</v>
      </c>
      <c r="E72" s="4">
        <f t="shared" si="18"/>
        <v>8</v>
      </c>
      <c r="F72" s="4">
        <f t="shared" si="19"/>
        <v>0</v>
      </c>
      <c r="G72" s="4"/>
      <c r="H72" s="4">
        <v>0</v>
      </c>
      <c r="I72" s="4">
        <f t="shared" si="20"/>
        <v>0</v>
      </c>
      <c r="J72" s="4"/>
      <c r="K72" s="125">
        <f t="shared" si="26"/>
        <v>20.16</v>
      </c>
      <c r="L72" s="125">
        <f t="shared" si="24"/>
        <v>0</v>
      </c>
      <c r="M72" s="125">
        <f t="shared" si="25"/>
        <v>0</v>
      </c>
      <c r="N72" s="125">
        <f t="shared" si="21"/>
        <v>27.84</v>
      </c>
      <c r="O72" s="514">
        <f t="shared" si="22"/>
        <v>0.27586206896551724</v>
      </c>
      <c r="P72" s="171">
        <f t="shared" si="23"/>
        <v>7.68</v>
      </c>
    </row>
    <row r="73" spans="1:16" ht="13.15">
      <c r="A73" s="2" t="s">
        <v>361</v>
      </c>
      <c r="B73" s="4">
        <f t="shared" si="17"/>
        <v>225</v>
      </c>
      <c r="C73" s="4"/>
      <c r="D73" s="4">
        <v>10</v>
      </c>
      <c r="E73" s="4">
        <f t="shared" si="18"/>
        <v>161</v>
      </c>
      <c r="F73" s="4">
        <f t="shared" si="19"/>
        <v>0</v>
      </c>
      <c r="G73" s="4"/>
      <c r="H73" s="4">
        <v>0</v>
      </c>
      <c r="I73" s="4">
        <f t="shared" si="20"/>
        <v>0</v>
      </c>
      <c r="J73" s="4"/>
      <c r="K73" s="125">
        <f t="shared" si="26"/>
        <v>216</v>
      </c>
      <c r="L73" s="125">
        <f t="shared" si="24"/>
        <v>0</v>
      </c>
      <c r="M73" s="125">
        <f t="shared" si="25"/>
        <v>9.6</v>
      </c>
      <c r="N73" s="125">
        <f t="shared" si="21"/>
        <v>380.15999999999997</v>
      </c>
      <c r="O73" s="514">
        <f t="shared" si="22"/>
        <v>0.43181818181818177</v>
      </c>
      <c r="P73" s="171">
        <f t="shared" si="23"/>
        <v>154.55999999999997</v>
      </c>
    </row>
    <row r="74" spans="1:16" ht="13.15">
      <c r="A74" s="2" t="s">
        <v>537</v>
      </c>
      <c r="B74" s="4">
        <f t="shared" si="17"/>
        <v>84</v>
      </c>
      <c r="C74" s="4"/>
      <c r="D74" s="4">
        <v>0</v>
      </c>
      <c r="E74" s="4">
        <f t="shared" si="18"/>
        <v>252</v>
      </c>
      <c r="F74" s="4">
        <f t="shared" si="19"/>
        <v>0</v>
      </c>
      <c r="G74" s="4"/>
      <c r="H74" s="4">
        <v>0</v>
      </c>
      <c r="I74" s="4">
        <f t="shared" si="20"/>
        <v>0</v>
      </c>
      <c r="J74" s="4"/>
      <c r="K74" s="125">
        <f>(B74*0.96)+(F74*1.6)</f>
        <v>80.64</v>
      </c>
      <c r="L74" s="125">
        <f>(C74*0.96)+(G74*1.6)</f>
        <v>0</v>
      </c>
      <c r="M74" s="125">
        <f>(D74*0.96)+(H74*1.6)</f>
        <v>0</v>
      </c>
      <c r="N74" s="125">
        <f t="shared" si="21"/>
        <v>322.56</v>
      </c>
      <c r="O74" s="514">
        <f>1-(K74/N74)</f>
        <v>0.75</v>
      </c>
      <c r="P74" s="171">
        <f t="shared" si="23"/>
        <v>241.92000000000002</v>
      </c>
    </row>
    <row r="75" spans="1:16" ht="13.15">
      <c r="A75" s="2" t="s">
        <v>538</v>
      </c>
      <c r="B75" s="4">
        <f t="shared" ref="B75:B81" si="27">C57-E57</f>
        <v>73</v>
      </c>
      <c r="C75" s="4"/>
      <c r="D75" s="4">
        <v>0</v>
      </c>
      <c r="E75" s="4">
        <f t="shared" si="18"/>
        <v>99</v>
      </c>
      <c r="F75" s="4">
        <f t="shared" si="19"/>
        <v>0</v>
      </c>
      <c r="G75" s="4"/>
      <c r="H75" s="4">
        <v>1</v>
      </c>
      <c r="I75" s="4">
        <f t="shared" si="20"/>
        <v>6</v>
      </c>
      <c r="J75" s="4"/>
      <c r="K75" s="125">
        <f t="shared" si="26"/>
        <v>70.08</v>
      </c>
      <c r="L75" s="125">
        <f t="shared" si="24"/>
        <v>0</v>
      </c>
      <c r="M75" s="125">
        <f t="shared" si="25"/>
        <v>1.6</v>
      </c>
      <c r="N75" s="125">
        <f t="shared" ref="N75:N81" si="28">(C57*0.96)+(D57*1.6)</f>
        <v>176.32</v>
      </c>
      <c r="O75" s="514">
        <f t="shared" si="22"/>
        <v>0.60254083484573506</v>
      </c>
      <c r="P75" s="171">
        <f t="shared" si="23"/>
        <v>104.64</v>
      </c>
    </row>
    <row r="76" spans="1:16" ht="13.15">
      <c r="A76" s="2" t="s">
        <v>365</v>
      </c>
      <c r="B76" s="4">
        <f t="shared" si="27"/>
        <v>247</v>
      </c>
      <c r="C76" s="4"/>
      <c r="D76" s="4">
        <v>1</v>
      </c>
      <c r="E76" s="4">
        <f t="shared" si="18"/>
        <v>264</v>
      </c>
      <c r="F76" s="4">
        <f t="shared" si="19"/>
        <v>14</v>
      </c>
      <c r="G76" s="4"/>
      <c r="H76" s="4">
        <v>0</v>
      </c>
      <c r="I76" s="4">
        <f t="shared" si="20"/>
        <v>7</v>
      </c>
      <c r="J76" s="4"/>
      <c r="K76" s="125">
        <f t="shared" si="26"/>
        <v>259.52</v>
      </c>
      <c r="L76" s="125">
        <f t="shared" si="24"/>
        <v>0</v>
      </c>
      <c r="M76" s="125">
        <f t="shared" si="25"/>
        <v>0.96</v>
      </c>
      <c r="N76" s="125">
        <f t="shared" si="28"/>
        <v>525.12</v>
      </c>
      <c r="O76" s="514">
        <f t="shared" si="22"/>
        <v>0.50578915295551496</v>
      </c>
      <c r="P76" s="171">
        <f t="shared" si="23"/>
        <v>264.64000000000004</v>
      </c>
    </row>
    <row r="77" spans="1:16" ht="13.15">
      <c r="A77" s="2" t="s">
        <v>539</v>
      </c>
      <c r="B77" s="4">
        <f t="shared" si="27"/>
        <v>51</v>
      </c>
      <c r="C77" s="4"/>
      <c r="D77" s="4">
        <v>4</v>
      </c>
      <c r="E77" s="4">
        <f t="shared" si="18"/>
        <v>0</v>
      </c>
      <c r="F77" s="4">
        <v>0</v>
      </c>
      <c r="G77" s="4"/>
      <c r="H77" s="4">
        <v>0</v>
      </c>
      <c r="I77" s="4">
        <v>0</v>
      </c>
      <c r="J77" s="4"/>
      <c r="K77" s="125">
        <f>(B77*0.96)+(F77*1.6)</f>
        <v>48.96</v>
      </c>
      <c r="L77" s="125">
        <f>(C77*0.96)+(G77*1.6)</f>
        <v>0</v>
      </c>
      <c r="M77" s="125">
        <f>(D77*0.96)+(H77*1.6)</f>
        <v>3.84</v>
      </c>
      <c r="N77" s="125">
        <f t="shared" si="28"/>
        <v>52.8</v>
      </c>
      <c r="O77" s="514">
        <f>1-(K77/N77)</f>
        <v>7.272727272727264E-2</v>
      </c>
      <c r="P77" s="171">
        <f>N77-(K77+M77)</f>
        <v>0</v>
      </c>
    </row>
    <row r="78" spans="1:16" ht="13.15">
      <c r="A78" s="2" t="s">
        <v>540</v>
      </c>
      <c r="B78" s="4">
        <f t="shared" si="27"/>
        <v>100</v>
      </c>
      <c r="C78" s="4"/>
      <c r="D78" s="4">
        <v>0</v>
      </c>
      <c r="E78" s="4">
        <f t="shared" si="18"/>
        <v>56</v>
      </c>
      <c r="F78" s="4">
        <f>D60-F60</f>
        <v>0</v>
      </c>
      <c r="G78" s="4"/>
      <c r="H78" s="4">
        <v>0</v>
      </c>
      <c r="I78" s="4">
        <f>D60-F78-H78</f>
        <v>0</v>
      </c>
      <c r="J78" s="4"/>
      <c r="K78" s="125">
        <f>(B78*0.96)+(F78*1.6)</f>
        <v>96</v>
      </c>
      <c r="L78" s="125">
        <f t="shared" si="24"/>
        <v>0</v>
      </c>
      <c r="M78" s="125">
        <f t="shared" si="25"/>
        <v>0</v>
      </c>
      <c r="N78" s="125">
        <f t="shared" si="28"/>
        <v>149.76</v>
      </c>
      <c r="O78" s="514">
        <f t="shared" si="22"/>
        <v>0.35897435897435892</v>
      </c>
      <c r="P78" s="171">
        <f t="shared" si="23"/>
        <v>53.759999999999991</v>
      </c>
    </row>
    <row r="79" spans="1:16" ht="13.15">
      <c r="A79" s="2" t="s">
        <v>541</v>
      </c>
      <c r="B79" s="4">
        <f t="shared" si="27"/>
        <v>41</v>
      </c>
      <c r="C79" s="4"/>
      <c r="D79" s="4">
        <v>0</v>
      </c>
      <c r="E79" s="4">
        <f t="shared" si="18"/>
        <v>115</v>
      </c>
      <c r="F79" s="4">
        <f>D61-F61</f>
        <v>0</v>
      </c>
      <c r="G79" s="4"/>
      <c r="H79" s="4">
        <v>0</v>
      </c>
      <c r="I79" s="4">
        <f>D61-F79-H79</f>
        <v>0</v>
      </c>
      <c r="J79" s="4"/>
      <c r="K79" s="125">
        <f>(B79*0.96)+(F79*1.6)</f>
        <v>39.36</v>
      </c>
      <c r="L79" s="125">
        <f>(C79*0.96)+(G79*1.6)</f>
        <v>0</v>
      </c>
      <c r="M79" s="125">
        <f>(D79*0.96)+(H79*1.6)</f>
        <v>0</v>
      </c>
      <c r="N79" s="125">
        <f t="shared" si="28"/>
        <v>149.76</v>
      </c>
      <c r="O79" s="514">
        <f>1-(K79/N79)</f>
        <v>0.73717948717948723</v>
      </c>
      <c r="P79" s="171">
        <f>N79-(K79+M79)</f>
        <v>110.39999999999999</v>
      </c>
    </row>
    <row r="80" spans="1:16" ht="13.15">
      <c r="A80" s="2" t="s">
        <v>372</v>
      </c>
      <c r="B80" s="4">
        <f t="shared" si="27"/>
        <v>152</v>
      </c>
      <c r="C80" s="4"/>
      <c r="D80" s="4">
        <v>0</v>
      </c>
      <c r="E80" s="4">
        <f t="shared" si="18"/>
        <v>488</v>
      </c>
      <c r="F80" s="4">
        <f>D62-F62</f>
        <v>8</v>
      </c>
      <c r="G80" s="4"/>
      <c r="H80" s="4">
        <v>1</v>
      </c>
      <c r="I80" s="4">
        <f>D62-F80-H80</f>
        <v>0</v>
      </c>
      <c r="J80" s="4"/>
      <c r="K80" s="125">
        <f>(B80*0.96)+(F80*1.6)</f>
        <v>158.72</v>
      </c>
      <c r="L80" s="125">
        <f t="shared" si="24"/>
        <v>0</v>
      </c>
      <c r="M80" s="125">
        <f t="shared" si="25"/>
        <v>1.6</v>
      </c>
      <c r="N80" s="125">
        <f t="shared" si="28"/>
        <v>628.79999999999995</v>
      </c>
      <c r="O80" s="514">
        <f t="shared" si="22"/>
        <v>0.74758269720101778</v>
      </c>
      <c r="P80" s="171">
        <f t="shared" si="23"/>
        <v>468.47999999999996</v>
      </c>
    </row>
    <row r="81" spans="1:16" ht="13.15">
      <c r="A81" s="2" t="s">
        <v>374</v>
      </c>
      <c r="B81" s="4">
        <f t="shared" si="27"/>
        <v>64</v>
      </c>
      <c r="C81" s="4"/>
      <c r="D81" s="4">
        <v>0</v>
      </c>
      <c r="E81" s="4">
        <f t="shared" si="18"/>
        <v>41</v>
      </c>
      <c r="F81" s="4">
        <f>D63-F63</f>
        <v>0</v>
      </c>
      <c r="G81" s="4"/>
      <c r="H81" s="4">
        <v>0</v>
      </c>
      <c r="I81" s="4">
        <f>D63-F81-H81</f>
        <v>0</v>
      </c>
      <c r="J81" s="4"/>
      <c r="K81" s="125">
        <f>(B81*0.96)+(F81*1.6)</f>
        <v>61.44</v>
      </c>
      <c r="L81" s="125">
        <f t="shared" si="24"/>
        <v>0</v>
      </c>
      <c r="M81" s="125">
        <f t="shared" si="25"/>
        <v>0</v>
      </c>
      <c r="N81" s="125">
        <f t="shared" si="28"/>
        <v>100.8</v>
      </c>
      <c r="O81" s="514">
        <f t="shared" si="22"/>
        <v>0.39047619047619053</v>
      </c>
      <c r="P81" s="171">
        <f t="shared" si="23"/>
        <v>39.36</v>
      </c>
    </row>
    <row r="82" spans="1:16" ht="13.15">
      <c r="A82" s="55"/>
      <c r="B82" s="56" t="s">
        <v>543</v>
      </c>
      <c r="C82" s="59" t="s">
        <v>544</v>
      </c>
      <c r="D82" s="56" t="s">
        <v>545</v>
      </c>
      <c r="E82" s="4"/>
      <c r="F82" s="4"/>
      <c r="G82" s="4"/>
      <c r="K82" s="10"/>
      <c r="L82" s="10"/>
      <c r="M82" s="10"/>
      <c r="N82" s="10"/>
      <c r="O82" s="517"/>
      <c r="P82" s="495"/>
    </row>
    <row r="83" spans="1:16" ht="13.15">
      <c r="A83" s="55" t="s">
        <v>539</v>
      </c>
      <c r="B83" s="58">
        <f>C59-E59</f>
        <v>51</v>
      </c>
      <c r="C83" s="58">
        <v>0</v>
      </c>
      <c r="D83" s="58">
        <f>(C59-B83)-C83</f>
        <v>4</v>
      </c>
      <c r="E83" s="4"/>
      <c r="F83" s="4"/>
      <c r="G83" s="4"/>
    </row>
    <row r="84" spans="1:16" ht="13.15">
      <c r="A84" s="55"/>
      <c r="B84" s="58" t="s">
        <v>546</v>
      </c>
      <c r="C84" s="58" t="s">
        <v>547</v>
      </c>
      <c r="D84" s="58" t="s">
        <v>548</v>
      </c>
      <c r="E84" s="4"/>
      <c r="F84" s="4"/>
      <c r="G84" s="4"/>
    </row>
    <row r="85" spans="1:16" ht="13.15">
      <c r="A85" s="55" t="s">
        <v>549</v>
      </c>
      <c r="B85" s="57">
        <f>B83*0.96</f>
        <v>48.96</v>
      </c>
      <c r="C85" s="57">
        <f>C83*0.96</f>
        <v>0</v>
      </c>
      <c r="D85" s="57">
        <f>D83*0.96</f>
        <v>3.84</v>
      </c>
    </row>
    <row r="86" spans="1:16" ht="13.15">
      <c r="B86" s="3" t="s">
        <v>516</v>
      </c>
      <c r="C86" s="809" t="s">
        <v>532</v>
      </c>
      <c r="D86" s="3" t="s">
        <v>519</v>
      </c>
      <c r="E86" s="3" t="s">
        <v>520</v>
      </c>
      <c r="F86" s="2" t="s">
        <v>533</v>
      </c>
      <c r="G86" s="3" t="s">
        <v>523</v>
      </c>
    </row>
    <row r="87" spans="1:16" ht="13.15">
      <c r="A87" s="29" t="s">
        <v>534</v>
      </c>
      <c r="B87" s="4">
        <f>SUM(B68:B81)</f>
        <v>1579</v>
      </c>
      <c r="C87" s="4">
        <f>SUM(E68:E81)</f>
        <v>2833</v>
      </c>
      <c r="D87" s="4">
        <f>SUM(F68:F81)</f>
        <v>33</v>
      </c>
      <c r="E87" s="4">
        <f>SUM(G68:G81)</f>
        <v>0</v>
      </c>
      <c r="F87" s="4">
        <f>SUM(H68:H81)</f>
        <v>2</v>
      </c>
      <c r="G87" s="4">
        <f>SUM(I68:I81)</f>
        <v>85</v>
      </c>
    </row>
    <row r="93" spans="1:16" ht="13.15">
      <c r="A93" s="2" t="s">
        <v>550</v>
      </c>
      <c r="B93" s="2" t="s">
        <v>551</v>
      </c>
      <c r="C93" s="2" t="s">
        <v>552</v>
      </c>
      <c r="D93" s="2" t="s">
        <v>544</v>
      </c>
      <c r="E93" s="2" t="s">
        <v>553</v>
      </c>
      <c r="F93" s="2" t="s">
        <v>554</v>
      </c>
      <c r="G93" s="3" t="s">
        <v>555</v>
      </c>
      <c r="H93" s="22" t="s">
        <v>556</v>
      </c>
      <c r="I93" s="22"/>
      <c r="J93" s="22"/>
    </row>
    <row r="94" spans="1:16" ht="13.15">
      <c r="A94" s="2" t="s">
        <v>557</v>
      </c>
      <c r="B94">
        <v>20</v>
      </c>
      <c r="C94">
        <f>B94*8.5</f>
        <v>170</v>
      </c>
      <c r="D94">
        <v>1</v>
      </c>
      <c r="E94">
        <f>D94*0.8</f>
        <v>0.8</v>
      </c>
      <c r="F94">
        <v>23</v>
      </c>
      <c r="G94">
        <f>F94*8.5</f>
        <v>195.5</v>
      </c>
    </row>
    <row r="95" spans="1:16" ht="13.15">
      <c r="A95" s="2" t="s">
        <v>558</v>
      </c>
      <c r="B95">
        <v>14</v>
      </c>
      <c r="C95">
        <f>B95*8.5</f>
        <v>119</v>
      </c>
      <c r="D95">
        <v>6</v>
      </c>
      <c r="E95">
        <f>D95*0.8</f>
        <v>4.8000000000000007</v>
      </c>
      <c r="F95">
        <v>27</v>
      </c>
      <c r="G95">
        <f>F95*8.5</f>
        <v>229.5</v>
      </c>
    </row>
    <row r="96" spans="1:16" ht="13.15">
      <c r="A96" s="2" t="s">
        <v>559</v>
      </c>
      <c r="B96">
        <v>8.5</v>
      </c>
      <c r="C96">
        <f>B96*8.5</f>
        <v>72.25</v>
      </c>
      <c r="D96">
        <v>3</v>
      </c>
      <c r="E96">
        <f>D96*0.8</f>
        <v>2.4000000000000004</v>
      </c>
      <c r="F96">
        <v>27</v>
      </c>
      <c r="G96">
        <f>F96*8.5</f>
        <v>229.5</v>
      </c>
    </row>
    <row r="97" spans="1:11" ht="13.15">
      <c r="A97" s="2" t="s">
        <v>560</v>
      </c>
      <c r="B97">
        <v>16.5</v>
      </c>
      <c r="C97">
        <f>B97*8.5</f>
        <v>140.25</v>
      </c>
      <c r="D97">
        <v>28</v>
      </c>
      <c r="E97">
        <f>D97*0.8</f>
        <v>22.400000000000002</v>
      </c>
      <c r="F97">
        <v>27</v>
      </c>
      <c r="G97">
        <f>F97*8.5</f>
        <v>229.5</v>
      </c>
    </row>
    <row r="98" spans="1:11" ht="13.15">
      <c r="A98" s="2" t="s">
        <v>561</v>
      </c>
      <c r="B98" s="2" t="s">
        <v>562</v>
      </c>
      <c r="C98" s="2" t="s">
        <v>553</v>
      </c>
      <c r="D98" s="3" t="s">
        <v>563</v>
      </c>
      <c r="E98" s="3" t="s">
        <v>556</v>
      </c>
      <c r="H98" s="23" t="s">
        <v>564</v>
      </c>
      <c r="K98" t="s">
        <v>565</v>
      </c>
    </row>
    <row r="99" spans="1:11" ht="13.15">
      <c r="A99" s="2" t="s">
        <v>557</v>
      </c>
      <c r="B99">
        <f>G94-C94</f>
        <v>25.5</v>
      </c>
      <c r="C99">
        <f>E94</f>
        <v>0.8</v>
      </c>
      <c r="D99">
        <f>G94-B99-C99</f>
        <v>169.2</v>
      </c>
      <c r="H99" s="23">
        <f>SUM(G94/100)*25</f>
        <v>48.875</v>
      </c>
      <c r="K99">
        <f>SUM(D99-H99)</f>
        <v>120.32499999999999</v>
      </c>
    </row>
    <row r="100" spans="1:11" ht="13.15">
      <c r="A100" s="2" t="s">
        <v>558</v>
      </c>
      <c r="B100">
        <f>G95-C95</f>
        <v>110.5</v>
      </c>
      <c r="C100">
        <f>E95</f>
        <v>4.8000000000000007</v>
      </c>
      <c r="D100">
        <f>G95-B100-C100</f>
        <v>114.2</v>
      </c>
      <c r="H100" s="23">
        <f>SUM(G95/100)*25</f>
        <v>57.375</v>
      </c>
      <c r="K100">
        <f>SUM(D100-H100)</f>
        <v>56.825000000000003</v>
      </c>
    </row>
    <row r="101" spans="1:11" ht="13.15">
      <c r="A101" s="2" t="s">
        <v>559</v>
      </c>
      <c r="B101">
        <f>G96-C96</f>
        <v>157.25</v>
      </c>
      <c r="C101">
        <f>E96</f>
        <v>2.4000000000000004</v>
      </c>
      <c r="D101">
        <f>G96-B101-C101</f>
        <v>69.849999999999994</v>
      </c>
      <c r="H101" s="23">
        <f>SUM(G96/100)*25</f>
        <v>57.375</v>
      </c>
      <c r="K101">
        <f>SUM(D101-H101)</f>
        <v>12.474999999999994</v>
      </c>
    </row>
    <row r="102" spans="1:11" ht="13.15">
      <c r="A102" s="2" t="s">
        <v>560</v>
      </c>
      <c r="B102">
        <f>G97-C97</f>
        <v>89.25</v>
      </c>
      <c r="C102">
        <f>E97</f>
        <v>22.400000000000002</v>
      </c>
      <c r="D102">
        <f>G97-B102-C102</f>
        <v>117.85</v>
      </c>
      <c r="H102" s="23">
        <f>SUM(G97/100)*25</f>
        <v>57.375</v>
      </c>
      <c r="K102">
        <f>SUM(D102-H102)</f>
        <v>60.474999999999994</v>
      </c>
    </row>
    <row r="105" spans="1:11" ht="13.15">
      <c r="A105" s="2" t="s">
        <v>566</v>
      </c>
      <c r="B105" s="2" t="s">
        <v>562</v>
      </c>
      <c r="C105" s="2" t="s">
        <v>553</v>
      </c>
      <c r="D105" s="3" t="s">
        <v>563</v>
      </c>
    </row>
    <row r="106" spans="1:11" ht="13.15">
      <c r="A106" s="2" t="s">
        <v>567</v>
      </c>
      <c r="B106">
        <f>382-(25*8.5)</f>
        <v>169.5</v>
      </c>
      <c r="C106">
        <f>4*0.8</f>
        <v>3.2</v>
      </c>
      <c r="D106">
        <v>382</v>
      </c>
    </row>
    <row r="107" spans="1:11" ht="13.15">
      <c r="A107" s="2" t="s">
        <v>568</v>
      </c>
      <c r="B107">
        <f>221-(11*8.5)</f>
        <v>127.5</v>
      </c>
      <c r="C107">
        <f>2*0.8</f>
        <v>1.6</v>
      </c>
      <c r="D107">
        <v>221</v>
      </c>
    </row>
    <row r="108" spans="1:11" ht="13.15">
      <c r="A108" s="2" t="s">
        <v>569</v>
      </c>
      <c r="B108">
        <f>B28</f>
        <v>1298</v>
      </c>
      <c r="C108">
        <f>H39</f>
        <v>0</v>
      </c>
      <c r="D108">
        <f>SUM(D106+D107)</f>
        <v>603</v>
      </c>
    </row>
    <row r="112" spans="1:11" ht="13.15">
      <c r="A112" s="814" t="s">
        <v>570</v>
      </c>
    </row>
    <row r="113" spans="1:4" ht="13.15">
      <c r="A113" s="3" t="s">
        <v>515</v>
      </c>
      <c r="B113" s="5" t="str">
        <f>J32</f>
        <v xml:space="preserve">Used (m²) </v>
      </c>
      <c r="C113" s="5" t="str">
        <f>L32</f>
        <v xml:space="preserve">Forecast (m²) </v>
      </c>
      <c r="D113" s="5" t="str">
        <f>O32</f>
        <v xml:space="preserve">Remaining (m²) </v>
      </c>
    </row>
    <row r="114" spans="1:4" ht="13.15">
      <c r="A114" s="3" t="s">
        <v>293</v>
      </c>
      <c r="B114" s="10">
        <f>J35</f>
        <v>935.04</v>
      </c>
      <c r="C114" s="10">
        <f>L35</f>
        <v>0</v>
      </c>
      <c r="D114" s="10">
        <f>O35</f>
        <v>352.32000000000016</v>
      </c>
    </row>
    <row r="115" spans="1:4" ht="13.15">
      <c r="A115" s="3" t="s">
        <v>288</v>
      </c>
      <c r="B115" s="10">
        <f>J25</f>
        <v>1058.24</v>
      </c>
      <c r="C115" s="10">
        <f>L25</f>
        <v>3.84</v>
      </c>
      <c r="D115" s="10">
        <f>O25</f>
        <v>273.2800000000002</v>
      </c>
    </row>
    <row r="116" spans="1:4" ht="13.15">
      <c r="A116" s="3" t="s">
        <v>314</v>
      </c>
      <c r="B116" s="10">
        <f>J36</f>
        <v>2165.44</v>
      </c>
      <c r="C116" s="10">
        <f>L36</f>
        <v>0</v>
      </c>
      <c r="D116" s="10">
        <f>O36</f>
        <v>920.31999999999971</v>
      </c>
    </row>
    <row r="117" spans="1:4" ht="13.15">
      <c r="A117" s="3" t="s">
        <v>338</v>
      </c>
      <c r="B117" s="10">
        <f>J41</f>
        <v>1346.56</v>
      </c>
      <c r="C117" s="10">
        <f>L41</f>
        <v>13.44</v>
      </c>
      <c r="D117" s="10">
        <f>O41</f>
        <v>874.88000000000011</v>
      </c>
    </row>
    <row r="118" spans="1:4" ht="13.15">
      <c r="A118" s="3" t="s">
        <v>341</v>
      </c>
      <c r="B118" s="10">
        <f>J42</f>
        <v>1082.8800000000001</v>
      </c>
      <c r="C118" s="10">
        <f>L42</f>
        <v>0</v>
      </c>
      <c r="D118" s="10">
        <f>O42</f>
        <v>494.07999999999993</v>
      </c>
    </row>
  </sheetData>
  <conditionalFormatting sqref="O22:O29 O31 O33:O42 P43:P48 Q49:Q63 P64:P82">
    <cfRule type="cellIs" dxfId="92" priority="4" stopIfTrue="1" operator="equal">
      <formula>"100"</formula>
    </cfRule>
    <cfRule type="cellIs" dxfId="91" priority="5" stopIfTrue="1" operator="equal">
      <formula>"0.1"</formula>
    </cfRule>
    <cfRule type="cellIs" dxfId="90" priority="6" stopIfTrue="1" operator="equal">
      <formula>"3"</formula>
    </cfRule>
  </conditionalFormatting>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2"/>
  <sheetViews>
    <sheetView zoomScale="80" zoomScaleNormal="80" workbookViewId="0">
      <selection activeCell="D15" sqref="D15"/>
    </sheetView>
  </sheetViews>
  <sheetFormatPr defaultColWidth="8.6640625" defaultRowHeight="10.15"/>
  <cols>
    <col min="1" max="1" width="12.1640625" bestFit="1" customWidth="1"/>
    <col min="2" max="2" width="13" bestFit="1" customWidth="1"/>
    <col min="3" max="3" width="15.6640625" bestFit="1" customWidth="1"/>
    <col min="4" max="4" width="19.6640625" bestFit="1" customWidth="1"/>
    <col min="5" max="5" width="20.5" bestFit="1" customWidth="1"/>
    <col min="6" max="6" width="25.1640625" bestFit="1" customWidth="1"/>
    <col min="7" max="7" width="13" bestFit="1" customWidth="1"/>
    <col min="8" max="9" width="15.6640625" bestFit="1" customWidth="1"/>
    <col min="10" max="10" width="12.1640625" customWidth="1"/>
    <col min="11" max="11" width="17.1640625" customWidth="1"/>
    <col min="12" max="12" width="17.6640625" customWidth="1"/>
    <col min="13" max="13" width="31.1640625" customWidth="1"/>
    <col min="14" max="14" width="27.1640625" customWidth="1"/>
  </cols>
  <sheetData>
    <row r="1" spans="1:12" ht="39.6">
      <c r="A1" s="809" t="s">
        <v>515</v>
      </c>
      <c r="B1" s="809" t="s">
        <v>571</v>
      </c>
      <c r="C1" s="809" t="s">
        <v>572</v>
      </c>
      <c r="D1" s="809" t="s">
        <v>573</v>
      </c>
      <c r="E1" s="809" t="s">
        <v>426</v>
      </c>
      <c r="F1" s="809" t="s">
        <v>574</v>
      </c>
      <c r="G1" s="809" t="s">
        <v>575</v>
      </c>
      <c r="H1" s="809"/>
      <c r="I1" s="809"/>
      <c r="J1" s="809"/>
      <c r="K1" s="1355" t="s">
        <v>576</v>
      </c>
      <c r="L1" s="1355"/>
    </row>
    <row r="2" spans="1:12" ht="12.75" customHeight="1">
      <c r="A2" s="809"/>
      <c r="B2" s="809"/>
      <c r="C2" s="809"/>
      <c r="D2" s="809"/>
      <c r="E2" s="809"/>
      <c r="F2" s="809"/>
      <c r="G2" s="809"/>
      <c r="H2" s="809"/>
      <c r="I2" s="809"/>
      <c r="J2" s="809"/>
      <c r="K2" s="809" t="s">
        <v>577</v>
      </c>
      <c r="L2" s="809" t="s">
        <v>578</v>
      </c>
    </row>
    <row r="3" spans="1:12" ht="13.15">
      <c r="A3" s="3" t="s">
        <v>271</v>
      </c>
      <c r="B3" s="6">
        <f>'Plant loading'!G4</f>
        <v>172.3835</v>
      </c>
      <c r="C3" s="4">
        <f>SUM('Plant loading'!J4:J8)</f>
        <v>630</v>
      </c>
      <c r="D3" s="4">
        <f>SUM('Plant loading'!L4:L8)</f>
        <v>315</v>
      </c>
      <c r="E3" s="4">
        <v>630</v>
      </c>
      <c r="F3" s="4">
        <f>SUM(E3/2)</f>
        <v>315</v>
      </c>
      <c r="G3" s="4"/>
      <c r="K3" s="21">
        <f>SUM(M21:M26)</f>
        <v>680.40000000000009</v>
      </c>
      <c r="L3" s="21">
        <f>SUM(N21:N26)</f>
        <v>340.20000000000005</v>
      </c>
    </row>
    <row r="4" spans="1:12" ht="13.15">
      <c r="A4" s="3" t="s">
        <v>277</v>
      </c>
      <c r="B4" s="6">
        <f>'Plant loading'!G9</f>
        <v>370.6</v>
      </c>
      <c r="C4" s="4">
        <f>SUM('Plant loading'!J9:J16)</f>
        <v>1008</v>
      </c>
      <c r="D4" s="4">
        <f>SUM('Plant loading'!L9:L16)</f>
        <v>504</v>
      </c>
      <c r="E4" s="4">
        <v>1008</v>
      </c>
      <c r="F4" s="4">
        <f t="shared" ref="F4:F16" si="0">SUM(E4/2)</f>
        <v>504</v>
      </c>
      <c r="G4" s="4"/>
      <c r="K4" s="21">
        <f>SUM(M27:M34)</f>
        <v>1088.6400000000001</v>
      </c>
      <c r="L4" s="21">
        <f>SUM(N27:N34)</f>
        <v>544.32000000000005</v>
      </c>
    </row>
    <row r="5" spans="1:12" ht="13.15">
      <c r="A5" s="3" t="s">
        <v>284</v>
      </c>
      <c r="B5" s="6">
        <f>'Plant loading'!G17</f>
        <v>127.203</v>
      </c>
      <c r="C5" s="6">
        <f>SUM('Plant loading'!J17:J21)</f>
        <v>630</v>
      </c>
      <c r="D5" s="6">
        <f>SUM('Plant loading'!L17:L21)</f>
        <v>315</v>
      </c>
      <c r="E5" s="4">
        <v>630</v>
      </c>
      <c r="F5" s="4">
        <f>SUM(E5/2)</f>
        <v>315</v>
      </c>
      <c r="G5" s="4"/>
      <c r="K5" s="21">
        <f>SUM(M35:M39)</f>
        <v>680.40000000000009</v>
      </c>
      <c r="L5" s="21">
        <f>SUM(N35:N39)</f>
        <v>340.20000000000005</v>
      </c>
    </row>
    <row r="6" spans="1:12" ht="13.15">
      <c r="A6" s="3" t="s">
        <v>288</v>
      </c>
      <c r="B6" s="6">
        <f>'Plant loading'!G22</f>
        <v>290.1035</v>
      </c>
      <c r="C6" s="4">
        <f>SUM('Plant loading'!J22:J27)</f>
        <v>756</v>
      </c>
      <c r="D6" s="4">
        <f>SUM('Plant loading'!L22:L27)</f>
        <v>378</v>
      </c>
      <c r="E6" s="4">
        <v>756</v>
      </c>
      <c r="F6" s="4">
        <v>378</v>
      </c>
      <c r="G6" s="4"/>
      <c r="K6" s="21">
        <f>SUM(M40:M44)</f>
        <v>680.40000000000009</v>
      </c>
      <c r="L6" s="21">
        <f>SUM(N40:N44)</f>
        <v>340.20000000000005</v>
      </c>
    </row>
    <row r="7" spans="1:12" ht="13.15">
      <c r="A7" s="3" t="s">
        <v>293</v>
      </c>
      <c r="B7" s="6">
        <f>'Plant loading'!G28</f>
        <v>82.567499999999995</v>
      </c>
      <c r="C7" s="4">
        <f>SUM('Plant loading'!J28:J31)</f>
        <v>504</v>
      </c>
      <c r="D7" s="4">
        <f>SUM('Plant loading'!L28:L31)</f>
        <v>252</v>
      </c>
      <c r="E7" s="4">
        <v>600</v>
      </c>
      <c r="F7" s="4">
        <f t="shared" si="0"/>
        <v>300</v>
      </c>
      <c r="G7" s="4"/>
      <c r="K7" s="21">
        <f>SUM(M46:M49)</f>
        <v>544.32000000000005</v>
      </c>
      <c r="L7" s="21">
        <f>SUM(N46:N49)</f>
        <v>272.16000000000003</v>
      </c>
    </row>
    <row r="8" spans="1:12" ht="13.15">
      <c r="A8" s="3" t="s">
        <v>305</v>
      </c>
      <c r="B8" s="6">
        <f>'Plant loading'!G32</f>
        <v>260.51</v>
      </c>
      <c r="C8" s="6">
        <f>SUM('Plant loading'!J32:J38)</f>
        <v>936</v>
      </c>
      <c r="D8" s="6">
        <f>SUM('Plant loading'!L32:L38)</f>
        <v>465</v>
      </c>
      <c r="E8" s="4">
        <v>930</v>
      </c>
      <c r="F8" s="4">
        <v>465</v>
      </c>
      <c r="G8" s="4"/>
      <c r="K8" s="21">
        <f>SUM(M50:M54)</f>
        <v>680.40000000000009</v>
      </c>
      <c r="L8" s="21">
        <f>SUM(N50:N54)</f>
        <v>340.20000000000005</v>
      </c>
    </row>
    <row r="9" spans="1:12" ht="13.15">
      <c r="A9" s="809" t="s">
        <v>297</v>
      </c>
      <c r="B9" s="6">
        <f>'Plant loading'!G39</f>
        <v>285.798</v>
      </c>
      <c r="C9" s="4">
        <f>SUM('Plant loading'!J39:J46)</f>
        <v>966</v>
      </c>
      <c r="D9" s="4">
        <f>SUM('Plant loading'!L39:L46)</f>
        <v>462</v>
      </c>
      <c r="E9" s="4">
        <v>960</v>
      </c>
      <c r="F9" s="4">
        <v>462</v>
      </c>
      <c r="G9" s="4"/>
      <c r="H9" s="4"/>
      <c r="I9" s="4"/>
      <c r="J9" s="4"/>
      <c r="K9" s="21">
        <f>SUM(M55:M60)</f>
        <v>855.3599999999999</v>
      </c>
      <c r="L9" s="21">
        <f>SUM(N55:N60)</f>
        <v>427.67999999999995</v>
      </c>
    </row>
    <row r="10" spans="1:12" ht="13.15">
      <c r="A10" s="3" t="s">
        <v>314</v>
      </c>
      <c r="B10" s="6">
        <f>'Plant loading'!G47</f>
        <v>126.985</v>
      </c>
      <c r="C10" s="4">
        <f>SUM('Plant loading'!J47:J55)</f>
        <v>798</v>
      </c>
      <c r="D10" s="4">
        <f>SUM('Plant loading'!L47:L55)</f>
        <v>398</v>
      </c>
      <c r="E10" s="4">
        <v>966</v>
      </c>
      <c r="F10" s="4">
        <f t="shared" si="0"/>
        <v>483</v>
      </c>
      <c r="G10" s="4"/>
      <c r="H10" s="4"/>
      <c r="I10" s="4"/>
      <c r="J10" s="4"/>
      <c r="K10" s="21">
        <f>SUM(M61:M69)</f>
        <v>861.84000000000015</v>
      </c>
      <c r="L10" s="21">
        <f>SUM(N61:N69)</f>
        <v>430.92000000000007</v>
      </c>
    </row>
    <row r="11" spans="1:12" ht="13.15">
      <c r="A11" s="3" t="s">
        <v>317</v>
      </c>
      <c r="B11" s="6">
        <f>'Plant loading'!G56</f>
        <v>335.55650000000003</v>
      </c>
      <c r="C11" s="4">
        <f>SUM('Plant loading'!J56:J63)</f>
        <v>1002</v>
      </c>
      <c r="D11" s="4">
        <f>SUM('Plant loading'!L56:L63)</f>
        <v>480</v>
      </c>
      <c r="E11" s="4">
        <v>956</v>
      </c>
      <c r="F11" s="4">
        <v>460</v>
      </c>
      <c r="G11" s="4"/>
      <c r="H11" s="4"/>
      <c r="I11" s="4"/>
      <c r="J11" s="4"/>
      <c r="K11" s="21">
        <f>SUM(M70:M75)</f>
        <v>855.3599999999999</v>
      </c>
      <c r="L11" s="21">
        <f>SUM(N70:N75)</f>
        <v>427.67999999999995</v>
      </c>
    </row>
    <row r="12" spans="1:12" ht="13.15">
      <c r="A12" s="3" t="s">
        <v>322</v>
      </c>
      <c r="B12" s="6">
        <f>'Plant loading'!G64</f>
        <v>368.14749999999998</v>
      </c>
      <c r="C12" s="4">
        <f>SUM('Plant loading'!J64:J71)</f>
        <v>978</v>
      </c>
      <c r="D12" s="4">
        <f>SUM('Plant loading'!L64:L71)</f>
        <v>480</v>
      </c>
      <c r="E12" s="4">
        <v>960</v>
      </c>
      <c r="F12" s="4">
        <v>481</v>
      </c>
      <c r="G12" s="4"/>
      <c r="K12" s="21">
        <f>SUM(M76:M81)</f>
        <v>952.56000000000006</v>
      </c>
      <c r="L12" s="21">
        <f>SUM(N76:N81)</f>
        <v>476.28000000000003</v>
      </c>
    </row>
    <row r="13" spans="1:12" ht="13.15">
      <c r="A13" s="3" t="s">
        <v>330</v>
      </c>
      <c r="B13" s="6">
        <f>'Plant loading'!G72</f>
        <v>294.57249999999999</v>
      </c>
      <c r="C13" s="4">
        <f>SUM('Plant loading'!J72:J79)</f>
        <v>978</v>
      </c>
      <c r="D13" s="4">
        <f>SUM('Plant loading'!L72:L79)</f>
        <v>465</v>
      </c>
      <c r="E13" s="4">
        <v>946</v>
      </c>
      <c r="F13" s="4">
        <v>468</v>
      </c>
      <c r="G13" s="4"/>
      <c r="K13" s="21">
        <f>SUM(M82:M87)</f>
        <v>822.96</v>
      </c>
      <c r="L13" s="21">
        <f>SUM(N82:N87)</f>
        <v>411.48</v>
      </c>
    </row>
    <row r="14" spans="1:12" ht="13.15">
      <c r="A14" s="3" t="s">
        <v>335</v>
      </c>
      <c r="B14" s="6">
        <f>'Plant loading'!G80</f>
        <v>99.462500000000006</v>
      </c>
      <c r="C14" s="4">
        <f>SUM('Plant loading'!J80:J84)</f>
        <v>630</v>
      </c>
      <c r="D14" s="4">
        <f>SUM('Plant loading'!L80:L84)</f>
        <v>315</v>
      </c>
      <c r="E14" s="4">
        <v>630</v>
      </c>
      <c r="F14" s="4">
        <f t="shared" si="0"/>
        <v>315</v>
      </c>
      <c r="G14" s="4"/>
      <c r="K14" s="21">
        <f>SUM(M88:M92)</f>
        <v>680.40000000000009</v>
      </c>
      <c r="L14" s="21">
        <f>SUM(N88:N92)</f>
        <v>340.20000000000005</v>
      </c>
    </row>
    <row r="15" spans="1:12" ht="13.15">
      <c r="A15" s="3" t="s">
        <v>338</v>
      </c>
      <c r="B15" s="6">
        <f>'Plant loading'!G85</f>
        <v>92.704499999999996</v>
      </c>
      <c r="C15" s="4">
        <f>SUM('Plant loading'!J85:J88)</f>
        <v>504</v>
      </c>
      <c r="D15" s="4">
        <f>SUM('Plant loading'!L85:L88)</f>
        <v>252</v>
      </c>
      <c r="E15" s="4">
        <v>600</v>
      </c>
      <c r="F15" s="4">
        <f t="shared" si="0"/>
        <v>300</v>
      </c>
      <c r="G15" s="4"/>
      <c r="K15" s="21">
        <f>SUM(M93:M96)</f>
        <v>544.32000000000005</v>
      </c>
      <c r="L15" s="21">
        <f>SUM(N93:N96)</f>
        <v>272.16000000000003</v>
      </c>
    </row>
    <row r="16" spans="1:12" ht="13.15">
      <c r="A16" s="3" t="s">
        <v>341</v>
      </c>
      <c r="B16" s="6">
        <f>'Plant loading'!G89</f>
        <v>109.872</v>
      </c>
      <c r="C16" s="4">
        <f>SUM('Plant loading'!J89:J93)</f>
        <v>609</v>
      </c>
      <c r="D16" s="4">
        <f>SUM('Plant loading'!L89:L93)</f>
        <v>304</v>
      </c>
      <c r="E16" s="4">
        <v>609</v>
      </c>
      <c r="F16" s="4">
        <f t="shared" si="0"/>
        <v>304.5</v>
      </c>
      <c r="G16" s="4"/>
      <c r="K16" s="21">
        <f>SUM(M97:M101)</f>
        <v>657.72</v>
      </c>
      <c r="L16" s="21">
        <f>SUM(N97:N101)</f>
        <v>328.86</v>
      </c>
    </row>
    <row r="18" spans="1:14" ht="13.15">
      <c r="A18" s="3"/>
      <c r="B18" s="6"/>
    </row>
    <row r="20" spans="1:14">
      <c r="G20" s="1354" t="s">
        <v>579</v>
      </c>
      <c r="H20" s="1354"/>
      <c r="I20" s="1354" t="s">
        <v>580</v>
      </c>
      <c r="J20" s="1354"/>
      <c r="K20" s="1354" t="s">
        <v>581</v>
      </c>
      <c r="L20" s="1354"/>
      <c r="M20" s="1354" t="s">
        <v>582</v>
      </c>
      <c r="N20" s="1354"/>
    </row>
    <row r="21" spans="1:14">
      <c r="A21" s="808" t="s">
        <v>515</v>
      </c>
      <c r="B21" s="808" t="s">
        <v>583</v>
      </c>
      <c r="C21" s="808" t="s">
        <v>584</v>
      </c>
      <c r="D21" s="808" t="s">
        <v>585</v>
      </c>
      <c r="E21" s="808" t="s">
        <v>586</v>
      </c>
      <c r="F21" s="808" t="s">
        <v>587</v>
      </c>
      <c r="G21" s="808" t="s">
        <v>577</v>
      </c>
      <c r="H21" s="808" t="s">
        <v>578</v>
      </c>
      <c r="I21" s="808" t="s">
        <v>577</v>
      </c>
      <c r="J21" s="808" t="s">
        <v>578</v>
      </c>
      <c r="K21" s="808" t="s">
        <v>577</v>
      </c>
      <c r="L21" s="808" t="s">
        <v>578</v>
      </c>
      <c r="M21" s="808" t="s">
        <v>577</v>
      </c>
      <c r="N21" s="808" t="s">
        <v>578</v>
      </c>
    </row>
    <row r="22" spans="1:14">
      <c r="A22" s="20" t="str">
        <f>'Plant loading'!A4</f>
        <v>Acton</v>
      </c>
      <c r="B22" s="18" t="str">
        <f>'Plant loading'!B4</f>
        <v>PEAAN</v>
      </c>
      <c r="C22" s="18" t="str">
        <f>'Plant loading'!C4</f>
        <v>eSure</v>
      </c>
      <c r="D22" s="18">
        <f>'Plant loading'!E4</f>
        <v>634</v>
      </c>
      <c r="E22" s="19">
        <f>'Plant loading'!H4</f>
        <v>36</v>
      </c>
      <c r="F22" s="18">
        <f>'Plant loading'!I4</f>
        <v>3.5</v>
      </c>
      <c r="G22" s="17">
        <f>D22/E22</f>
        <v>17.611111111111111</v>
      </c>
      <c r="H22" s="17">
        <f>D22/(E22/2)</f>
        <v>35.222222222222221</v>
      </c>
      <c r="I22" s="812">
        <f>IF(AND(C22="eSure",AND(G22&gt;=19.2,G22&lt;=44.8)),0.97,0.92)</f>
        <v>0.92</v>
      </c>
      <c r="J22" s="812">
        <f t="shared" ref="J22:J56" si="1">IF(AND(C22="eSure",AND(H22&gt;=19.2,H22&lt;=44.8)),0.97,0.92)</f>
        <v>0.97</v>
      </c>
      <c r="K22" s="17">
        <f>((D22*54.5)/1000)*(1+(1-I22))</f>
        <v>37.317239999999998</v>
      </c>
      <c r="L22" s="17">
        <f>((D22*54.5)/1000)*(1+(1-J22))</f>
        <v>35.589590000000001</v>
      </c>
      <c r="M22" s="17">
        <f>(E22*F22)*1.08</f>
        <v>136.08000000000001</v>
      </c>
      <c r="N22" s="17">
        <f>((E22/2)*F22)*1.08</f>
        <v>68.040000000000006</v>
      </c>
    </row>
    <row r="23" spans="1:14">
      <c r="A23" s="20" t="str">
        <f>'Plant loading'!A5</f>
        <v>Acton</v>
      </c>
      <c r="B23" s="18" t="str">
        <f>'Plant loading'!B5</f>
        <v>PEBAN</v>
      </c>
      <c r="C23" s="18" t="str">
        <f>'Plant loading'!C5</f>
        <v>eSure</v>
      </c>
      <c r="D23" s="18">
        <f>'Plant loading'!E5</f>
        <v>611</v>
      </c>
      <c r="E23" s="19">
        <f>'Plant loading'!H5</f>
        <v>36</v>
      </c>
      <c r="F23" s="18">
        <f>'Plant loading'!I5</f>
        <v>3.5</v>
      </c>
      <c r="G23" s="17">
        <f t="shared" ref="G23:G63" si="2">D23/E23</f>
        <v>16.972222222222221</v>
      </c>
      <c r="H23" s="17">
        <f t="shared" ref="H23:H63" si="3">D23/(E23/2)</f>
        <v>33.944444444444443</v>
      </c>
      <c r="I23" s="812">
        <f t="shared" ref="I23:I88" si="4">IF(AND(C23="eSure",AND(G23&gt;=19.2,G23&lt;=44.8)),0.97,0.92)</f>
        <v>0.92</v>
      </c>
      <c r="J23" s="812">
        <f t="shared" si="1"/>
        <v>0.97</v>
      </c>
      <c r="K23" s="17">
        <f t="shared" ref="K23:K88" si="5">((D23*54.5)/1000)*(1+(1-I23))</f>
        <v>35.963460000000005</v>
      </c>
      <c r="L23" s="17">
        <f t="shared" ref="L23:L88" si="6">((D23*54.5)/1000)*(1+(1-J23))</f>
        <v>34.298484999999999</v>
      </c>
      <c r="M23" s="17">
        <f t="shared" ref="M23:M88" si="7">(E23*F23)*1.08</f>
        <v>136.08000000000001</v>
      </c>
      <c r="N23" s="17">
        <f t="shared" ref="N23:N88" si="8">((E23/2)*F23)*1.08</f>
        <v>68.040000000000006</v>
      </c>
    </row>
    <row r="24" spans="1:14">
      <c r="A24" s="20" t="str">
        <f>'Plant loading'!A6</f>
        <v>Acton</v>
      </c>
      <c r="B24" s="18" t="str">
        <f>'Plant loading'!B6</f>
        <v>PECAN</v>
      </c>
      <c r="C24" s="18" t="str">
        <f>'Plant loading'!C6</f>
        <v>eSure</v>
      </c>
      <c r="D24" s="18">
        <f>'Plant loading'!E6</f>
        <v>480</v>
      </c>
      <c r="E24" s="19">
        <f>'Plant loading'!H6</f>
        <v>36</v>
      </c>
      <c r="F24" s="18">
        <f>'Plant loading'!I6</f>
        <v>3.5</v>
      </c>
      <c r="G24" s="17">
        <f t="shared" si="2"/>
        <v>13.333333333333334</v>
      </c>
      <c r="H24" s="17">
        <f t="shared" si="3"/>
        <v>26.666666666666668</v>
      </c>
      <c r="I24" s="812">
        <f t="shared" si="4"/>
        <v>0.92</v>
      </c>
      <c r="J24" s="812">
        <f t="shared" si="1"/>
        <v>0.97</v>
      </c>
      <c r="K24" s="17">
        <f t="shared" si="5"/>
        <v>28.252800000000001</v>
      </c>
      <c r="L24" s="17">
        <f t="shared" si="6"/>
        <v>26.944800000000001</v>
      </c>
      <c r="M24" s="17">
        <f t="shared" si="7"/>
        <v>136.08000000000001</v>
      </c>
      <c r="N24" s="17">
        <f t="shared" si="8"/>
        <v>68.040000000000006</v>
      </c>
    </row>
    <row r="25" spans="1:14">
      <c r="A25" s="20" t="str">
        <f>'Plant loading'!A7</f>
        <v>Acton</v>
      </c>
      <c r="B25" s="18" t="str">
        <f>'Plant loading'!B7</f>
        <v>PEFAN</v>
      </c>
      <c r="C25" s="18" t="str">
        <f>'Plant loading'!C7</f>
        <v>eSure</v>
      </c>
      <c r="D25" s="18">
        <f>'Plant loading'!E7</f>
        <v>697</v>
      </c>
      <c r="E25" s="19">
        <f>'Plant loading'!H7</f>
        <v>36</v>
      </c>
      <c r="F25" s="18">
        <f>'Plant loading'!I7</f>
        <v>3.5</v>
      </c>
      <c r="G25" s="17">
        <f t="shared" si="2"/>
        <v>19.361111111111111</v>
      </c>
      <c r="H25" s="17">
        <f t="shared" si="3"/>
        <v>38.722222222222221</v>
      </c>
      <c r="I25" s="812">
        <f t="shared" si="4"/>
        <v>0.97</v>
      </c>
      <c r="J25" s="812">
        <f t="shared" si="1"/>
        <v>0.97</v>
      </c>
      <c r="K25" s="17">
        <f t="shared" si="5"/>
        <v>39.126094999999999</v>
      </c>
      <c r="L25" s="17">
        <f t="shared" si="6"/>
        <v>39.126094999999999</v>
      </c>
      <c r="M25" s="17">
        <f t="shared" si="7"/>
        <v>136.08000000000001</v>
      </c>
      <c r="N25" s="17">
        <f t="shared" si="8"/>
        <v>68.040000000000006</v>
      </c>
    </row>
    <row r="26" spans="1:14">
      <c r="A26" s="20" t="str">
        <f>'Plant loading'!A8</f>
        <v>Acton</v>
      </c>
      <c r="B26" s="18" t="str">
        <f>'Plant loading'!B8</f>
        <v>PEGAN</v>
      </c>
      <c r="C26" s="18" t="str">
        <f>'Plant loading'!C8</f>
        <v>eSure</v>
      </c>
      <c r="D26" s="18">
        <f>'Plant loading'!E8</f>
        <v>741</v>
      </c>
      <c r="E26" s="19">
        <f>'Plant loading'!H8</f>
        <v>36</v>
      </c>
      <c r="F26" s="18">
        <f>'Plant loading'!I8</f>
        <v>3.5</v>
      </c>
      <c r="G26" s="17">
        <f t="shared" si="2"/>
        <v>20.583333333333332</v>
      </c>
      <c r="H26" s="17">
        <f t="shared" si="3"/>
        <v>41.166666666666664</v>
      </c>
      <c r="I26" s="812">
        <f t="shared" si="4"/>
        <v>0.97</v>
      </c>
      <c r="J26" s="812">
        <f t="shared" si="1"/>
        <v>0.97</v>
      </c>
      <c r="K26" s="17">
        <f t="shared" si="5"/>
        <v>41.596035000000001</v>
      </c>
      <c r="L26" s="17">
        <f t="shared" si="6"/>
        <v>41.596035000000001</v>
      </c>
      <c r="M26" s="17">
        <f t="shared" si="7"/>
        <v>136.08000000000001</v>
      </c>
      <c r="N26" s="17">
        <f t="shared" si="8"/>
        <v>68.040000000000006</v>
      </c>
    </row>
    <row r="27" spans="1:14">
      <c r="A27" s="20" t="str">
        <f>'Plant loading'!A9</f>
        <v>Basingstoke</v>
      </c>
      <c r="B27" s="18" t="str">
        <f>'Plant loading'!B9</f>
        <v>PEABE</v>
      </c>
      <c r="C27" s="18" t="str">
        <f>'Plant loading'!C9</f>
        <v>eSure</v>
      </c>
      <c r="D27" s="18">
        <f>'Plant loading'!E9</f>
        <v>829</v>
      </c>
      <c r="E27" s="19">
        <f>'Plant loading'!H9</f>
        <v>36</v>
      </c>
      <c r="F27" s="18">
        <f>'Plant loading'!I9</f>
        <v>3.5</v>
      </c>
      <c r="G27" s="17">
        <f t="shared" si="2"/>
        <v>23.027777777777779</v>
      </c>
      <c r="H27" s="17">
        <f t="shared" si="3"/>
        <v>46.055555555555557</v>
      </c>
      <c r="I27" s="812">
        <f t="shared" si="4"/>
        <v>0.97</v>
      </c>
      <c r="J27" s="812">
        <f t="shared" si="1"/>
        <v>0.92</v>
      </c>
      <c r="K27" s="17">
        <f t="shared" si="5"/>
        <v>46.535915000000003</v>
      </c>
      <c r="L27" s="17">
        <f t="shared" si="6"/>
        <v>48.794940000000004</v>
      </c>
      <c r="M27" s="17">
        <f t="shared" si="7"/>
        <v>136.08000000000001</v>
      </c>
      <c r="N27" s="17">
        <f t="shared" si="8"/>
        <v>68.040000000000006</v>
      </c>
    </row>
    <row r="28" spans="1:14">
      <c r="A28" s="20" t="str">
        <f>'Plant loading'!A10</f>
        <v>Basingstoke</v>
      </c>
      <c r="B28" s="18" t="str">
        <f>'Plant loading'!B10</f>
        <v>PEBBE</v>
      </c>
      <c r="C28" s="18" t="str">
        <f>'Plant loading'!C10</f>
        <v>eSure</v>
      </c>
      <c r="D28" s="18">
        <f>'Plant loading'!E10</f>
        <v>842</v>
      </c>
      <c r="E28" s="19">
        <f>'Plant loading'!H10</f>
        <v>36</v>
      </c>
      <c r="F28" s="18">
        <f>'Plant loading'!I10</f>
        <v>3.5</v>
      </c>
      <c r="G28" s="17">
        <f t="shared" si="2"/>
        <v>23.388888888888889</v>
      </c>
      <c r="H28" s="17">
        <f t="shared" si="3"/>
        <v>46.777777777777779</v>
      </c>
      <c r="I28" s="812">
        <f t="shared" si="4"/>
        <v>0.97</v>
      </c>
      <c r="J28" s="812">
        <f t="shared" si="1"/>
        <v>0.92</v>
      </c>
      <c r="K28" s="17">
        <f t="shared" si="5"/>
        <v>47.265670000000007</v>
      </c>
      <c r="L28" s="17">
        <f t="shared" si="6"/>
        <v>49.560120000000005</v>
      </c>
      <c r="M28" s="17">
        <f t="shared" si="7"/>
        <v>136.08000000000001</v>
      </c>
      <c r="N28" s="17">
        <f t="shared" si="8"/>
        <v>68.040000000000006</v>
      </c>
    </row>
    <row r="29" spans="1:14">
      <c r="A29" s="20" t="str">
        <f>'Plant loading'!A11</f>
        <v>Basingstoke</v>
      </c>
      <c r="B29" s="18" t="str">
        <f>'Plant loading'!B11</f>
        <v>PECBE</v>
      </c>
      <c r="C29" s="18" t="str">
        <f>'Plant loading'!C11</f>
        <v>eSure</v>
      </c>
      <c r="D29" s="18">
        <f>'Plant loading'!E11</f>
        <v>807</v>
      </c>
      <c r="E29" s="19">
        <f>'Plant loading'!H11</f>
        <v>36</v>
      </c>
      <c r="F29" s="18">
        <f>'Plant loading'!I11</f>
        <v>3.5</v>
      </c>
      <c r="G29" s="17">
        <f t="shared" si="2"/>
        <v>22.416666666666668</v>
      </c>
      <c r="H29" s="17">
        <f t="shared" si="3"/>
        <v>44.833333333333336</v>
      </c>
      <c r="I29" s="812">
        <f t="shared" si="4"/>
        <v>0.97</v>
      </c>
      <c r="J29" s="812">
        <f t="shared" si="1"/>
        <v>0.92</v>
      </c>
      <c r="K29" s="17">
        <f t="shared" si="5"/>
        <v>45.300944999999999</v>
      </c>
      <c r="L29" s="17">
        <f t="shared" si="6"/>
        <v>47.500019999999999</v>
      </c>
      <c r="M29" s="17">
        <f t="shared" si="7"/>
        <v>136.08000000000001</v>
      </c>
      <c r="N29" s="17">
        <f t="shared" si="8"/>
        <v>68.040000000000006</v>
      </c>
    </row>
    <row r="30" spans="1:14">
      <c r="A30" s="20" t="str">
        <f>'Plant loading'!A12</f>
        <v>Basingstoke</v>
      </c>
      <c r="B30" s="18" t="str">
        <f>'Plant loading'!B12</f>
        <v>PEEBE</v>
      </c>
      <c r="C30" s="18" t="str">
        <f>'Plant loading'!C12</f>
        <v>eSure</v>
      </c>
      <c r="D30" s="18">
        <f>'Plant loading'!E12</f>
        <v>890</v>
      </c>
      <c r="E30" s="19">
        <f>'Plant loading'!H12</f>
        <v>36</v>
      </c>
      <c r="F30" s="18">
        <f>'Plant loading'!I12</f>
        <v>3.5</v>
      </c>
      <c r="G30" s="17">
        <f t="shared" si="2"/>
        <v>24.722222222222221</v>
      </c>
      <c r="H30" s="17">
        <f t="shared" si="3"/>
        <v>49.444444444444443</v>
      </c>
      <c r="I30" s="812">
        <f t="shared" si="4"/>
        <v>0.97</v>
      </c>
      <c r="J30" s="812">
        <f t="shared" si="1"/>
        <v>0.92</v>
      </c>
      <c r="K30" s="17">
        <f t="shared" si="5"/>
        <v>49.960150000000006</v>
      </c>
      <c r="L30" s="17">
        <f t="shared" si="6"/>
        <v>52.385400000000004</v>
      </c>
      <c r="M30" s="17">
        <f t="shared" si="7"/>
        <v>136.08000000000001</v>
      </c>
      <c r="N30" s="17">
        <f t="shared" si="8"/>
        <v>68.040000000000006</v>
      </c>
    </row>
    <row r="31" spans="1:14">
      <c r="A31" s="20" t="str">
        <f>'Plant loading'!A13</f>
        <v>Basingstoke</v>
      </c>
      <c r="B31" s="18" t="str">
        <f>'Plant loading'!B13</f>
        <v>PEFBE</v>
      </c>
      <c r="C31" s="18" t="str">
        <f>'Plant loading'!C13</f>
        <v>eSure</v>
      </c>
      <c r="D31" s="18">
        <f>'Plant loading'!E13</f>
        <v>853</v>
      </c>
      <c r="E31" s="19">
        <f>'Plant loading'!H13</f>
        <v>36</v>
      </c>
      <c r="F31" s="18">
        <f>'Plant loading'!I13</f>
        <v>3.5</v>
      </c>
      <c r="G31" s="17">
        <f t="shared" si="2"/>
        <v>23.694444444444443</v>
      </c>
      <c r="H31" s="17">
        <f t="shared" si="3"/>
        <v>47.388888888888886</v>
      </c>
      <c r="I31" s="812">
        <f t="shared" si="4"/>
        <v>0.97</v>
      </c>
      <c r="J31" s="812">
        <f t="shared" si="1"/>
        <v>0.92</v>
      </c>
      <c r="K31" s="17">
        <f t="shared" si="5"/>
        <v>47.883155000000002</v>
      </c>
      <c r="L31" s="17">
        <f t="shared" si="6"/>
        <v>50.207580000000007</v>
      </c>
      <c r="M31" s="17">
        <f t="shared" si="7"/>
        <v>136.08000000000001</v>
      </c>
      <c r="N31" s="17">
        <f t="shared" si="8"/>
        <v>68.040000000000006</v>
      </c>
    </row>
    <row r="32" spans="1:14">
      <c r="A32" s="20" t="str">
        <f>'Plant loading'!A14</f>
        <v>Basingstoke</v>
      </c>
      <c r="B32" s="18" t="str">
        <f>'Plant loading'!B14</f>
        <v>PEGBE</v>
      </c>
      <c r="C32" s="18" t="str">
        <f>'Plant loading'!C14</f>
        <v>eSure</v>
      </c>
      <c r="D32" s="18">
        <f>'Plant loading'!E14</f>
        <v>878</v>
      </c>
      <c r="E32" s="19">
        <f>'Plant loading'!H14</f>
        <v>36</v>
      </c>
      <c r="F32" s="18">
        <f>'Plant loading'!I14</f>
        <v>3.5</v>
      </c>
      <c r="G32" s="17">
        <f>D32/E32</f>
        <v>24.388888888888889</v>
      </c>
      <c r="H32" s="17">
        <f>D32/(E32/2)</f>
        <v>48.777777777777779</v>
      </c>
      <c r="I32" s="812">
        <f>IF(AND(C32="eSure",AND(G32&gt;=19.2,G32&lt;=44.8)),0.97,0.92)</f>
        <v>0.97</v>
      </c>
      <c r="J32" s="812">
        <f>IF(AND(C32="eSure",AND(H32&gt;=19.2,H32&lt;=44.8)),0.97,0.92)</f>
        <v>0.92</v>
      </c>
      <c r="K32" s="17">
        <f>((D32*54.5)/1000)*(1+(1-I32))</f>
        <v>49.286529999999999</v>
      </c>
      <c r="L32" s="17">
        <f>((D32*54.5)/1000)*(1+(1-J32))</f>
        <v>51.679079999999999</v>
      </c>
      <c r="M32" s="17">
        <f>(E32*F32)*1.08</f>
        <v>136.08000000000001</v>
      </c>
      <c r="N32" s="17">
        <f>((E32/2)*F32)*1.08</f>
        <v>68.040000000000006</v>
      </c>
    </row>
    <row r="33" spans="1:14">
      <c r="A33" s="20" t="str">
        <f>'Plant loading'!A15</f>
        <v>Basingstoke</v>
      </c>
      <c r="B33" s="18" t="str">
        <f>'Plant loading'!B15</f>
        <v>PEHBE</v>
      </c>
      <c r="C33" s="18" t="str">
        <f>'Plant loading'!C15</f>
        <v>eSure</v>
      </c>
      <c r="D33" s="18">
        <f>'Plant loading'!E15</f>
        <v>835</v>
      </c>
      <c r="E33" s="19">
        <f>'Plant loading'!H15</f>
        <v>36</v>
      </c>
      <c r="F33" s="18">
        <f>'Plant loading'!I15</f>
        <v>3.5</v>
      </c>
      <c r="G33" s="17">
        <f t="shared" si="2"/>
        <v>23.194444444444443</v>
      </c>
      <c r="H33" s="17">
        <f t="shared" si="3"/>
        <v>46.388888888888886</v>
      </c>
      <c r="I33" s="812">
        <f t="shared" si="4"/>
        <v>0.97</v>
      </c>
      <c r="J33" s="812">
        <f t="shared" si="1"/>
        <v>0.92</v>
      </c>
      <c r="K33" s="17">
        <f t="shared" si="5"/>
        <v>46.872725000000003</v>
      </c>
      <c r="L33" s="17">
        <f t="shared" si="6"/>
        <v>49.148100000000007</v>
      </c>
      <c r="M33" s="17">
        <f t="shared" si="7"/>
        <v>136.08000000000001</v>
      </c>
      <c r="N33" s="17">
        <f t="shared" si="8"/>
        <v>68.040000000000006</v>
      </c>
    </row>
    <row r="34" spans="1:14">
      <c r="A34" s="20" t="str">
        <f>'Plant loading'!A16</f>
        <v>Basingstoke</v>
      </c>
      <c r="B34" s="18" t="str">
        <f>'Plant loading'!B16</f>
        <v>PEIBE</v>
      </c>
      <c r="C34" s="18" t="str">
        <f>'Plant loading'!C16</f>
        <v>eSure</v>
      </c>
      <c r="D34" s="18">
        <f>'Plant loading'!E16</f>
        <v>866</v>
      </c>
      <c r="E34" s="19">
        <f>'Plant loading'!H16</f>
        <v>36</v>
      </c>
      <c r="F34" s="18">
        <f>'Plant loading'!I16</f>
        <v>3.5</v>
      </c>
      <c r="G34" s="17">
        <f t="shared" si="2"/>
        <v>24.055555555555557</v>
      </c>
      <c r="H34" s="17">
        <f t="shared" si="3"/>
        <v>48.111111111111114</v>
      </c>
      <c r="I34" s="812">
        <f t="shared" si="4"/>
        <v>0.97</v>
      </c>
      <c r="J34" s="812">
        <f t="shared" si="1"/>
        <v>0.92</v>
      </c>
      <c r="K34" s="17">
        <f t="shared" si="5"/>
        <v>48.612910000000007</v>
      </c>
      <c r="L34" s="17">
        <f t="shared" si="6"/>
        <v>50.972760000000008</v>
      </c>
      <c r="M34" s="17">
        <f t="shared" si="7"/>
        <v>136.08000000000001</v>
      </c>
      <c r="N34" s="17">
        <f t="shared" si="8"/>
        <v>68.040000000000006</v>
      </c>
    </row>
    <row r="35" spans="1:14">
      <c r="A35" s="20" t="str">
        <f>'Plant loading'!A17</f>
        <v>Crawley</v>
      </c>
      <c r="B35" s="18" t="str">
        <f>'Plant loading'!B17</f>
        <v>PEACY</v>
      </c>
      <c r="C35" s="18" t="str">
        <f>'Plant loading'!C17</f>
        <v>eSure</v>
      </c>
      <c r="D35" s="18">
        <f>'Plant loading'!E17</f>
        <v>393</v>
      </c>
      <c r="E35" s="19">
        <f>'Plant loading'!H17</f>
        <v>36</v>
      </c>
      <c r="F35" s="18">
        <f>'Plant loading'!I17</f>
        <v>3.5</v>
      </c>
      <c r="G35" s="17">
        <f t="shared" si="2"/>
        <v>10.916666666666666</v>
      </c>
      <c r="H35" s="17">
        <f t="shared" si="3"/>
        <v>21.833333333333332</v>
      </c>
      <c r="I35" s="812">
        <f t="shared" si="4"/>
        <v>0.92</v>
      </c>
      <c r="J35" s="812">
        <f t="shared" si="1"/>
        <v>0.97</v>
      </c>
      <c r="K35" s="17">
        <f t="shared" si="5"/>
        <v>23.131980000000002</v>
      </c>
      <c r="L35" s="17">
        <f t="shared" si="6"/>
        <v>22.061055000000003</v>
      </c>
      <c r="M35" s="17">
        <f t="shared" si="7"/>
        <v>136.08000000000001</v>
      </c>
      <c r="N35" s="17">
        <f t="shared" si="8"/>
        <v>68.040000000000006</v>
      </c>
    </row>
    <row r="36" spans="1:14">
      <c r="A36" s="20" t="str">
        <f>'Plant loading'!A18</f>
        <v>Crawley</v>
      </c>
      <c r="B36" s="18" t="str">
        <f>'Plant loading'!B18</f>
        <v>PEBCY</v>
      </c>
      <c r="C36" s="18" t="str">
        <f>'Plant loading'!C18</f>
        <v>eSure</v>
      </c>
      <c r="D36" s="18">
        <f>'Plant loading'!E18</f>
        <v>501</v>
      </c>
      <c r="E36" s="19">
        <f>'Plant loading'!H18</f>
        <v>36</v>
      </c>
      <c r="F36" s="18">
        <f>'Plant loading'!I18</f>
        <v>3.5</v>
      </c>
      <c r="G36" s="17">
        <f t="shared" si="2"/>
        <v>13.916666666666666</v>
      </c>
      <c r="H36" s="17">
        <f t="shared" si="3"/>
        <v>27.833333333333332</v>
      </c>
      <c r="I36" s="812">
        <f t="shared" si="4"/>
        <v>0.92</v>
      </c>
      <c r="J36" s="812">
        <f t="shared" si="1"/>
        <v>0.97</v>
      </c>
      <c r="K36" s="17">
        <f t="shared" si="5"/>
        <v>29.488860000000003</v>
      </c>
      <c r="L36" s="17">
        <f t="shared" si="6"/>
        <v>28.123635</v>
      </c>
      <c r="M36" s="17">
        <f t="shared" si="7"/>
        <v>136.08000000000001</v>
      </c>
      <c r="N36" s="17">
        <f t="shared" si="8"/>
        <v>68.040000000000006</v>
      </c>
    </row>
    <row r="37" spans="1:14">
      <c r="A37" s="20" t="str">
        <f>'Plant loading'!A19</f>
        <v>Crawley</v>
      </c>
      <c r="B37" s="18" t="str">
        <f>'Plant loading'!B19</f>
        <v>PECCY</v>
      </c>
      <c r="C37" s="18" t="str">
        <f>'Plant loading'!C19</f>
        <v>eSure</v>
      </c>
      <c r="D37" s="18">
        <f>'Plant loading'!E19</f>
        <v>610</v>
      </c>
      <c r="E37" s="19">
        <f>'Plant loading'!H19</f>
        <v>36</v>
      </c>
      <c r="F37" s="18">
        <f>'Plant loading'!I19</f>
        <v>3.5</v>
      </c>
      <c r="G37" s="17">
        <f t="shared" si="2"/>
        <v>16.944444444444443</v>
      </c>
      <c r="H37" s="17">
        <f t="shared" si="3"/>
        <v>33.888888888888886</v>
      </c>
      <c r="I37" s="812">
        <f t="shared" si="4"/>
        <v>0.92</v>
      </c>
      <c r="J37" s="812">
        <f t="shared" si="1"/>
        <v>0.97</v>
      </c>
      <c r="K37" s="17">
        <f t="shared" si="5"/>
        <v>35.904600000000002</v>
      </c>
      <c r="L37" s="17">
        <f t="shared" si="6"/>
        <v>34.242349999999995</v>
      </c>
      <c r="M37" s="17">
        <f t="shared" si="7"/>
        <v>136.08000000000001</v>
      </c>
      <c r="N37" s="17">
        <f t="shared" si="8"/>
        <v>68.040000000000006</v>
      </c>
    </row>
    <row r="38" spans="1:14">
      <c r="A38" s="20" t="str">
        <f>'Plant loading'!A20</f>
        <v>Crawley</v>
      </c>
      <c r="B38" s="18" t="str">
        <f>'Plant loading'!B20</f>
        <v>PEDCY</v>
      </c>
      <c r="C38" s="18" t="str">
        <f>'Plant loading'!C20</f>
        <v>eSure</v>
      </c>
      <c r="D38" s="18">
        <f>'Plant loading'!E20</f>
        <v>475</v>
      </c>
      <c r="E38" s="19">
        <f>'Plant loading'!H20</f>
        <v>36</v>
      </c>
      <c r="F38" s="18">
        <f>'Plant loading'!I20</f>
        <v>3.5</v>
      </c>
      <c r="G38" s="17">
        <f t="shared" si="2"/>
        <v>13.194444444444445</v>
      </c>
      <c r="H38" s="17">
        <f t="shared" si="3"/>
        <v>26.388888888888889</v>
      </c>
      <c r="I38" s="812">
        <f t="shared" si="4"/>
        <v>0.92</v>
      </c>
      <c r="J38" s="812">
        <f t="shared" si="1"/>
        <v>0.97</v>
      </c>
      <c r="K38" s="17">
        <f t="shared" si="5"/>
        <v>27.958500000000001</v>
      </c>
      <c r="L38" s="17">
        <f t="shared" si="6"/>
        <v>26.664124999999999</v>
      </c>
      <c r="M38" s="17">
        <f t="shared" si="7"/>
        <v>136.08000000000001</v>
      </c>
      <c r="N38" s="17">
        <f t="shared" si="8"/>
        <v>68.040000000000006</v>
      </c>
    </row>
    <row r="39" spans="1:14">
      <c r="A39" s="20" t="str">
        <f>'Plant loading'!A21</f>
        <v>Crawley</v>
      </c>
      <c r="B39" s="18" t="str">
        <f>'Plant loading'!B21</f>
        <v>PEECY</v>
      </c>
      <c r="C39" s="18" t="str">
        <f>'Plant loading'!C21</f>
        <v>eSure</v>
      </c>
      <c r="D39" s="18">
        <f>'Plant loading'!E21</f>
        <v>355</v>
      </c>
      <c r="E39" s="19">
        <f>'Plant loading'!H21</f>
        <v>36</v>
      </c>
      <c r="F39" s="18">
        <f>'Plant loading'!I21</f>
        <v>3.5</v>
      </c>
      <c r="G39" s="17">
        <f t="shared" si="2"/>
        <v>9.8611111111111107</v>
      </c>
      <c r="H39" s="17">
        <f t="shared" si="3"/>
        <v>19.722222222222221</v>
      </c>
      <c r="I39" s="812">
        <f t="shared" si="4"/>
        <v>0.92</v>
      </c>
      <c r="J39" s="812">
        <f t="shared" si="1"/>
        <v>0.97</v>
      </c>
      <c r="K39" s="17">
        <f t="shared" si="5"/>
        <v>20.895300000000002</v>
      </c>
      <c r="L39" s="17">
        <f t="shared" si="6"/>
        <v>19.927925000000002</v>
      </c>
      <c r="M39" s="17">
        <f t="shared" si="7"/>
        <v>136.08000000000001</v>
      </c>
      <c r="N39" s="17">
        <f t="shared" si="8"/>
        <v>68.040000000000006</v>
      </c>
    </row>
    <row r="40" spans="1:14">
      <c r="A40" s="20" t="str">
        <f>'Plant loading'!A22</f>
        <v>Edinburgh</v>
      </c>
      <c r="B40" s="18" t="str">
        <f>'Plant loading'!B22</f>
        <v>PECEH</v>
      </c>
      <c r="C40" s="18" t="str">
        <f>'Plant loading'!C22</f>
        <v>eSure</v>
      </c>
      <c r="D40" s="18">
        <f>'Plant loading'!E22</f>
        <v>852</v>
      </c>
      <c r="E40" s="19">
        <f>'Plant loading'!H22</f>
        <v>36</v>
      </c>
      <c r="F40" s="18">
        <f>'Plant loading'!I22</f>
        <v>3.5</v>
      </c>
      <c r="G40" s="17">
        <f t="shared" si="2"/>
        <v>23.666666666666668</v>
      </c>
      <c r="H40" s="17">
        <f t="shared" si="3"/>
        <v>47.333333333333336</v>
      </c>
      <c r="I40" s="812">
        <f t="shared" si="4"/>
        <v>0.97</v>
      </c>
      <c r="J40" s="812">
        <f t="shared" si="1"/>
        <v>0.92</v>
      </c>
      <c r="K40" s="17">
        <f t="shared" si="5"/>
        <v>47.827019999999997</v>
      </c>
      <c r="L40" s="17">
        <f t="shared" si="6"/>
        <v>50.148719999999997</v>
      </c>
      <c r="M40" s="17">
        <f t="shared" si="7"/>
        <v>136.08000000000001</v>
      </c>
      <c r="N40" s="17">
        <f t="shared" si="8"/>
        <v>68.040000000000006</v>
      </c>
    </row>
    <row r="41" spans="1:14">
      <c r="A41" s="20" t="str">
        <f>'Plant loading'!A23</f>
        <v>Edinburgh</v>
      </c>
      <c r="B41" s="18" t="str">
        <f>'Plant loading'!B23</f>
        <v>PEDEH</v>
      </c>
      <c r="C41" s="18" t="str">
        <f>'Plant loading'!C23</f>
        <v>eSure</v>
      </c>
      <c r="D41" s="18">
        <f>'Plant loading'!E23</f>
        <v>912</v>
      </c>
      <c r="E41" s="19">
        <f>'Plant loading'!H23</f>
        <v>36</v>
      </c>
      <c r="F41" s="18">
        <f>'Plant loading'!I23</f>
        <v>3.5</v>
      </c>
      <c r="G41" s="17">
        <f t="shared" si="2"/>
        <v>25.333333333333332</v>
      </c>
      <c r="H41" s="17">
        <f t="shared" si="3"/>
        <v>50.666666666666664</v>
      </c>
      <c r="I41" s="812">
        <f t="shared" si="4"/>
        <v>0.97</v>
      </c>
      <c r="J41" s="812">
        <f t="shared" si="1"/>
        <v>0.92</v>
      </c>
      <c r="K41" s="17">
        <f t="shared" si="5"/>
        <v>51.195120000000003</v>
      </c>
      <c r="L41" s="17">
        <f t="shared" si="6"/>
        <v>53.680320000000002</v>
      </c>
      <c r="M41" s="17">
        <f t="shared" si="7"/>
        <v>136.08000000000001</v>
      </c>
      <c r="N41" s="17">
        <f t="shared" si="8"/>
        <v>68.040000000000006</v>
      </c>
    </row>
    <row r="42" spans="1:14">
      <c r="A42" s="20" t="str">
        <f>'Plant loading'!A24</f>
        <v>Edinburgh</v>
      </c>
      <c r="B42" s="18" t="str">
        <f>'Plant loading'!B24</f>
        <v>PEEEH</v>
      </c>
      <c r="C42" s="18" t="str">
        <f>'Plant loading'!C24</f>
        <v>eSure</v>
      </c>
      <c r="D42" s="18">
        <f>'Plant loading'!E24</f>
        <v>881</v>
      </c>
      <c r="E42" s="19">
        <f>'Plant loading'!H24</f>
        <v>36</v>
      </c>
      <c r="F42" s="18">
        <f>'Plant loading'!I24</f>
        <v>3.5</v>
      </c>
      <c r="G42" s="17">
        <f t="shared" si="2"/>
        <v>24.472222222222221</v>
      </c>
      <c r="H42" s="17">
        <f t="shared" si="3"/>
        <v>48.944444444444443</v>
      </c>
      <c r="I42" s="812">
        <f t="shared" si="4"/>
        <v>0.97</v>
      </c>
      <c r="J42" s="812">
        <f t="shared" si="1"/>
        <v>0.92</v>
      </c>
      <c r="K42" s="17">
        <f t="shared" si="5"/>
        <v>49.454934999999999</v>
      </c>
      <c r="L42" s="17">
        <f t="shared" si="6"/>
        <v>51.85566</v>
      </c>
      <c r="M42" s="17">
        <f t="shared" si="7"/>
        <v>136.08000000000001</v>
      </c>
      <c r="N42" s="17">
        <f t="shared" si="8"/>
        <v>68.040000000000006</v>
      </c>
    </row>
    <row r="43" spans="1:14">
      <c r="A43" s="20" t="str">
        <f>'Plant loading'!A25</f>
        <v>Edinburgh</v>
      </c>
      <c r="B43" s="18" t="str">
        <f>'Plant loading'!B25</f>
        <v>PEFEH</v>
      </c>
      <c r="C43" s="18" t="str">
        <f>'Plant loading'!C25</f>
        <v>eSure</v>
      </c>
      <c r="D43" s="18">
        <f>'Plant loading'!E25</f>
        <v>830</v>
      </c>
      <c r="E43" s="19">
        <f>'Plant loading'!H25</f>
        <v>36</v>
      </c>
      <c r="F43" s="18">
        <f>'Plant loading'!I25</f>
        <v>3.5</v>
      </c>
      <c r="G43" s="17">
        <f t="shared" si="2"/>
        <v>23.055555555555557</v>
      </c>
      <c r="H43" s="17">
        <f t="shared" si="3"/>
        <v>46.111111111111114</v>
      </c>
      <c r="I43" s="812">
        <f t="shared" si="4"/>
        <v>0.97</v>
      </c>
      <c r="J43" s="812">
        <f t="shared" si="1"/>
        <v>0.92</v>
      </c>
      <c r="K43" s="17">
        <f t="shared" si="5"/>
        <v>46.59205</v>
      </c>
      <c r="L43" s="17">
        <f t="shared" si="6"/>
        <v>48.8538</v>
      </c>
      <c r="M43" s="17">
        <f t="shared" si="7"/>
        <v>136.08000000000001</v>
      </c>
      <c r="N43" s="17">
        <f t="shared" si="8"/>
        <v>68.040000000000006</v>
      </c>
    </row>
    <row r="44" spans="1:14">
      <c r="A44" s="20" t="str">
        <f>'Plant loading'!A26</f>
        <v>Edinburgh</v>
      </c>
      <c r="B44" s="18" t="str">
        <f>'Plant loading'!B26</f>
        <v>PEGEH</v>
      </c>
      <c r="C44" s="18" t="str">
        <f>'Plant loading'!C26</f>
        <v>eSure</v>
      </c>
      <c r="D44" s="18">
        <f>'Plant loading'!E26</f>
        <v>965</v>
      </c>
      <c r="E44" s="19">
        <f>'Plant loading'!H26</f>
        <v>36</v>
      </c>
      <c r="F44" s="18">
        <f>'Plant loading'!I26</f>
        <v>3.5</v>
      </c>
      <c r="G44" s="17">
        <f t="shared" si="2"/>
        <v>26.805555555555557</v>
      </c>
      <c r="H44" s="17">
        <f t="shared" si="3"/>
        <v>53.611111111111114</v>
      </c>
      <c r="I44" s="812">
        <f t="shared" si="4"/>
        <v>0.97</v>
      </c>
      <c r="J44" s="812">
        <f t="shared" si="1"/>
        <v>0.92</v>
      </c>
      <c r="K44" s="17">
        <f t="shared" si="5"/>
        <v>54.170275000000004</v>
      </c>
      <c r="L44" s="17">
        <f t="shared" si="6"/>
        <v>56.799900000000008</v>
      </c>
      <c r="M44" s="17">
        <f t="shared" si="7"/>
        <v>136.08000000000001</v>
      </c>
      <c r="N44" s="17">
        <f t="shared" si="8"/>
        <v>68.040000000000006</v>
      </c>
    </row>
    <row r="45" spans="1:14">
      <c r="A45" s="20" t="s">
        <v>75</v>
      </c>
      <c r="B45" s="18" t="str">
        <f>'Plant loading'!B27</f>
        <v>PEHEH</v>
      </c>
      <c r="C45" s="18" t="str">
        <f>'Plant loading'!C27</f>
        <v>eSure</v>
      </c>
      <c r="D45" s="18">
        <f>'Plant loading'!E27</f>
        <v>883</v>
      </c>
      <c r="E45" s="19">
        <f>'Plant loading'!H27</f>
        <v>36</v>
      </c>
      <c r="F45" s="18">
        <f>'Plant loading'!I27</f>
        <v>3.5</v>
      </c>
      <c r="G45" s="17">
        <f t="shared" si="2"/>
        <v>24.527777777777779</v>
      </c>
      <c r="H45" s="17">
        <f t="shared" si="3"/>
        <v>49.055555555555557</v>
      </c>
      <c r="I45" s="812">
        <f t="shared" si="4"/>
        <v>0.97</v>
      </c>
      <c r="J45" s="812">
        <f t="shared" si="1"/>
        <v>0.92</v>
      </c>
      <c r="K45" s="17">
        <f>((D45*54.5)/1000)*(1+(1-I45))</f>
        <v>49.567205000000001</v>
      </c>
      <c r="L45" s="17">
        <f>((D45*54.5)/1000)*(1+(1-J45))</f>
        <v>51.973380000000006</v>
      </c>
      <c r="M45" s="17">
        <f>(E45*F45)*1.08</f>
        <v>136.08000000000001</v>
      </c>
      <c r="N45" s="17">
        <f>((E45/2)*F45)*1.08</f>
        <v>68.040000000000006</v>
      </c>
    </row>
    <row r="46" spans="1:14">
      <c r="A46" s="20" t="str">
        <f>'Plant loading'!A28</f>
        <v>Esher</v>
      </c>
      <c r="B46" s="18" t="str">
        <f>'Plant loading'!B28</f>
        <v>PEDER</v>
      </c>
      <c r="C46" s="18" t="str">
        <f>'Plant loading'!C28</f>
        <v>eSure</v>
      </c>
      <c r="D46" s="18">
        <f>'Plant loading'!E28</f>
        <v>420</v>
      </c>
      <c r="E46" s="19">
        <f>'Plant loading'!H28</f>
        <v>36</v>
      </c>
      <c r="F46" s="18">
        <f>'Plant loading'!I28</f>
        <v>3.5</v>
      </c>
      <c r="G46" s="17">
        <f t="shared" si="2"/>
        <v>11.666666666666666</v>
      </c>
      <c r="H46" s="17">
        <f t="shared" si="3"/>
        <v>23.333333333333332</v>
      </c>
      <c r="I46" s="812">
        <f t="shared" si="4"/>
        <v>0.92</v>
      </c>
      <c r="J46" s="812">
        <f t="shared" si="1"/>
        <v>0.97</v>
      </c>
      <c r="K46" s="17">
        <f t="shared" si="5"/>
        <v>24.721200000000003</v>
      </c>
      <c r="L46" s="17">
        <f t="shared" si="6"/>
        <v>23.576700000000002</v>
      </c>
      <c r="M46" s="17">
        <f t="shared" si="7"/>
        <v>136.08000000000001</v>
      </c>
      <c r="N46" s="17">
        <f t="shared" si="8"/>
        <v>68.040000000000006</v>
      </c>
    </row>
    <row r="47" spans="1:14">
      <c r="A47" s="20" t="str">
        <f>'Plant loading'!A29</f>
        <v>Esher</v>
      </c>
      <c r="B47" s="18" t="str">
        <f>'Plant loading'!B29</f>
        <v>PEEER</v>
      </c>
      <c r="C47" s="18" t="str">
        <f>'Plant loading'!C29</f>
        <v>eSure</v>
      </c>
      <c r="D47" s="18">
        <f>'Plant loading'!E29</f>
        <v>347</v>
      </c>
      <c r="E47" s="19">
        <f>'Plant loading'!H29</f>
        <v>36</v>
      </c>
      <c r="F47" s="18">
        <f>'Plant loading'!I29</f>
        <v>3.5</v>
      </c>
      <c r="G47" s="17">
        <f t="shared" si="2"/>
        <v>9.6388888888888893</v>
      </c>
      <c r="H47" s="17">
        <f t="shared" si="3"/>
        <v>19.277777777777779</v>
      </c>
      <c r="I47" s="812">
        <f t="shared" si="4"/>
        <v>0.92</v>
      </c>
      <c r="J47" s="812">
        <f t="shared" si="1"/>
        <v>0.97</v>
      </c>
      <c r="K47" s="17">
        <f t="shared" si="5"/>
        <v>20.424420000000001</v>
      </c>
      <c r="L47" s="17">
        <f t="shared" si="6"/>
        <v>19.478845</v>
      </c>
      <c r="M47" s="17">
        <f t="shared" si="7"/>
        <v>136.08000000000001</v>
      </c>
      <c r="N47" s="17">
        <f t="shared" si="8"/>
        <v>68.040000000000006</v>
      </c>
    </row>
    <row r="48" spans="1:14">
      <c r="A48" s="20" t="str">
        <f>'Plant loading'!A30</f>
        <v>Esher</v>
      </c>
      <c r="B48" s="18" t="str">
        <f>'Plant loading'!B30</f>
        <v>PEFER</v>
      </c>
      <c r="C48" s="18" t="str">
        <f>'Plant loading'!C30</f>
        <v>eSure</v>
      </c>
      <c r="D48" s="18">
        <f>'Plant loading'!E30</f>
        <v>436</v>
      </c>
      <c r="E48" s="19">
        <f>'Plant loading'!H30</f>
        <v>36</v>
      </c>
      <c r="F48" s="18">
        <f>'Plant loading'!I30</f>
        <v>3.5</v>
      </c>
      <c r="G48" s="17">
        <f t="shared" si="2"/>
        <v>12.111111111111111</v>
      </c>
      <c r="H48" s="17">
        <f t="shared" si="3"/>
        <v>24.222222222222221</v>
      </c>
      <c r="I48" s="812">
        <f t="shared" si="4"/>
        <v>0.92</v>
      </c>
      <c r="J48" s="812">
        <f t="shared" si="1"/>
        <v>0.97</v>
      </c>
      <c r="K48" s="17">
        <f t="shared" si="5"/>
        <v>25.662960000000002</v>
      </c>
      <c r="L48" s="17">
        <f t="shared" si="6"/>
        <v>24.47486</v>
      </c>
      <c r="M48" s="17">
        <f t="shared" si="7"/>
        <v>136.08000000000001</v>
      </c>
      <c r="N48" s="17">
        <f t="shared" si="8"/>
        <v>68.040000000000006</v>
      </c>
    </row>
    <row r="49" spans="1:14">
      <c r="A49" s="20" t="str">
        <f>'Plant loading'!A31</f>
        <v>Esher</v>
      </c>
      <c r="B49" s="18" t="str">
        <f>'Plant loading'!B31</f>
        <v>PEGER</v>
      </c>
      <c r="C49" s="18" t="str">
        <f>'Plant loading'!C31</f>
        <v>eSure</v>
      </c>
      <c r="D49" s="18">
        <f>'Plant loading'!E31</f>
        <v>312</v>
      </c>
      <c r="E49" s="19">
        <f>'Plant loading'!H31</f>
        <v>36</v>
      </c>
      <c r="F49" s="18">
        <f>'Plant loading'!I31</f>
        <v>3.5</v>
      </c>
      <c r="G49" s="17">
        <f t="shared" si="2"/>
        <v>8.6666666666666661</v>
      </c>
      <c r="H49" s="17">
        <f t="shared" si="3"/>
        <v>17.333333333333332</v>
      </c>
      <c r="I49" s="812">
        <f t="shared" si="4"/>
        <v>0.92</v>
      </c>
      <c r="J49" s="812">
        <f t="shared" si="1"/>
        <v>0.92</v>
      </c>
      <c r="K49" s="17">
        <f t="shared" si="5"/>
        <v>18.364320000000003</v>
      </c>
      <c r="L49" s="17">
        <f t="shared" si="6"/>
        <v>18.364320000000003</v>
      </c>
      <c r="M49" s="17">
        <f t="shared" si="7"/>
        <v>136.08000000000001</v>
      </c>
      <c r="N49" s="17">
        <f t="shared" si="8"/>
        <v>68.040000000000006</v>
      </c>
    </row>
    <row r="50" spans="1:14">
      <c r="A50" s="20" t="str">
        <f>'Plant loading'!A32</f>
        <v>Gloucester</v>
      </c>
      <c r="B50" s="18" t="str">
        <f>'Plant loading'!B32</f>
        <v>PEAGR</v>
      </c>
      <c r="C50" s="18" t="str">
        <f>'Plant loading'!C32</f>
        <v>eSure</v>
      </c>
      <c r="D50" s="18">
        <f>'Plant loading'!E32</f>
        <v>646</v>
      </c>
      <c r="E50" s="19">
        <f>'Plant loading'!H32</f>
        <v>36</v>
      </c>
      <c r="F50" s="18">
        <f>'Plant loading'!I32</f>
        <v>3.5</v>
      </c>
      <c r="G50" s="17">
        <f t="shared" si="2"/>
        <v>17.944444444444443</v>
      </c>
      <c r="H50" s="17">
        <f t="shared" si="3"/>
        <v>35.888888888888886</v>
      </c>
      <c r="I50" s="812">
        <f t="shared" si="4"/>
        <v>0.92</v>
      </c>
      <c r="J50" s="812">
        <f t="shared" si="1"/>
        <v>0.97</v>
      </c>
      <c r="K50" s="17">
        <f t="shared" si="5"/>
        <v>38.023560000000003</v>
      </c>
      <c r="L50" s="17">
        <f t="shared" si="6"/>
        <v>36.263210000000001</v>
      </c>
      <c r="M50" s="17">
        <f t="shared" si="7"/>
        <v>136.08000000000001</v>
      </c>
      <c r="N50" s="17">
        <f t="shared" si="8"/>
        <v>68.040000000000006</v>
      </c>
    </row>
    <row r="51" spans="1:14">
      <c r="A51" s="20" t="str">
        <f>'Plant loading'!A33</f>
        <v>Gloucester</v>
      </c>
      <c r="B51" s="18" t="str">
        <f>'Plant loading'!B33</f>
        <v>PEBGR</v>
      </c>
      <c r="C51" s="18" t="str">
        <f>'Plant loading'!C33</f>
        <v>eSure</v>
      </c>
      <c r="D51" s="18">
        <f>'Plant loading'!E33</f>
        <v>765</v>
      </c>
      <c r="E51" s="19">
        <f>'Plant loading'!H33</f>
        <v>36</v>
      </c>
      <c r="F51" s="18">
        <f>'Plant loading'!I33</f>
        <v>3.5</v>
      </c>
      <c r="G51" s="17">
        <f t="shared" si="2"/>
        <v>21.25</v>
      </c>
      <c r="H51" s="17">
        <f t="shared" si="3"/>
        <v>42.5</v>
      </c>
      <c r="I51" s="812">
        <f t="shared" si="4"/>
        <v>0.97</v>
      </c>
      <c r="J51" s="812">
        <f t="shared" si="1"/>
        <v>0.97</v>
      </c>
      <c r="K51" s="17">
        <f t="shared" si="5"/>
        <v>42.943275000000007</v>
      </c>
      <c r="L51" s="17">
        <f t="shared" si="6"/>
        <v>42.943275000000007</v>
      </c>
      <c r="M51" s="17">
        <f t="shared" si="7"/>
        <v>136.08000000000001</v>
      </c>
      <c r="N51" s="17">
        <f t="shared" si="8"/>
        <v>68.040000000000006</v>
      </c>
    </row>
    <row r="52" spans="1:14">
      <c r="A52" s="20" t="str">
        <f>'Plant loading'!A34</f>
        <v>Gloucester</v>
      </c>
      <c r="B52" s="18" t="str">
        <f>'Plant loading'!B34</f>
        <v>PECGR</v>
      </c>
      <c r="C52" s="18" t="str">
        <f>'Plant loading'!C34</f>
        <v>eSure</v>
      </c>
      <c r="D52" s="18">
        <f>'Plant loading'!E34</f>
        <v>716</v>
      </c>
      <c r="E52" s="19">
        <f>'Plant loading'!H34</f>
        <v>36</v>
      </c>
      <c r="F52" s="18">
        <f>'Plant loading'!I34</f>
        <v>3.5</v>
      </c>
      <c r="G52" s="17">
        <f t="shared" si="2"/>
        <v>19.888888888888889</v>
      </c>
      <c r="H52" s="17">
        <f t="shared" si="3"/>
        <v>39.777777777777779</v>
      </c>
      <c r="I52" s="812">
        <f t="shared" si="4"/>
        <v>0.97</v>
      </c>
      <c r="J52" s="812">
        <f t="shared" si="1"/>
        <v>0.97</v>
      </c>
      <c r="K52" s="17">
        <f t="shared" si="5"/>
        <v>40.192659999999997</v>
      </c>
      <c r="L52" s="17">
        <f t="shared" si="6"/>
        <v>40.192659999999997</v>
      </c>
      <c r="M52" s="17">
        <f t="shared" si="7"/>
        <v>136.08000000000001</v>
      </c>
      <c r="N52" s="17">
        <f t="shared" si="8"/>
        <v>68.040000000000006</v>
      </c>
    </row>
    <row r="53" spans="1:14">
      <c r="A53" s="20" t="str">
        <f>'Plant loading'!A35</f>
        <v>Gloucester</v>
      </c>
      <c r="B53" s="18" t="str">
        <f>'Plant loading'!B35</f>
        <v>PEDGR</v>
      </c>
      <c r="C53" s="18" t="str">
        <f>'Plant loading'!C35</f>
        <v>eSure</v>
      </c>
      <c r="D53" s="18">
        <f>'Plant loading'!E35</f>
        <v>711</v>
      </c>
      <c r="E53" s="19">
        <f>'Plant loading'!H35</f>
        <v>36</v>
      </c>
      <c r="F53" s="18">
        <f>'Plant loading'!I35</f>
        <v>3.5</v>
      </c>
      <c r="G53" s="17">
        <f t="shared" si="2"/>
        <v>19.75</v>
      </c>
      <c r="H53" s="17">
        <f t="shared" si="3"/>
        <v>39.5</v>
      </c>
      <c r="I53" s="812">
        <f t="shared" si="4"/>
        <v>0.97</v>
      </c>
      <c r="J53" s="812">
        <f t="shared" si="1"/>
        <v>0.97</v>
      </c>
      <c r="K53" s="17">
        <f t="shared" si="5"/>
        <v>39.911985000000001</v>
      </c>
      <c r="L53" s="17">
        <f t="shared" si="6"/>
        <v>39.911985000000001</v>
      </c>
      <c r="M53" s="17">
        <f t="shared" si="7"/>
        <v>136.08000000000001</v>
      </c>
      <c r="N53" s="17">
        <f t="shared" si="8"/>
        <v>68.040000000000006</v>
      </c>
    </row>
    <row r="54" spans="1:14">
      <c r="A54" s="20" t="str">
        <f>'Plant loading'!A36</f>
        <v>Gloucester</v>
      </c>
      <c r="B54" s="18" t="str">
        <f>'Plant loading'!B36</f>
        <v>PEEGR</v>
      </c>
      <c r="C54" s="18" t="str">
        <f>'Plant loading'!C36</f>
        <v>eSure</v>
      </c>
      <c r="D54" s="18">
        <f>'Plant loading'!E36</f>
        <v>707</v>
      </c>
      <c r="E54" s="19">
        <f>'Plant loading'!H36</f>
        <v>36</v>
      </c>
      <c r="F54" s="18">
        <f>'Plant loading'!I36</f>
        <v>3.5</v>
      </c>
      <c r="G54" s="17">
        <f t="shared" si="2"/>
        <v>19.638888888888889</v>
      </c>
      <c r="H54" s="17">
        <f t="shared" si="3"/>
        <v>39.277777777777779</v>
      </c>
      <c r="I54" s="812">
        <f t="shared" si="4"/>
        <v>0.97</v>
      </c>
      <c r="J54" s="812">
        <f t="shared" si="1"/>
        <v>0.97</v>
      </c>
      <c r="K54" s="17">
        <f t="shared" si="5"/>
        <v>39.687445000000004</v>
      </c>
      <c r="L54" s="17">
        <f t="shared" si="6"/>
        <v>39.687445000000004</v>
      </c>
      <c r="M54" s="17">
        <f t="shared" si="7"/>
        <v>136.08000000000001</v>
      </c>
      <c r="N54" s="17">
        <f t="shared" si="8"/>
        <v>68.040000000000006</v>
      </c>
    </row>
    <row r="55" spans="1:14">
      <c r="A55" s="20" t="str">
        <f>'Plant loading'!A39</f>
        <v>Gravelly Hill</v>
      </c>
      <c r="B55" s="18" t="str">
        <f>'Plant loading'!B39</f>
        <v>BMGMTX-DCSYS01</v>
      </c>
      <c r="C55" s="18" t="str">
        <f>'Plant loading'!C39</f>
        <v>HDR48-ES</v>
      </c>
      <c r="D55" s="18">
        <f>'Plant loading'!E39</f>
        <v>744</v>
      </c>
      <c r="E55" s="19">
        <f>'Plant loading'!H39</f>
        <v>44</v>
      </c>
      <c r="F55" s="18">
        <f>'Plant loading'!I39</f>
        <v>3</v>
      </c>
      <c r="G55" s="17">
        <f t="shared" si="2"/>
        <v>16.90909090909091</v>
      </c>
      <c r="H55" s="17">
        <f t="shared" si="3"/>
        <v>33.81818181818182</v>
      </c>
      <c r="I55" s="812">
        <f t="shared" si="4"/>
        <v>0.92</v>
      </c>
      <c r="J55" s="812">
        <f t="shared" si="1"/>
        <v>0.92</v>
      </c>
      <c r="K55" s="17">
        <f t="shared" si="5"/>
        <v>43.791840000000008</v>
      </c>
      <c r="L55" s="17">
        <f t="shared" si="6"/>
        <v>43.791840000000008</v>
      </c>
      <c r="M55" s="17">
        <f t="shared" si="7"/>
        <v>142.56</v>
      </c>
      <c r="N55" s="17">
        <f t="shared" si="8"/>
        <v>71.28</v>
      </c>
    </row>
    <row r="56" spans="1:14">
      <c r="A56" s="20" t="str">
        <f>'Plant loading'!A40</f>
        <v>Gravelly Hill</v>
      </c>
      <c r="B56" s="18" t="str">
        <f>'Plant loading'!B40</f>
        <v>BMGMTX-DCSYS02</v>
      </c>
      <c r="C56" s="18" t="str">
        <f>'Plant loading'!C40</f>
        <v>HDR48-ES</v>
      </c>
      <c r="D56" s="18">
        <f>'Plant loading'!E40</f>
        <v>766</v>
      </c>
      <c r="E56" s="19">
        <f>'Plant loading'!H40</f>
        <v>44</v>
      </c>
      <c r="F56" s="18">
        <f>'Plant loading'!I40</f>
        <v>3</v>
      </c>
      <c r="G56" s="17">
        <f t="shared" si="2"/>
        <v>17.40909090909091</v>
      </c>
      <c r="H56" s="17">
        <f t="shared" si="3"/>
        <v>34.81818181818182</v>
      </c>
      <c r="I56" s="812">
        <f t="shared" si="4"/>
        <v>0.92</v>
      </c>
      <c r="J56" s="812">
        <f t="shared" si="1"/>
        <v>0.92</v>
      </c>
      <c r="K56" s="17">
        <f t="shared" si="5"/>
        <v>45.086760000000005</v>
      </c>
      <c r="L56" s="17">
        <f t="shared" si="6"/>
        <v>45.086760000000005</v>
      </c>
      <c r="M56" s="17">
        <f t="shared" si="7"/>
        <v>142.56</v>
      </c>
      <c r="N56" s="17">
        <f t="shared" si="8"/>
        <v>71.28</v>
      </c>
    </row>
    <row r="57" spans="1:14">
      <c r="A57" s="20" t="str">
        <f>'Plant loading'!A41</f>
        <v>Gravelly Hill</v>
      </c>
      <c r="B57" s="18" t="str">
        <f>'Plant loading'!B41</f>
        <v>BMGMTX-DCSYS03</v>
      </c>
      <c r="C57" s="18" t="str">
        <f>'Plant loading'!C41</f>
        <v>HDR48-ES</v>
      </c>
      <c r="D57" s="18">
        <f>'Plant loading'!E41</f>
        <v>785</v>
      </c>
      <c r="E57" s="19">
        <f>'Plant loading'!H41</f>
        <v>44</v>
      </c>
      <c r="F57" s="18">
        <f>'Plant loading'!I41</f>
        <v>3</v>
      </c>
      <c r="G57" s="17">
        <f t="shared" si="2"/>
        <v>17.84090909090909</v>
      </c>
      <c r="H57" s="17">
        <f t="shared" si="3"/>
        <v>35.68181818181818</v>
      </c>
      <c r="I57" s="812">
        <f t="shared" si="4"/>
        <v>0.92</v>
      </c>
      <c r="J57" s="812">
        <f t="shared" ref="J57:J86" si="9">IF(AND(C57="eSure",AND(H57&gt;=19.2,H57&lt;=44.8)),0.97,0.92)</f>
        <v>0.92</v>
      </c>
      <c r="K57" s="17">
        <f t="shared" si="5"/>
        <v>46.205100000000002</v>
      </c>
      <c r="L57" s="17">
        <f t="shared" si="6"/>
        <v>46.205100000000002</v>
      </c>
      <c r="M57" s="17">
        <f t="shared" si="7"/>
        <v>142.56</v>
      </c>
      <c r="N57" s="17">
        <f t="shared" si="8"/>
        <v>71.28</v>
      </c>
    </row>
    <row r="58" spans="1:14">
      <c r="A58" s="20" t="str">
        <f>'Plant loading'!A42</f>
        <v>Gravelly Hill</v>
      </c>
      <c r="B58" s="18" t="str">
        <f>'Plant loading'!B42</f>
        <v>BMGMTX-DCSYS04</v>
      </c>
      <c r="C58" s="18" t="str">
        <f>'Plant loading'!C42</f>
        <v>HDR48-ES</v>
      </c>
      <c r="D58" s="18">
        <f>'Plant loading'!E42</f>
        <v>768</v>
      </c>
      <c r="E58" s="19">
        <f>'Plant loading'!H42</f>
        <v>44</v>
      </c>
      <c r="F58" s="18">
        <f>'Plant loading'!I42</f>
        <v>3</v>
      </c>
      <c r="G58" s="17">
        <f t="shared" si="2"/>
        <v>17.454545454545453</v>
      </c>
      <c r="H58" s="17">
        <f t="shared" si="3"/>
        <v>34.909090909090907</v>
      </c>
      <c r="I58" s="812">
        <f t="shared" si="4"/>
        <v>0.92</v>
      </c>
      <c r="J58" s="812">
        <f t="shared" si="9"/>
        <v>0.92</v>
      </c>
      <c r="K58" s="17">
        <f t="shared" si="5"/>
        <v>45.204480000000004</v>
      </c>
      <c r="L58" s="17">
        <f t="shared" si="6"/>
        <v>45.204480000000004</v>
      </c>
      <c r="M58" s="17">
        <f t="shared" si="7"/>
        <v>142.56</v>
      </c>
      <c r="N58" s="17">
        <f t="shared" si="8"/>
        <v>71.28</v>
      </c>
    </row>
    <row r="59" spans="1:14">
      <c r="A59" s="20" t="str">
        <f>'Plant loading'!A43</f>
        <v>Gravelly Hill</v>
      </c>
      <c r="B59" s="18" t="str">
        <f>'Plant loading'!B43</f>
        <v>BMGMTX-DCSYS05</v>
      </c>
      <c r="C59" s="18" t="str">
        <f>'Plant loading'!C43</f>
        <v>HDR48-ES</v>
      </c>
      <c r="D59" s="18">
        <f>'Plant loading'!E43</f>
        <v>786</v>
      </c>
      <c r="E59" s="19">
        <f>'Plant loading'!H43</f>
        <v>44</v>
      </c>
      <c r="F59" s="18">
        <f>'Plant loading'!I43</f>
        <v>3</v>
      </c>
      <c r="G59" s="17">
        <f t="shared" si="2"/>
        <v>17.863636363636363</v>
      </c>
      <c r="H59" s="17">
        <f t="shared" si="3"/>
        <v>35.727272727272727</v>
      </c>
      <c r="I59" s="812">
        <f t="shared" si="4"/>
        <v>0.92</v>
      </c>
      <c r="J59" s="812">
        <f t="shared" si="9"/>
        <v>0.92</v>
      </c>
      <c r="K59" s="17">
        <f t="shared" si="5"/>
        <v>46.263960000000004</v>
      </c>
      <c r="L59" s="17">
        <f t="shared" si="6"/>
        <v>46.263960000000004</v>
      </c>
      <c r="M59" s="17">
        <f t="shared" si="7"/>
        <v>142.56</v>
      </c>
      <c r="N59" s="17">
        <f t="shared" si="8"/>
        <v>71.28</v>
      </c>
    </row>
    <row r="60" spans="1:14">
      <c r="A60" s="20" t="str">
        <f>'Plant loading'!A44</f>
        <v>Gravelly Hill</v>
      </c>
      <c r="B60" s="18" t="str">
        <f>'Plant loading'!B44</f>
        <v>BMGMTX-DCSYS06</v>
      </c>
      <c r="C60" s="18" t="str">
        <f>'Plant loading'!C44</f>
        <v>HDR48-ES</v>
      </c>
      <c r="D60" s="18">
        <f>'Plant loading'!E44</f>
        <v>825</v>
      </c>
      <c r="E60" s="19">
        <f>'Plant loading'!H44</f>
        <v>44</v>
      </c>
      <c r="F60" s="18">
        <f>'Plant loading'!I44</f>
        <v>3</v>
      </c>
      <c r="G60" s="17">
        <f t="shared" si="2"/>
        <v>18.75</v>
      </c>
      <c r="H60" s="17">
        <f t="shared" si="3"/>
        <v>37.5</v>
      </c>
      <c r="I60" s="812">
        <f t="shared" si="4"/>
        <v>0.92</v>
      </c>
      <c r="J60" s="812">
        <f t="shared" si="9"/>
        <v>0.92</v>
      </c>
      <c r="K60" s="17">
        <f t="shared" si="5"/>
        <v>48.5595</v>
      </c>
      <c r="L60" s="17">
        <f t="shared" si="6"/>
        <v>48.5595</v>
      </c>
      <c r="M60" s="17">
        <f t="shared" si="7"/>
        <v>142.56</v>
      </c>
      <c r="N60" s="17">
        <f t="shared" si="8"/>
        <v>71.28</v>
      </c>
    </row>
    <row r="61" spans="1:14">
      <c r="A61" s="20" t="str">
        <f>'Plant loading'!A47</f>
        <v>Kings Cross</v>
      </c>
      <c r="B61" s="18" t="str">
        <f>'Plant loading'!B47</f>
        <v>PEAKS</v>
      </c>
      <c r="C61" s="18" t="str">
        <f>'Plant loading'!C47</f>
        <v>eSure</v>
      </c>
      <c r="D61" s="18">
        <f>'Plant loading'!E47</f>
        <v>243</v>
      </c>
      <c r="E61" s="19">
        <f>'Plant loading'!H47</f>
        <v>24</v>
      </c>
      <c r="F61" s="18">
        <f>'Plant loading'!I47</f>
        <v>3.5</v>
      </c>
      <c r="G61" s="17">
        <f t="shared" si="2"/>
        <v>10.125</v>
      </c>
      <c r="H61" s="17">
        <f t="shared" si="3"/>
        <v>20.25</v>
      </c>
      <c r="I61" s="812">
        <f t="shared" si="4"/>
        <v>0.92</v>
      </c>
      <c r="J61" s="812">
        <f t="shared" si="9"/>
        <v>0.97</v>
      </c>
      <c r="K61" s="17">
        <f t="shared" si="5"/>
        <v>14.30298</v>
      </c>
      <c r="L61" s="17">
        <f t="shared" si="6"/>
        <v>13.640805</v>
      </c>
      <c r="M61" s="17">
        <f t="shared" si="7"/>
        <v>90.72</v>
      </c>
      <c r="N61" s="17">
        <f t="shared" si="8"/>
        <v>45.36</v>
      </c>
    </row>
    <row r="62" spans="1:14">
      <c r="A62" s="20" t="str">
        <f>'Plant loading'!A48</f>
        <v>Kings Cross</v>
      </c>
      <c r="B62" s="18" t="str">
        <f>'Plant loading'!B48</f>
        <v>PEBKS</v>
      </c>
      <c r="C62" s="18" t="str">
        <f>'Plant loading'!C48</f>
        <v>eSure</v>
      </c>
      <c r="D62" s="18">
        <f>'Plant loading'!E48</f>
        <v>328</v>
      </c>
      <c r="E62" s="19">
        <f>'Plant loading'!H48</f>
        <v>30</v>
      </c>
      <c r="F62" s="18">
        <f>'Plant loading'!I48</f>
        <v>3.5</v>
      </c>
      <c r="G62" s="17">
        <f t="shared" si="2"/>
        <v>10.933333333333334</v>
      </c>
      <c r="H62" s="17">
        <f t="shared" si="3"/>
        <v>21.866666666666667</v>
      </c>
      <c r="I62" s="812">
        <f t="shared" si="4"/>
        <v>0.92</v>
      </c>
      <c r="J62" s="812">
        <f t="shared" si="9"/>
        <v>0.97</v>
      </c>
      <c r="K62" s="17">
        <f t="shared" si="5"/>
        <v>19.306080000000001</v>
      </c>
      <c r="L62" s="17">
        <f t="shared" si="6"/>
        <v>18.412280000000003</v>
      </c>
      <c r="M62" s="17">
        <f t="shared" si="7"/>
        <v>113.4</v>
      </c>
      <c r="N62" s="17">
        <f t="shared" si="8"/>
        <v>56.7</v>
      </c>
    </row>
    <row r="63" spans="1:14">
      <c r="A63" s="20" t="str">
        <f>'Plant loading'!A49</f>
        <v>Kings Cross</v>
      </c>
      <c r="B63" s="18" t="str">
        <f>'Plant loading'!B49</f>
        <v>PEEKS</v>
      </c>
      <c r="C63" s="18" t="str">
        <f>'Plant loading'!C49</f>
        <v>eSure</v>
      </c>
      <c r="D63" s="18">
        <f>'Plant loading'!E49</f>
        <v>100</v>
      </c>
      <c r="E63" s="19">
        <f>'Plant loading'!H49</f>
        <v>12</v>
      </c>
      <c r="F63" s="18">
        <f>'Plant loading'!I49</f>
        <v>3.5</v>
      </c>
      <c r="G63" s="17">
        <f t="shared" si="2"/>
        <v>8.3333333333333339</v>
      </c>
      <c r="H63" s="17">
        <f t="shared" si="3"/>
        <v>16.666666666666668</v>
      </c>
      <c r="I63" s="812">
        <f t="shared" si="4"/>
        <v>0.92</v>
      </c>
      <c r="J63" s="812">
        <f t="shared" si="9"/>
        <v>0.92</v>
      </c>
      <c r="K63" s="17">
        <f t="shared" si="5"/>
        <v>5.886000000000001</v>
      </c>
      <c r="L63" s="17">
        <f t="shared" si="6"/>
        <v>5.886000000000001</v>
      </c>
      <c r="M63" s="17">
        <f t="shared" si="7"/>
        <v>45.36</v>
      </c>
      <c r="N63" s="17">
        <f t="shared" si="8"/>
        <v>22.68</v>
      </c>
    </row>
    <row r="64" spans="1:14">
      <c r="A64" s="20" t="str">
        <f>'Plant loading'!A50</f>
        <v>Kings Cross</v>
      </c>
      <c r="B64" s="18" t="str">
        <f>'Plant loading'!B50</f>
        <v>PEIKS</v>
      </c>
      <c r="C64" s="18" t="str">
        <f>'Plant loading'!C50</f>
        <v>eSure</v>
      </c>
      <c r="D64" s="18">
        <f>'Plant loading'!E50</f>
        <v>539</v>
      </c>
      <c r="E64" s="19">
        <f>'Plant loading'!H50</f>
        <v>36</v>
      </c>
      <c r="F64" s="18">
        <f>'Plant loading'!I50</f>
        <v>3.5</v>
      </c>
      <c r="G64" s="17">
        <f>D64/E64</f>
        <v>14.972222222222221</v>
      </c>
      <c r="H64" s="17">
        <f>D64/(E64/2)</f>
        <v>29.944444444444443</v>
      </c>
      <c r="I64" s="812">
        <f t="shared" si="4"/>
        <v>0.92</v>
      </c>
      <c r="J64" s="812">
        <f t="shared" si="9"/>
        <v>0.97</v>
      </c>
      <c r="K64" s="17">
        <f t="shared" si="5"/>
        <v>31.725540000000002</v>
      </c>
      <c r="L64" s="17">
        <f t="shared" si="6"/>
        <v>30.256764999999998</v>
      </c>
      <c r="M64" s="17">
        <f t="shared" si="7"/>
        <v>136.08000000000001</v>
      </c>
      <c r="N64" s="17">
        <f t="shared" si="8"/>
        <v>68.040000000000006</v>
      </c>
    </row>
    <row r="65" spans="1:14">
      <c r="A65" s="20" t="str">
        <f>'Plant loading'!A51</f>
        <v>Kings Cross</v>
      </c>
      <c r="B65" s="18" t="str">
        <f>'Plant loading'!B51</f>
        <v>PEJKS</v>
      </c>
      <c r="C65" s="18" t="str">
        <f>'Plant loading'!C51</f>
        <v>eSure</v>
      </c>
      <c r="D65" s="18">
        <f>'Plant loading'!E51</f>
        <v>252</v>
      </c>
      <c r="E65" s="19">
        <f>'Plant loading'!H51</f>
        <v>36</v>
      </c>
      <c r="F65" s="18">
        <f>'Plant loading'!I51</f>
        <v>3.5</v>
      </c>
      <c r="G65" s="17">
        <f t="shared" ref="G65:G76" si="10">D65/E65</f>
        <v>7</v>
      </c>
      <c r="H65" s="17">
        <f t="shared" ref="H65:H76" si="11">D65/(E65/2)</f>
        <v>14</v>
      </c>
      <c r="I65" s="812">
        <f t="shared" si="4"/>
        <v>0.92</v>
      </c>
      <c r="J65" s="812">
        <f t="shared" si="9"/>
        <v>0.92</v>
      </c>
      <c r="K65" s="17">
        <f t="shared" si="5"/>
        <v>14.83272</v>
      </c>
      <c r="L65" s="17">
        <f t="shared" si="6"/>
        <v>14.83272</v>
      </c>
      <c r="M65" s="17">
        <f t="shared" si="7"/>
        <v>136.08000000000001</v>
      </c>
      <c r="N65" s="17">
        <f t="shared" si="8"/>
        <v>68.040000000000006</v>
      </c>
    </row>
    <row r="66" spans="1:14">
      <c r="A66" s="20" t="str">
        <f>'Plant loading'!A52</f>
        <v>Kings Cross</v>
      </c>
      <c r="B66" s="18" t="str">
        <f>'Plant loading'!B52</f>
        <v>PEKKS</v>
      </c>
      <c r="C66" s="18" t="str">
        <f>'Plant loading'!C52</f>
        <v>eSure</v>
      </c>
      <c r="D66" s="18">
        <f>'Plant loading'!E52</f>
        <v>460</v>
      </c>
      <c r="E66" s="19">
        <f>'Plant loading'!H52</f>
        <v>30</v>
      </c>
      <c r="F66" s="18">
        <f>'Plant loading'!I52</f>
        <v>3.5</v>
      </c>
      <c r="G66" s="17">
        <f t="shared" si="10"/>
        <v>15.333333333333334</v>
      </c>
      <c r="H66" s="17">
        <f t="shared" si="11"/>
        <v>30.666666666666668</v>
      </c>
      <c r="I66" s="812">
        <f t="shared" si="4"/>
        <v>0.92</v>
      </c>
      <c r="J66" s="812">
        <f t="shared" si="9"/>
        <v>0.97</v>
      </c>
      <c r="K66" s="17">
        <f t="shared" si="5"/>
        <v>27.075600000000001</v>
      </c>
      <c r="L66" s="17">
        <f t="shared" si="6"/>
        <v>25.822100000000002</v>
      </c>
      <c r="M66" s="17">
        <f t="shared" si="7"/>
        <v>113.4</v>
      </c>
      <c r="N66" s="17">
        <f t="shared" si="8"/>
        <v>56.7</v>
      </c>
    </row>
    <row r="67" spans="1:14">
      <c r="A67" s="20" t="str">
        <f>'Plant loading'!A53</f>
        <v>Kings Cross</v>
      </c>
      <c r="B67" s="18" t="str">
        <f>'Plant loading'!B53</f>
        <v>PELKS</v>
      </c>
      <c r="C67" s="18" t="str">
        <f>'Plant loading'!C53</f>
        <v>eSure</v>
      </c>
      <c r="D67" s="18">
        <f>'Plant loading'!E53</f>
        <v>161</v>
      </c>
      <c r="E67" s="19">
        <f>'Plant loading'!H53</f>
        <v>24</v>
      </c>
      <c r="F67" s="18">
        <f>'Plant loading'!I53</f>
        <v>3.5</v>
      </c>
      <c r="G67" s="17">
        <f t="shared" si="10"/>
        <v>6.708333333333333</v>
      </c>
      <c r="H67" s="17">
        <f t="shared" si="11"/>
        <v>13.416666666666666</v>
      </c>
      <c r="I67" s="812">
        <f t="shared" si="4"/>
        <v>0.92</v>
      </c>
      <c r="J67" s="812">
        <f t="shared" si="9"/>
        <v>0.92</v>
      </c>
      <c r="K67" s="17">
        <f t="shared" si="5"/>
        <v>9.4764600000000012</v>
      </c>
      <c r="L67" s="17">
        <f t="shared" si="6"/>
        <v>9.4764600000000012</v>
      </c>
      <c r="M67" s="17">
        <f t="shared" si="7"/>
        <v>90.72</v>
      </c>
      <c r="N67" s="17">
        <f t="shared" si="8"/>
        <v>45.36</v>
      </c>
    </row>
    <row r="68" spans="1:14">
      <c r="A68" s="20" t="str">
        <f>'Plant loading'!A54</f>
        <v>Kings Cross</v>
      </c>
      <c r="B68" s="18" t="str">
        <f>'Plant loading'!B54</f>
        <v>PEMKS</v>
      </c>
      <c r="C68" s="18" t="str">
        <f>'Plant loading'!C54</f>
        <v>eSure</v>
      </c>
      <c r="D68" s="18">
        <f>'Plant loading'!E54</f>
        <v>145</v>
      </c>
      <c r="E68" s="19">
        <f>'Plant loading'!H54</f>
        <v>24</v>
      </c>
      <c r="F68" s="18">
        <f>'Plant loading'!I54</f>
        <v>3.5</v>
      </c>
      <c r="G68" s="17">
        <f t="shared" si="10"/>
        <v>6.041666666666667</v>
      </c>
      <c r="H68" s="17">
        <f t="shared" si="11"/>
        <v>12.083333333333334</v>
      </c>
      <c r="I68" s="812">
        <f t="shared" si="4"/>
        <v>0.92</v>
      </c>
      <c r="J68" s="812">
        <f t="shared" si="9"/>
        <v>0.92</v>
      </c>
      <c r="K68" s="17">
        <f t="shared" si="5"/>
        <v>8.5347000000000008</v>
      </c>
      <c r="L68" s="17">
        <f t="shared" si="6"/>
        <v>8.5347000000000008</v>
      </c>
      <c r="M68" s="17">
        <f t="shared" si="7"/>
        <v>90.72</v>
      </c>
      <c r="N68" s="17">
        <f t="shared" si="8"/>
        <v>45.36</v>
      </c>
    </row>
    <row r="69" spans="1:14">
      <c r="A69" s="20" t="str">
        <f>'Plant loading'!A55</f>
        <v>Kings Cross</v>
      </c>
      <c r="B69" s="18" t="str">
        <f>'Plant loading'!B55</f>
        <v>PENKS</v>
      </c>
      <c r="C69" s="18" t="str">
        <f>'Plant loading'!C55</f>
        <v>eSure</v>
      </c>
      <c r="D69" s="18">
        <f>'Plant loading'!E55</f>
        <v>102</v>
      </c>
      <c r="E69" s="19">
        <f>'Plant loading'!H55</f>
        <v>12</v>
      </c>
      <c r="F69" s="18">
        <f>'Plant loading'!I55</f>
        <v>3.5</v>
      </c>
      <c r="G69" s="17">
        <f t="shared" si="10"/>
        <v>8.5</v>
      </c>
      <c r="H69" s="17">
        <f t="shared" si="11"/>
        <v>17</v>
      </c>
      <c r="I69" s="812">
        <f t="shared" si="4"/>
        <v>0.92</v>
      </c>
      <c r="J69" s="812">
        <f t="shared" si="9"/>
        <v>0.92</v>
      </c>
      <c r="K69" s="17">
        <f t="shared" si="5"/>
        <v>6.0037200000000004</v>
      </c>
      <c r="L69" s="17">
        <f t="shared" si="6"/>
        <v>6.0037200000000004</v>
      </c>
      <c r="M69" s="17">
        <f t="shared" si="7"/>
        <v>45.36</v>
      </c>
      <c r="N69" s="17">
        <f t="shared" si="8"/>
        <v>22.68</v>
      </c>
    </row>
    <row r="70" spans="1:14">
      <c r="A70" s="20" t="str">
        <f>'Plant loading'!A56</f>
        <v>Leyland</v>
      </c>
      <c r="B70" s="18" t="str">
        <f>'Plant loading'!B56</f>
        <v>LLDMTX-DCSYS01</v>
      </c>
      <c r="C70" s="18" t="str">
        <f>'Plant loading'!C56</f>
        <v>HDR48-ES</v>
      </c>
      <c r="D70" s="18">
        <f>'Plant loading'!E56</f>
        <v>912</v>
      </c>
      <c r="E70" s="19">
        <f>'Plant loading'!H56</f>
        <v>44</v>
      </c>
      <c r="F70" s="18">
        <f>'Plant loading'!I56</f>
        <v>3</v>
      </c>
      <c r="G70" s="17">
        <f t="shared" si="10"/>
        <v>20.727272727272727</v>
      </c>
      <c r="H70" s="17">
        <f t="shared" si="11"/>
        <v>41.454545454545453</v>
      </c>
      <c r="I70" s="812">
        <f t="shared" si="4"/>
        <v>0.92</v>
      </c>
      <c r="J70" s="812">
        <f t="shared" si="9"/>
        <v>0.92</v>
      </c>
      <c r="K70" s="17">
        <f t="shared" si="5"/>
        <v>53.680320000000002</v>
      </c>
      <c r="L70" s="17">
        <f t="shared" si="6"/>
        <v>53.680320000000002</v>
      </c>
      <c r="M70" s="17">
        <f t="shared" si="7"/>
        <v>142.56</v>
      </c>
      <c r="N70" s="17">
        <f t="shared" si="8"/>
        <v>71.28</v>
      </c>
    </row>
    <row r="71" spans="1:14">
      <c r="A71" s="20" t="str">
        <f>'Plant loading'!A57</f>
        <v>Leyland</v>
      </c>
      <c r="B71" s="18" t="str">
        <f>'Plant loading'!B57</f>
        <v>LLDMTX-DCSYS02</v>
      </c>
      <c r="C71" s="18" t="str">
        <f>'Plant loading'!C57</f>
        <v>HDR48-ES</v>
      </c>
      <c r="D71" s="18">
        <f>'Plant loading'!E57</f>
        <v>827</v>
      </c>
      <c r="E71" s="19">
        <f>'Plant loading'!H57</f>
        <v>44</v>
      </c>
      <c r="F71" s="18">
        <f>'Plant loading'!I57</f>
        <v>3</v>
      </c>
      <c r="G71" s="17">
        <f t="shared" si="10"/>
        <v>18.795454545454547</v>
      </c>
      <c r="H71" s="17">
        <f t="shared" si="11"/>
        <v>37.590909090909093</v>
      </c>
      <c r="I71" s="812">
        <f t="shared" si="4"/>
        <v>0.92</v>
      </c>
      <c r="J71" s="812">
        <f t="shared" si="9"/>
        <v>0.92</v>
      </c>
      <c r="K71" s="17">
        <f t="shared" si="5"/>
        <v>48.677220000000005</v>
      </c>
      <c r="L71" s="17">
        <f t="shared" si="6"/>
        <v>48.677220000000005</v>
      </c>
      <c r="M71" s="17">
        <f t="shared" si="7"/>
        <v>142.56</v>
      </c>
      <c r="N71" s="17">
        <f t="shared" si="8"/>
        <v>71.28</v>
      </c>
    </row>
    <row r="72" spans="1:14">
      <c r="A72" s="20" t="str">
        <f>'Plant loading'!A58</f>
        <v>Leyland</v>
      </c>
      <c r="B72" s="18" t="str">
        <f>'Plant loading'!B58</f>
        <v>LLDMTX-DCSYS03</v>
      </c>
      <c r="C72" s="18" t="str">
        <f>'Plant loading'!C58</f>
        <v>HDR48-ES</v>
      </c>
      <c r="D72" s="18">
        <f>'Plant loading'!E58</f>
        <v>950</v>
      </c>
      <c r="E72" s="19">
        <f>'Plant loading'!H58</f>
        <v>44</v>
      </c>
      <c r="F72" s="18">
        <f>'Plant loading'!I58</f>
        <v>3</v>
      </c>
      <c r="G72" s="17">
        <f t="shared" si="10"/>
        <v>21.59090909090909</v>
      </c>
      <c r="H72" s="17">
        <f t="shared" si="11"/>
        <v>43.18181818181818</v>
      </c>
      <c r="I72" s="812">
        <f t="shared" si="4"/>
        <v>0.92</v>
      </c>
      <c r="J72" s="812">
        <f t="shared" si="9"/>
        <v>0.92</v>
      </c>
      <c r="K72" s="17">
        <f t="shared" si="5"/>
        <v>55.917000000000002</v>
      </c>
      <c r="L72" s="17">
        <f t="shared" si="6"/>
        <v>55.917000000000002</v>
      </c>
      <c r="M72" s="17">
        <f t="shared" si="7"/>
        <v>142.56</v>
      </c>
      <c r="N72" s="17">
        <f t="shared" si="8"/>
        <v>71.28</v>
      </c>
    </row>
    <row r="73" spans="1:14">
      <c r="A73" s="20" t="str">
        <f>'Plant loading'!A59</f>
        <v>Leyland</v>
      </c>
      <c r="B73" s="18" t="str">
        <f>'Plant loading'!B59</f>
        <v>LLDMTX-DCSYS04</v>
      </c>
      <c r="C73" s="18" t="str">
        <f>'Plant loading'!C59</f>
        <v>HDR48-ES</v>
      </c>
      <c r="D73" s="18">
        <f>'Plant loading'!E59</f>
        <v>867</v>
      </c>
      <c r="E73" s="19">
        <f>'Plant loading'!H59</f>
        <v>44</v>
      </c>
      <c r="F73" s="18">
        <f>'Plant loading'!I59</f>
        <v>3</v>
      </c>
      <c r="G73" s="17">
        <f t="shared" si="10"/>
        <v>19.704545454545453</v>
      </c>
      <c r="H73" s="17">
        <f t="shared" si="11"/>
        <v>39.409090909090907</v>
      </c>
      <c r="I73" s="812">
        <f t="shared" si="4"/>
        <v>0.92</v>
      </c>
      <c r="J73" s="812">
        <f t="shared" si="9"/>
        <v>0.92</v>
      </c>
      <c r="K73" s="17">
        <f t="shared" si="5"/>
        <v>51.031620000000004</v>
      </c>
      <c r="L73" s="17">
        <f t="shared" si="6"/>
        <v>51.031620000000004</v>
      </c>
      <c r="M73" s="17">
        <f t="shared" si="7"/>
        <v>142.56</v>
      </c>
      <c r="N73" s="17">
        <f t="shared" si="8"/>
        <v>71.28</v>
      </c>
    </row>
    <row r="74" spans="1:14">
      <c r="A74" s="20" t="str">
        <f>'Plant loading'!A60</f>
        <v>Leyland</v>
      </c>
      <c r="B74" s="18" t="str">
        <f>'Plant loading'!B60</f>
        <v>LLDMTX-DCSYS05</v>
      </c>
      <c r="C74" s="18" t="str">
        <f>'Plant loading'!C60</f>
        <v>HDR48-ES</v>
      </c>
      <c r="D74" s="18">
        <f>'Plant loading'!E60</f>
        <v>913</v>
      </c>
      <c r="E74" s="19">
        <f>'Plant loading'!H60</f>
        <v>44</v>
      </c>
      <c r="F74" s="18">
        <f>'Plant loading'!I60</f>
        <v>3</v>
      </c>
      <c r="G74" s="17">
        <f t="shared" si="10"/>
        <v>20.75</v>
      </c>
      <c r="H74" s="17">
        <f t="shared" si="11"/>
        <v>41.5</v>
      </c>
      <c r="I74" s="812">
        <f t="shared" si="4"/>
        <v>0.92</v>
      </c>
      <c r="J74" s="812">
        <f t="shared" si="9"/>
        <v>0.92</v>
      </c>
      <c r="K74" s="17">
        <f t="shared" si="5"/>
        <v>53.739180000000005</v>
      </c>
      <c r="L74" s="17">
        <f t="shared" si="6"/>
        <v>53.739180000000005</v>
      </c>
      <c r="M74" s="17">
        <f t="shared" si="7"/>
        <v>142.56</v>
      </c>
      <c r="N74" s="17">
        <f t="shared" si="8"/>
        <v>71.28</v>
      </c>
    </row>
    <row r="75" spans="1:14">
      <c r="A75" s="20" t="str">
        <f>'Plant loading'!A61</f>
        <v>Leyland</v>
      </c>
      <c r="B75" s="18" t="str">
        <f>'Plant loading'!B61</f>
        <v>LLDMTX-DCSYS06</v>
      </c>
      <c r="C75" s="18" t="str">
        <f>'Plant loading'!C61</f>
        <v>HDR48-ES</v>
      </c>
      <c r="D75" s="18">
        <f>'Plant loading'!E61</f>
        <v>899</v>
      </c>
      <c r="E75" s="19">
        <f>'Plant loading'!H61</f>
        <v>44</v>
      </c>
      <c r="F75" s="18">
        <f>'Plant loading'!I61</f>
        <v>3</v>
      </c>
      <c r="G75" s="17">
        <f t="shared" si="10"/>
        <v>20.431818181818183</v>
      </c>
      <c r="H75" s="17">
        <f t="shared" si="11"/>
        <v>40.863636363636367</v>
      </c>
      <c r="I75" s="812">
        <f t="shared" si="4"/>
        <v>0.92</v>
      </c>
      <c r="J75" s="812">
        <f t="shared" si="9"/>
        <v>0.92</v>
      </c>
      <c r="K75" s="17">
        <f t="shared" si="5"/>
        <v>52.915140000000001</v>
      </c>
      <c r="L75" s="17">
        <f t="shared" si="6"/>
        <v>52.915140000000001</v>
      </c>
      <c r="M75" s="17">
        <f t="shared" si="7"/>
        <v>142.56</v>
      </c>
      <c r="N75" s="17">
        <f t="shared" si="8"/>
        <v>71.28</v>
      </c>
    </row>
    <row r="76" spans="1:14">
      <c r="A76" s="20" t="str">
        <f>'Plant loading'!A64</f>
        <v>Milton Keynes</v>
      </c>
      <c r="B76" s="18" t="str">
        <f>'Plant loading'!B64</f>
        <v>PEAMS</v>
      </c>
      <c r="C76" s="18" t="str">
        <f>'Plant loading'!C64</f>
        <v>eSure</v>
      </c>
      <c r="D76" s="18">
        <f>'Plant loading'!E64</f>
        <v>1050</v>
      </c>
      <c r="E76" s="19">
        <f>'Plant loading'!H64</f>
        <v>42</v>
      </c>
      <c r="F76" s="18">
        <f>'Plant loading'!I64</f>
        <v>3.5</v>
      </c>
      <c r="G76" s="17">
        <f t="shared" si="10"/>
        <v>25</v>
      </c>
      <c r="H76" s="17">
        <f t="shared" si="11"/>
        <v>50</v>
      </c>
      <c r="I76" s="812">
        <f t="shared" si="4"/>
        <v>0.97</v>
      </c>
      <c r="J76" s="812">
        <f t="shared" si="9"/>
        <v>0.92</v>
      </c>
      <c r="K76" s="17">
        <f t="shared" si="5"/>
        <v>58.941750000000006</v>
      </c>
      <c r="L76" s="17">
        <f t="shared" si="6"/>
        <v>61.803000000000004</v>
      </c>
      <c r="M76" s="17">
        <f t="shared" si="7"/>
        <v>158.76000000000002</v>
      </c>
      <c r="N76" s="17">
        <f t="shared" si="8"/>
        <v>79.38000000000001</v>
      </c>
    </row>
    <row r="77" spans="1:14">
      <c r="A77" s="20" t="str">
        <f>'Plant loading'!A65</f>
        <v>Milton Keynes</v>
      </c>
      <c r="B77" s="18" t="str">
        <f>'Plant loading'!B65</f>
        <v>PEBMS</v>
      </c>
      <c r="C77" s="18" t="str">
        <f>'Plant loading'!C65</f>
        <v>eSure</v>
      </c>
      <c r="D77" s="18">
        <f>'Plant loading'!E65</f>
        <v>985</v>
      </c>
      <c r="E77" s="19">
        <f>'Plant loading'!H65</f>
        <v>42</v>
      </c>
      <c r="F77" s="18">
        <f>'Plant loading'!I65</f>
        <v>3.5</v>
      </c>
      <c r="G77" s="17">
        <f>D77/E77</f>
        <v>23.452380952380953</v>
      </c>
      <c r="H77" s="17">
        <f>D77/(E77/2)</f>
        <v>46.904761904761905</v>
      </c>
      <c r="I77" s="812">
        <f t="shared" si="4"/>
        <v>0.97</v>
      </c>
      <c r="J77" s="812">
        <f t="shared" si="9"/>
        <v>0.92</v>
      </c>
      <c r="K77" s="17">
        <f t="shared" si="5"/>
        <v>55.292974999999998</v>
      </c>
      <c r="L77" s="17">
        <f t="shared" si="6"/>
        <v>57.9771</v>
      </c>
      <c r="M77" s="17">
        <f t="shared" si="7"/>
        <v>158.76000000000002</v>
      </c>
      <c r="N77" s="17">
        <f t="shared" si="8"/>
        <v>79.38000000000001</v>
      </c>
    </row>
    <row r="78" spans="1:14">
      <c r="A78" s="20" t="str">
        <f>'Plant loading'!A66</f>
        <v>Milton Keynes</v>
      </c>
      <c r="B78" s="18" t="str">
        <f>'Plant loading'!B66</f>
        <v>PECMS</v>
      </c>
      <c r="C78" s="18" t="str">
        <f>'Plant loading'!C66</f>
        <v>eSure</v>
      </c>
      <c r="D78" s="18">
        <f>'Plant loading'!E66</f>
        <v>978</v>
      </c>
      <c r="E78" s="19">
        <f>'Plant loading'!H66</f>
        <v>42</v>
      </c>
      <c r="F78" s="18">
        <f>'Plant loading'!I66</f>
        <v>3.5</v>
      </c>
      <c r="G78" s="17">
        <f t="shared" ref="G78:G91" si="12">D78/E78</f>
        <v>23.285714285714285</v>
      </c>
      <c r="H78" s="17">
        <f t="shared" ref="H78:H91" si="13">D78/(E78/2)</f>
        <v>46.571428571428569</v>
      </c>
      <c r="I78" s="812">
        <f t="shared" si="4"/>
        <v>0.97</v>
      </c>
      <c r="J78" s="812">
        <f t="shared" si="9"/>
        <v>0.92</v>
      </c>
      <c r="K78" s="17">
        <f t="shared" si="5"/>
        <v>54.900030000000001</v>
      </c>
      <c r="L78" s="17">
        <f t="shared" si="6"/>
        <v>57.565080000000009</v>
      </c>
      <c r="M78" s="17">
        <f t="shared" si="7"/>
        <v>158.76000000000002</v>
      </c>
      <c r="N78" s="17">
        <f t="shared" si="8"/>
        <v>79.38000000000001</v>
      </c>
    </row>
    <row r="79" spans="1:14">
      <c r="A79" s="20" t="str">
        <f>'Plant loading'!A67</f>
        <v>Milton Keynes</v>
      </c>
      <c r="B79" s="18" t="str">
        <f>'Plant loading'!B67</f>
        <v>PEDMS</v>
      </c>
      <c r="C79" s="18" t="str">
        <f>'Plant loading'!C67</f>
        <v>eSure</v>
      </c>
      <c r="D79" s="18">
        <f>'Plant loading'!E67</f>
        <v>1130</v>
      </c>
      <c r="E79" s="19">
        <f>'Plant loading'!H67</f>
        <v>42</v>
      </c>
      <c r="F79" s="18">
        <f>'Plant loading'!I67</f>
        <v>3.5</v>
      </c>
      <c r="G79" s="17">
        <f t="shared" si="12"/>
        <v>26.904761904761905</v>
      </c>
      <c r="H79" s="17">
        <f t="shared" si="13"/>
        <v>53.80952380952381</v>
      </c>
      <c r="I79" s="812">
        <f t="shared" si="4"/>
        <v>0.97</v>
      </c>
      <c r="J79" s="812">
        <f t="shared" si="9"/>
        <v>0.92</v>
      </c>
      <c r="K79" s="17">
        <f t="shared" si="5"/>
        <v>63.432549999999999</v>
      </c>
      <c r="L79" s="17">
        <f t="shared" si="6"/>
        <v>66.511800000000008</v>
      </c>
      <c r="M79" s="17">
        <f t="shared" si="7"/>
        <v>158.76000000000002</v>
      </c>
      <c r="N79" s="17">
        <f t="shared" si="8"/>
        <v>79.38000000000001</v>
      </c>
    </row>
    <row r="80" spans="1:14">
      <c r="A80" s="20" t="str">
        <f>'Plant loading'!A68</f>
        <v>Milton Keynes</v>
      </c>
      <c r="B80" s="18" t="str">
        <f>'Plant loading'!B68</f>
        <v>PEEMS</v>
      </c>
      <c r="C80" s="18" t="str">
        <f>'Plant loading'!C68</f>
        <v>eSure</v>
      </c>
      <c r="D80" s="18">
        <f>'Plant loading'!E68</f>
        <v>1046</v>
      </c>
      <c r="E80" s="19">
        <f>'Plant loading'!H68</f>
        <v>42</v>
      </c>
      <c r="F80" s="18">
        <f>'Plant loading'!I68</f>
        <v>3.5</v>
      </c>
      <c r="G80" s="17">
        <f t="shared" si="12"/>
        <v>24.904761904761905</v>
      </c>
      <c r="H80" s="17">
        <f t="shared" si="13"/>
        <v>49.80952380952381</v>
      </c>
      <c r="I80" s="812">
        <f t="shared" si="4"/>
        <v>0.97</v>
      </c>
      <c r="J80" s="812">
        <f t="shared" si="9"/>
        <v>0.92</v>
      </c>
      <c r="K80" s="17">
        <f t="shared" si="5"/>
        <v>58.717210000000001</v>
      </c>
      <c r="L80" s="17">
        <f t="shared" si="6"/>
        <v>61.56756</v>
      </c>
      <c r="M80" s="17">
        <f t="shared" si="7"/>
        <v>158.76000000000002</v>
      </c>
      <c r="N80" s="17">
        <f t="shared" si="8"/>
        <v>79.38000000000001</v>
      </c>
    </row>
    <row r="81" spans="1:14">
      <c r="A81" s="20" t="str">
        <f>'Plant loading'!A69</f>
        <v>Milton Keynes</v>
      </c>
      <c r="B81" s="18" t="str">
        <f>'Plant loading'!B69</f>
        <v>PEFMS</v>
      </c>
      <c r="C81" s="18" t="str">
        <f>'Plant loading'!C69</f>
        <v>eSure</v>
      </c>
      <c r="D81" s="18">
        <f>'Plant loading'!E69</f>
        <v>1039</v>
      </c>
      <c r="E81" s="19">
        <f>'Plant loading'!H69</f>
        <v>42</v>
      </c>
      <c r="F81" s="18">
        <f>'Plant loading'!I69</f>
        <v>3.5</v>
      </c>
      <c r="G81" s="17">
        <f t="shared" si="12"/>
        <v>24.738095238095237</v>
      </c>
      <c r="H81" s="17">
        <f t="shared" si="13"/>
        <v>49.476190476190474</v>
      </c>
      <c r="I81" s="812">
        <f t="shared" si="4"/>
        <v>0.97</v>
      </c>
      <c r="J81" s="812">
        <f t="shared" si="9"/>
        <v>0.92</v>
      </c>
      <c r="K81" s="17">
        <f t="shared" si="5"/>
        <v>58.324265000000004</v>
      </c>
      <c r="L81" s="17">
        <f t="shared" si="6"/>
        <v>61.155540000000009</v>
      </c>
      <c r="M81" s="17">
        <f t="shared" si="7"/>
        <v>158.76000000000002</v>
      </c>
      <c r="N81" s="17">
        <f t="shared" si="8"/>
        <v>79.38000000000001</v>
      </c>
    </row>
    <row r="82" spans="1:14">
      <c r="A82" s="20" t="str">
        <f>'Plant loading'!A72</f>
        <v>Oldham</v>
      </c>
      <c r="B82" s="18" t="str">
        <f>'Plant loading'!B72</f>
        <v>OLDMTX-DCSYS01</v>
      </c>
      <c r="C82" s="18" t="str">
        <f>'Plant loading'!C72</f>
        <v>HDR48-ES</v>
      </c>
      <c r="D82" s="18">
        <f>'Plant loading'!E72</f>
        <v>891</v>
      </c>
      <c r="E82" s="19">
        <f>'Plant loading'!H72</f>
        <v>44</v>
      </c>
      <c r="F82" s="18">
        <f>'Plant loading'!I72</f>
        <v>3</v>
      </c>
      <c r="G82" s="17">
        <f t="shared" si="12"/>
        <v>20.25</v>
      </c>
      <c r="H82" s="17">
        <f t="shared" si="13"/>
        <v>40.5</v>
      </c>
      <c r="I82" s="812">
        <f t="shared" si="4"/>
        <v>0.92</v>
      </c>
      <c r="J82" s="812">
        <f t="shared" si="9"/>
        <v>0.92</v>
      </c>
      <c r="K82" s="17">
        <f t="shared" si="5"/>
        <v>52.44426</v>
      </c>
      <c r="L82" s="17">
        <f t="shared" si="6"/>
        <v>52.44426</v>
      </c>
      <c r="M82" s="17">
        <f t="shared" si="7"/>
        <v>142.56</v>
      </c>
      <c r="N82" s="17">
        <f t="shared" si="8"/>
        <v>71.28</v>
      </c>
    </row>
    <row r="83" spans="1:14">
      <c r="A83" s="20" t="str">
        <f>'Plant loading'!A73</f>
        <v>Oldham</v>
      </c>
      <c r="B83" s="18" t="str">
        <f>'Plant loading'!B73</f>
        <v>OLDMTX-DCSYS02</v>
      </c>
      <c r="C83" s="18" t="str">
        <f>'Plant loading'!C73</f>
        <v>HDR48-ES</v>
      </c>
      <c r="D83" s="18">
        <f>'Plant loading'!E73</f>
        <v>825</v>
      </c>
      <c r="E83" s="19">
        <f>'Plant loading'!H73</f>
        <v>44</v>
      </c>
      <c r="F83" s="18">
        <f>'Plant loading'!I73</f>
        <v>3</v>
      </c>
      <c r="G83" s="17">
        <f t="shared" si="12"/>
        <v>18.75</v>
      </c>
      <c r="H83" s="17">
        <f t="shared" si="13"/>
        <v>37.5</v>
      </c>
      <c r="I83" s="812">
        <f t="shared" si="4"/>
        <v>0.92</v>
      </c>
      <c r="J83" s="812">
        <f t="shared" si="9"/>
        <v>0.92</v>
      </c>
      <c r="K83" s="17">
        <f t="shared" si="5"/>
        <v>48.5595</v>
      </c>
      <c r="L83" s="17">
        <f t="shared" si="6"/>
        <v>48.5595</v>
      </c>
      <c r="M83" s="17">
        <f t="shared" si="7"/>
        <v>142.56</v>
      </c>
      <c r="N83" s="17">
        <f t="shared" si="8"/>
        <v>71.28</v>
      </c>
    </row>
    <row r="84" spans="1:14">
      <c r="A84" s="20" t="str">
        <f>'Plant loading'!A74</f>
        <v>Oldham</v>
      </c>
      <c r="B84" s="18" t="str">
        <f>'Plant loading'!B74</f>
        <v>OLDMTX-DCSYS03</v>
      </c>
      <c r="C84" s="18" t="str">
        <f>'Plant loading'!C74</f>
        <v>HDR48-ES</v>
      </c>
      <c r="D84" s="18">
        <f>'Plant loading'!E74</f>
        <v>817</v>
      </c>
      <c r="E84" s="19">
        <f>'Plant loading'!H74</f>
        <v>44</v>
      </c>
      <c r="F84" s="18">
        <f>'Plant loading'!I74</f>
        <v>3</v>
      </c>
      <c r="G84" s="17">
        <f t="shared" si="12"/>
        <v>18.568181818181817</v>
      </c>
      <c r="H84" s="17">
        <f t="shared" si="13"/>
        <v>37.136363636363633</v>
      </c>
      <c r="I84" s="812">
        <f t="shared" si="4"/>
        <v>0.92</v>
      </c>
      <c r="J84" s="812">
        <f t="shared" si="9"/>
        <v>0.92</v>
      </c>
      <c r="K84" s="17">
        <f t="shared" si="5"/>
        <v>48.088619999999999</v>
      </c>
      <c r="L84" s="17">
        <f t="shared" si="6"/>
        <v>48.088619999999999</v>
      </c>
      <c r="M84" s="17">
        <f t="shared" si="7"/>
        <v>142.56</v>
      </c>
      <c r="N84" s="17">
        <f t="shared" si="8"/>
        <v>71.28</v>
      </c>
    </row>
    <row r="85" spans="1:14">
      <c r="A85" s="20" t="str">
        <f>'Plant loading'!A75</f>
        <v>Oldham</v>
      </c>
      <c r="B85" s="18" t="str">
        <f>'Plant loading'!B75</f>
        <v>OLDMTX-DCSYS04</v>
      </c>
      <c r="C85" s="18" t="str">
        <f>'Plant loading'!C75</f>
        <v>HDR48-ES</v>
      </c>
      <c r="D85" s="18">
        <f>'Plant loading'!E75</f>
        <v>622</v>
      </c>
      <c r="E85" s="19">
        <f>'Plant loading'!H75</f>
        <v>34</v>
      </c>
      <c r="F85" s="18">
        <f>'Plant loading'!I75</f>
        <v>3</v>
      </c>
      <c r="G85" s="17">
        <f t="shared" si="12"/>
        <v>18.294117647058822</v>
      </c>
      <c r="H85" s="17">
        <f t="shared" si="13"/>
        <v>36.588235294117645</v>
      </c>
      <c r="I85" s="812">
        <f t="shared" si="4"/>
        <v>0.92</v>
      </c>
      <c r="J85" s="812">
        <f t="shared" si="9"/>
        <v>0.92</v>
      </c>
      <c r="K85" s="17">
        <f t="shared" si="5"/>
        <v>36.61092</v>
      </c>
      <c r="L85" s="17">
        <f t="shared" si="6"/>
        <v>36.61092</v>
      </c>
      <c r="M85" s="17">
        <f t="shared" si="7"/>
        <v>110.16000000000001</v>
      </c>
      <c r="N85" s="17">
        <f t="shared" si="8"/>
        <v>55.080000000000005</v>
      </c>
    </row>
    <row r="86" spans="1:14">
      <c r="A86" s="20" t="str">
        <f>'Plant loading'!A76</f>
        <v>Oldham</v>
      </c>
      <c r="B86" s="18" t="str">
        <f>'Plant loading'!B76</f>
        <v>OLDMTX-DCSYS05</v>
      </c>
      <c r="C86" s="18" t="str">
        <f>'Plant loading'!C76</f>
        <v>HDR48-ES</v>
      </c>
      <c r="D86" s="18">
        <f>'Plant loading'!E76</f>
        <v>648</v>
      </c>
      <c r="E86" s="19">
        <f>'Plant loading'!H76</f>
        <v>44</v>
      </c>
      <c r="F86" s="18">
        <f>'Plant loading'!I76</f>
        <v>3</v>
      </c>
      <c r="G86" s="17">
        <f t="shared" si="12"/>
        <v>14.727272727272727</v>
      </c>
      <c r="H86" s="17">
        <f t="shared" si="13"/>
        <v>29.454545454545453</v>
      </c>
      <c r="I86" s="812">
        <f t="shared" si="4"/>
        <v>0.92</v>
      </c>
      <c r="J86" s="812">
        <f t="shared" si="9"/>
        <v>0.92</v>
      </c>
      <c r="K86" s="17">
        <f t="shared" si="5"/>
        <v>38.141280000000002</v>
      </c>
      <c r="L86" s="17">
        <f t="shared" si="6"/>
        <v>38.141280000000002</v>
      </c>
      <c r="M86" s="17">
        <f t="shared" si="7"/>
        <v>142.56</v>
      </c>
      <c r="N86" s="17">
        <f t="shared" si="8"/>
        <v>71.28</v>
      </c>
    </row>
    <row r="87" spans="1:14">
      <c r="A87" s="20" t="str">
        <f>'Plant loading'!A77</f>
        <v>Oldham</v>
      </c>
      <c r="B87" s="18" t="str">
        <f>'Plant loading'!B77</f>
        <v>OLDMTX-DCSYS06</v>
      </c>
      <c r="C87" s="18" t="str">
        <f>'Plant loading'!C77</f>
        <v>HDR48-ES</v>
      </c>
      <c r="D87" s="18">
        <f>'Plant loading'!E77</f>
        <v>645</v>
      </c>
      <c r="E87" s="19">
        <f>'Plant loading'!H77</f>
        <v>44</v>
      </c>
      <c r="F87" s="18">
        <f>'Plant loading'!I77</f>
        <v>3</v>
      </c>
      <c r="G87" s="17">
        <f t="shared" si="12"/>
        <v>14.659090909090908</v>
      </c>
      <c r="H87" s="17">
        <f t="shared" si="13"/>
        <v>29.318181818181817</v>
      </c>
      <c r="I87" s="812">
        <f t="shared" si="4"/>
        <v>0.92</v>
      </c>
      <c r="J87" s="812">
        <f t="shared" ref="J87:J101" si="14">IF(AND(C87="eSure",AND(H87&gt;=19.2,H87&lt;=44.8)),0.97,0.92)</f>
        <v>0.92</v>
      </c>
      <c r="K87" s="17">
        <f t="shared" si="5"/>
        <v>37.964700000000008</v>
      </c>
      <c r="L87" s="17">
        <f t="shared" si="6"/>
        <v>37.964700000000008</v>
      </c>
      <c r="M87" s="17">
        <f t="shared" si="7"/>
        <v>142.56</v>
      </c>
      <c r="N87" s="17">
        <f t="shared" si="8"/>
        <v>71.28</v>
      </c>
    </row>
    <row r="88" spans="1:14">
      <c r="A88" s="20" t="str">
        <f>'Plant loading'!A80</f>
        <v>Rotherham</v>
      </c>
      <c r="B88" s="18" t="str">
        <f>'Plant loading'!B80</f>
        <v>PEARM</v>
      </c>
      <c r="C88" s="18" t="str">
        <f>'Plant loading'!C80</f>
        <v>eSure</v>
      </c>
      <c r="D88" s="18">
        <f>'Plant loading'!E80</f>
        <v>396</v>
      </c>
      <c r="E88" s="19">
        <f>'Plant loading'!H80</f>
        <v>36</v>
      </c>
      <c r="F88" s="18">
        <f>'Plant loading'!I80</f>
        <v>3.5</v>
      </c>
      <c r="G88" s="17">
        <f t="shared" si="12"/>
        <v>11</v>
      </c>
      <c r="H88" s="17">
        <f t="shared" si="13"/>
        <v>22</v>
      </c>
      <c r="I88" s="812">
        <f t="shared" si="4"/>
        <v>0.92</v>
      </c>
      <c r="J88" s="812">
        <f t="shared" si="14"/>
        <v>0.97</v>
      </c>
      <c r="K88" s="17">
        <f t="shared" si="5"/>
        <v>23.308560000000003</v>
      </c>
      <c r="L88" s="17">
        <f t="shared" si="6"/>
        <v>22.229460000000003</v>
      </c>
      <c r="M88" s="17">
        <f t="shared" si="7"/>
        <v>136.08000000000001</v>
      </c>
      <c r="N88" s="17">
        <f t="shared" si="8"/>
        <v>68.040000000000006</v>
      </c>
    </row>
    <row r="89" spans="1:14">
      <c r="A89" s="20" t="str">
        <f>'Plant loading'!A81</f>
        <v>Rotherham</v>
      </c>
      <c r="B89" s="18" t="str">
        <f>'Plant loading'!B81</f>
        <v>PEBRM</v>
      </c>
      <c r="C89" s="18" t="str">
        <f>'Plant loading'!C81</f>
        <v>eSure</v>
      </c>
      <c r="D89" s="18">
        <f>'Plant loading'!E81</f>
        <v>433</v>
      </c>
      <c r="E89" s="19">
        <f>'Plant loading'!H81</f>
        <v>36</v>
      </c>
      <c r="F89" s="18">
        <f>'Plant loading'!I81</f>
        <v>3.5</v>
      </c>
      <c r="G89" s="17">
        <f t="shared" si="12"/>
        <v>12.027777777777779</v>
      </c>
      <c r="H89" s="17">
        <f t="shared" si="13"/>
        <v>24.055555555555557</v>
      </c>
      <c r="I89" s="812">
        <f t="shared" ref="I89:I101" si="15">IF(AND(C89="eSure",AND(G89&gt;=19.2,G89&lt;=44.8)),0.97,0.92)</f>
        <v>0.92</v>
      </c>
      <c r="J89" s="812">
        <f t="shared" si="14"/>
        <v>0.97</v>
      </c>
      <c r="K89" s="17">
        <f t="shared" ref="K89:K101" si="16">((D89*54.5)/1000)*(1+(1-I89))</f>
        <v>25.486380000000004</v>
      </c>
      <c r="L89" s="17">
        <f t="shared" ref="L89:L101" si="17">((D89*54.5)/1000)*(1+(1-J89))</f>
        <v>24.306455000000003</v>
      </c>
      <c r="M89" s="17">
        <f t="shared" ref="M89:M101" si="18">(E89*F89)*1.08</f>
        <v>136.08000000000001</v>
      </c>
      <c r="N89" s="17">
        <f t="shared" ref="N89:N101" si="19">((E89/2)*F89)*1.08</f>
        <v>68.040000000000006</v>
      </c>
    </row>
    <row r="90" spans="1:14">
      <c r="A90" s="20" t="str">
        <f>'Plant loading'!A82</f>
        <v>Rotherham</v>
      </c>
      <c r="B90" s="18" t="str">
        <f>'Plant loading'!B82</f>
        <v>PECRM</v>
      </c>
      <c r="C90" s="18" t="str">
        <f>'Plant loading'!C82</f>
        <v>eSure</v>
      </c>
      <c r="D90" s="18">
        <f>'Plant loading'!E82</f>
        <v>527</v>
      </c>
      <c r="E90" s="19">
        <f>'Plant loading'!H82</f>
        <v>36</v>
      </c>
      <c r="F90" s="18">
        <f>'Plant loading'!I82</f>
        <v>3.5</v>
      </c>
      <c r="G90" s="17">
        <f t="shared" si="12"/>
        <v>14.638888888888889</v>
      </c>
      <c r="H90" s="17">
        <f t="shared" si="13"/>
        <v>29.277777777777779</v>
      </c>
      <c r="I90" s="812">
        <f t="shared" si="15"/>
        <v>0.92</v>
      </c>
      <c r="J90" s="812">
        <f t="shared" si="14"/>
        <v>0.97</v>
      </c>
      <c r="K90" s="17">
        <f t="shared" si="16"/>
        <v>31.019220000000001</v>
      </c>
      <c r="L90" s="17">
        <f t="shared" si="17"/>
        <v>29.583144999999998</v>
      </c>
      <c r="M90" s="17">
        <f t="shared" si="18"/>
        <v>136.08000000000001</v>
      </c>
      <c r="N90" s="17">
        <f t="shared" si="19"/>
        <v>68.040000000000006</v>
      </c>
    </row>
    <row r="91" spans="1:14">
      <c r="A91" s="20" t="str">
        <f>'Plant loading'!A83</f>
        <v>Rotherham</v>
      </c>
      <c r="B91" s="18" t="str">
        <f>'Plant loading'!B83</f>
        <v>PEDRM</v>
      </c>
      <c r="C91" s="18" t="str">
        <f>'Plant loading'!C83</f>
        <v>eSure</v>
      </c>
      <c r="D91" s="18">
        <f>'Plant loading'!E83</f>
        <v>256</v>
      </c>
      <c r="E91" s="19">
        <f>'Plant loading'!H83</f>
        <v>36</v>
      </c>
      <c r="F91" s="18">
        <f>'Plant loading'!I83</f>
        <v>3.5</v>
      </c>
      <c r="G91" s="17">
        <f t="shared" si="12"/>
        <v>7.1111111111111107</v>
      </c>
      <c r="H91" s="17">
        <f t="shared" si="13"/>
        <v>14.222222222222221</v>
      </c>
      <c r="I91" s="812">
        <f t="shared" si="15"/>
        <v>0.92</v>
      </c>
      <c r="J91" s="812">
        <f t="shared" si="14"/>
        <v>0.92</v>
      </c>
      <c r="K91" s="17">
        <f t="shared" si="16"/>
        <v>15.068160000000001</v>
      </c>
      <c r="L91" s="17">
        <f t="shared" si="17"/>
        <v>15.068160000000001</v>
      </c>
      <c r="M91" s="17">
        <f t="shared" si="18"/>
        <v>136.08000000000001</v>
      </c>
      <c r="N91" s="17">
        <f t="shared" si="19"/>
        <v>68.040000000000006</v>
      </c>
    </row>
    <row r="92" spans="1:14">
      <c r="A92" s="20" t="str">
        <f>'Plant loading'!A84</f>
        <v>Rotherham</v>
      </c>
      <c r="B92" s="18" t="str">
        <f>'Plant loading'!B84</f>
        <v>PEERM</v>
      </c>
      <c r="C92" s="18" t="str">
        <f>'Plant loading'!C84</f>
        <v>eSure</v>
      </c>
      <c r="D92" s="18">
        <f>'Plant loading'!E84</f>
        <v>213</v>
      </c>
      <c r="E92" s="19">
        <f>'Plant loading'!H84</f>
        <v>36</v>
      </c>
      <c r="F92" s="18">
        <f>'Plant loading'!I84</f>
        <v>3.5</v>
      </c>
      <c r="G92" s="17">
        <f t="shared" ref="G92:G101" si="20">D92/E92</f>
        <v>5.916666666666667</v>
      </c>
      <c r="H92" s="17">
        <f t="shared" ref="H92:H101" si="21">D92/(E92/2)</f>
        <v>11.833333333333334</v>
      </c>
      <c r="I92" s="812">
        <f t="shared" si="15"/>
        <v>0.92</v>
      </c>
      <c r="J92" s="812">
        <f t="shared" si="14"/>
        <v>0.92</v>
      </c>
      <c r="K92" s="17">
        <f t="shared" si="16"/>
        <v>12.537179999999999</v>
      </c>
      <c r="L92" s="17">
        <f t="shared" si="17"/>
        <v>12.537179999999999</v>
      </c>
      <c r="M92" s="17">
        <f t="shared" si="18"/>
        <v>136.08000000000001</v>
      </c>
      <c r="N92" s="17">
        <f t="shared" si="19"/>
        <v>68.040000000000006</v>
      </c>
    </row>
    <row r="93" spans="1:14">
      <c r="A93" s="20" t="str">
        <f>'Plant loading'!A85</f>
        <v>Southampton</v>
      </c>
      <c r="B93" s="18" t="str">
        <f>'Plant loading'!B85</f>
        <v>PEASN</v>
      </c>
      <c r="C93" s="18" t="str">
        <f>'Plant loading'!C85</f>
        <v>eSure</v>
      </c>
      <c r="D93" s="18">
        <f>'Plant loading'!E85</f>
        <v>360</v>
      </c>
      <c r="E93" s="19">
        <f>'Plant loading'!H85</f>
        <v>36</v>
      </c>
      <c r="F93" s="18">
        <f>'Plant loading'!I85</f>
        <v>3.5</v>
      </c>
      <c r="G93" s="17">
        <f t="shared" si="20"/>
        <v>10</v>
      </c>
      <c r="H93" s="17">
        <f t="shared" si="21"/>
        <v>20</v>
      </c>
      <c r="I93" s="812">
        <f t="shared" si="15"/>
        <v>0.92</v>
      </c>
      <c r="J93" s="812">
        <f t="shared" si="14"/>
        <v>0.97</v>
      </c>
      <c r="K93" s="17">
        <f t="shared" si="16"/>
        <v>21.189600000000002</v>
      </c>
      <c r="L93" s="17">
        <f t="shared" si="17"/>
        <v>20.208600000000001</v>
      </c>
      <c r="M93" s="17">
        <f t="shared" si="18"/>
        <v>136.08000000000001</v>
      </c>
      <c r="N93" s="17">
        <f t="shared" si="19"/>
        <v>68.040000000000006</v>
      </c>
    </row>
    <row r="94" spans="1:14">
      <c r="A94" s="20" t="str">
        <f>'Plant loading'!A86</f>
        <v>Southampton</v>
      </c>
      <c r="B94" s="18" t="str">
        <f>'Plant loading'!B86</f>
        <v>PEBSN</v>
      </c>
      <c r="C94" s="18" t="str">
        <f>'Plant loading'!C86</f>
        <v>eSure</v>
      </c>
      <c r="D94" s="18">
        <f>'Plant loading'!E86</f>
        <v>521</v>
      </c>
      <c r="E94" s="19">
        <f>'Plant loading'!H86</f>
        <v>36</v>
      </c>
      <c r="F94" s="18">
        <f>'Plant loading'!I86</f>
        <v>3.5</v>
      </c>
      <c r="G94" s="17">
        <f t="shared" si="20"/>
        <v>14.472222222222221</v>
      </c>
      <c r="H94" s="17">
        <f t="shared" si="21"/>
        <v>28.944444444444443</v>
      </c>
      <c r="I94" s="812">
        <f t="shared" si="15"/>
        <v>0.92</v>
      </c>
      <c r="J94" s="812">
        <f t="shared" si="14"/>
        <v>0.97</v>
      </c>
      <c r="K94" s="17">
        <f t="shared" si="16"/>
        <v>30.666060000000002</v>
      </c>
      <c r="L94" s="17">
        <f t="shared" si="17"/>
        <v>29.246335000000002</v>
      </c>
      <c r="M94" s="17">
        <f t="shared" si="18"/>
        <v>136.08000000000001</v>
      </c>
      <c r="N94" s="17">
        <f t="shared" si="19"/>
        <v>68.040000000000006</v>
      </c>
    </row>
    <row r="95" spans="1:14">
      <c r="A95" s="20" t="str">
        <f>'Plant loading'!A87</f>
        <v>Southampton</v>
      </c>
      <c r="B95" s="18" t="str">
        <f>'Plant loading'!B87</f>
        <v>PECSN</v>
      </c>
      <c r="C95" s="18" t="str">
        <f>'Plant loading'!C87</f>
        <v>eSure</v>
      </c>
      <c r="D95" s="18">
        <f>'Plant loading'!E87</f>
        <v>476</v>
      </c>
      <c r="E95" s="19">
        <f>'Plant loading'!H87</f>
        <v>36</v>
      </c>
      <c r="F95" s="18">
        <f>'Plant loading'!I87</f>
        <v>3.5</v>
      </c>
      <c r="G95" s="17">
        <f t="shared" si="20"/>
        <v>13.222222222222221</v>
      </c>
      <c r="H95" s="17">
        <f t="shared" si="21"/>
        <v>26.444444444444443</v>
      </c>
      <c r="I95" s="812">
        <f t="shared" si="15"/>
        <v>0.92</v>
      </c>
      <c r="J95" s="812">
        <f t="shared" si="14"/>
        <v>0.97</v>
      </c>
      <c r="K95" s="17">
        <f t="shared" si="16"/>
        <v>28.017360000000004</v>
      </c>
      <c r="L95" s="17">
        <f t="shared" si="17"/>
        <v>26.72026</v>
      </c>
      <c r="M95" s="17">
        <f t="shared" si="18"/>
        <v>136.08000000000001</v>
      </c>
      <c r="N95" s="17">
        <f t="shared" si="19"/>
        <v>68.040000000000006</v>
      </c>
    </row>
    <row r="96" spans="1:14">
      <c r="A96" s="20" t="str">
        <f>'Plant loading'!A88</f>
        <v>Southampton</v>
      </c>
      <c r="B96" s="18" t="str">
        <f>'Plant loading'!B88</f>
        <v>PEESN</v>
      </c>
      <c r="C96" s="18" t="str">
        <f>'Plant loading'!C88</f>
        <v>eSure</v>
      </c>
      <c r="D96" s="18">
        <f>'Plant loading'!E88</f>
        <v>344</v>
      </c>
      <c r="E96" s="19">
        <f>'Plant loading'!H88</f>
        <v>36</v>
      </c>
      <c r="F96" s="18">
        <f>'Plant loading'!I88</f>
        <v>3.5</v>
      </c>
      <c r="G96" s="17">
        <f t="shared" si="20"/>
        <v>9.5555555555555554</v>
      </c>
      <c r="H96" s="17">
        <f t="shared" si="21"/>
        <v>19.111111111111111</v>
      </c>
      <c r="I96" s="812">
        <f t="shared" si="15"/>
        <v>0.92</v>
      </c>
      <c r="J96" s="812">
        <f t="shared" si="14"/>
        <v>0.92</v>
      </c>
      <c r="K96" s="17">
        <f t="shared" si="16"/>
        <v>20.247840000000004</v>
      </c>
      <c r="L96" s="17">
        <f t="shared" si="17"/>
        <v>20.247840000000004</v>
      </c>
      <c r="M96" s="17">
        <f t="shared" si="18"/>
        <v>136.08000000000001</v>
      </c>
      <c r="N96" s="17">
        <f t="shared" si="19"/>
        <v>68.040000000000006</v>
      </c>
    </row>
    <row r="97" spans="1:14">
      <c r="A97" s="20" t="str">
        <f>'Plant loading'!A89</f>
        <v>Swanley</v>
      </c>
      <c r="B97" s="18" t="str">
        <f>'Plant loading'!B89</f>
        <v>PEASY</v>
      </c>
      <c r="C97" s="18" t="str">
        <f>'Plant loading'!C89</f>
        <v>eSure</v>
      </c>
      <c r="D97" s="18">
        <f>'Plant loading'!E89</f>
        <v>547</v>
      </c>
      <c r="E97" s="19">
        <f>'Plant loading'!H89</f>
        <v>36</v>
      </c>
      <c r="F97" s="18">
        <f>'Plant loading'!I89</f>
        <v>3.5</v>
      </c>
      <c r="G97" s="17">
        <f t="shared" si="20"/>
        <v>15.194444444444445</v>
      </c>
      <c r="H97" s="17">
        <f t="shared" si="21"/>
        <v>30.388888888888889</v>
      </c>
      <c r="I97" s="812">
        <f t="shared" si="15"/>
        <v>0.92</v>
      </c>
      <c r="J97" s="812">
        <f t="shared" si="14"/>
        <v>0.97</v>
      </c>
      <c r="K97" s="17">
        <f t="shared" si="16"/>
        <v>32.196420000000003</v>
      </c>
      <c r="L97" s="17">
        <f t="shared" si="17"/>
        <v>30.705845</v>
      </c>
      <c r="M97" s="17">
        <f t="shared" si="18"/>
        <v>136.08000000000001</v>
      </c>
      <c r="N97" s="17">
        <f t="shared" si="19"/>
        <v>68.040000000000006</v>
      </c>
    </row>
    <row r="98" spans="1:14">
      <c r="A98" s="20" t="str">
        <f>'Plant loading'!A90</f>
        <v>Swanley</v>
      </c>
      <c r="B98" s="18" t="str">
        <f>'Plant loading'!B90</f>
        <v>PEBSY</v>
      </c>
      <c r="C98" s="18" t="str">
        <f>'Plant loading'!C90</f>
        <v>eSure</v>
      </c>
      <c r="D98" s="18">
        <f>'Plant loading'!E90</f>
        <v>470</v>
      </c>
      <c r="E98" s="19">
        <f>'Plant loading'!H90</f>
        <v>36</v>
      </c>
      <c r="F98" s="18">
        <f>'Plant loading'!I90</f>
        <v>3.5</v>
      </c>
      <c r="G98" s="17">
        <f t="shared" si="20"/>
        <v>13.055555555555555</v>
      </c>
      <c r="H98" s="17">
        <f t="shared" si="21"/>
        <v>26.111111111111111</v>
      </c>
      <c r="I98" s="812">
        <f t="shared" si="15"/>
        <v>0.92</v>
      </c>
      <c r="J98" s="812">
        <f t="shared" si="14"/>
        <v>0.97</v>
      </c>
      <c r="K98" s="17">
        <f t="shared" si="16"/>
        <v>27.664200000000001</v>
      </c>
      <c r="L98" s="17">
        <f t="shared" si="17"/>
        <v>26.38345</v>
      </c>
      <c r="M98" s="17">
        <f t="shared" si="18"/>
        <v>136.08000000000001</v>
      </c>
      <c r="N98" s="17">
        <f t="shared" si="19"/>
        <v>68.040000000000006</v>
      </c>
    </row>
    <row r="99" spans="1:14">
      <c r="A99" s="20" t="str">
        <f>'Plant loading'!A91</f>
        <v>Swanley</v>
      </c>
      <c r="B99" s="18" t="str">
        <f>'Plant loading'!B91</f>
        <v>PECSY</v>
      </c>
      <c r="C99" s="18" t="str">
        <f>'Plant loading'!C91</f>
        <v>eSure</v>
      </c>
      <c r="D99" s="18">
        <f>'Plant loading'!E91</f>
        <v>402</v>
      </c>
      <c r="E99" s="19">
        <f>'Plant loading'!H91</f>
        <v>36</v>
      </c>
      <c r="F99" s="18">
        <f>'Plant loading'!I91</f>
        <v>3.5</v>
      </c>
      <c r="G99" s="17">
        <f t="shared" si="20"/>
        <v>11.166666666666666</v>
      </c>
      <c r="H99" s="17">
        <f t="shared" si="21"/>
        <v>22.333333333333332</v>
      </c>
      <c r="I99" s="812">
        <f t="shared" si="15"/>
        <v>0.92</v>
      </c>
      <c r="J99" s="812">
        <f t="shared" si="14"/>
        <v>0.97</v>
      </c>
      <c r="K99" s="17">
        <f t="shared" si="16"/>
        <v>23.661719999999999</v>
      </c>
      <c r="L99" s="17">
        <f t="shared" si="17"/>
        <v>22.566269999999999</v>
      </c>
      <c r="M99" s="17">
        <f t="shared" si="18"/>
        <v>136.08000000000001</v>
      </c>
      <c r="N99" s="17">
        <f t="shared" si="19"/>
        <v>68.040000000000006</v>
      </c>
    </row>
    <row r="100" spans="1:14">
      <c r="A100" s="20" t="str">
        <f>'Plant loading'!A92</f>
        <v>Swanley</v>
      </c>
      <c r="B100" s="18" t="str">
        <f>'Plant loading'!B92</f>
        <v>PEDSY</v>
      </c>
      <c r="C100" s="18" t="str">
        <f>'Plant loading'!C92</f>
        <v>eSure</v>
      </c>
      <c r="D100" s="18">
        <f>'Plant loading'!E92</f>
        <v>281</v>
      </c>
      <c r="E100" s="19">
        <f>'Plant loading'!H92</f>
        <v>36</v>
      </c>
      <c r="F100" s="18">
        <f>'Plant loading'!I92</f>
        <v>3.5</v>
      </c>
      <c r="G100" s="17">
        <f t="shared" si="20"/>
        <v>7.8055555555555554</v>
      </c>
      <c r="H100" s="17">
        <f t="shared" si="21"/>
        <v>15.611111111111111</v>
      </c>
      <c r="I100" s="812">
        <f t="shared" si="15"/>
        <v>0.92</v>
      </c>
      <c r="J100" s="812">
        <f t="shared" si="14"/>
        <v>0.92</v>
      </c>
      <c r="K100" s="17">
        <f t="shared" si="16"/>
        <v>16.539660000000001</v>
      </c>
      <c r="L100" s="17">
        <f t="shared" si="17"/>
        <v>16.539660000000001</v>
      </c>
      <c r="M100" s="17">
        <f t="shared" si="18"/>
        <v>136.08000000000001</v>
      </c>
      <c r="N100" s="17">
        <f t="shared" si="19"/>
        <v>68.040000000000006</v>
      </c>
    </row>
    <row r="101" spans="1:14">
      <c r="A101" s="20" t="str">
        <f>'Plant loading'!A93</f>
        <v>Swanley</v>
      </c>
      <c r="B101" s="18" t="str">
        <f>'Plant loading'!B93</f>
        <v>PEESY</v>
      </c>
      <c r="C101" s="18" t="str">
        <f>'Plant loading'!C93</f>
        <v>eSure</v>
      </c>
      <c r="D101" s="18">
        <f>'Plant loading'!E93</f>
        <v>316</v>
      </c>
      <c r="E101" s="19">
        <f>'Plant loading'!H93</f>
        <v>30</v>
      </c>
      <c r="F101" s="18">
        <f>'Plant loading'!I93</f>
        <v>3.5</v>
      </c>
      <c r="G101" s="17">
        <f t="shared" si="20"/>
        <v>10.533333333333333</v>
      </c>
      <c r="H101" s="17">
        <f t="shared" si="21"/>
        <v>21.066666666666666</v>
      </c>
      <c r="I101" s="812">
        <f t="shared" si="15"/>
        <v>0.92</v>
      </c>
      <c r="J101" s="812">
        <f t="shared" si="14"/>
        <v>0.97</v>
      </c>
      <c r="K101" s="17">
        <f t="shared" si="16"/>
        <v>18.599760000000003</v>
      </c>
      <c r="L101" s="17">
        <f t="shared" si="17"/>
        <v>17.738660000000003</v>
      </c>
      <c r="M101" s="17">
        <f t="shared" si="18"/>
        <v>113.4</v>
      </c>
      <c r="N101" s="17">
        <f t="shared" si="19"/>
        <v>56.7</v>
      </c>
    </row>
    <row r="102" spans="1:14">
      <c r="A102" s="18"/>
      <c r="B102" s="18"/>
      <c r="C102" s="18"/>
      <c r="D102" s="18"/>
      <c r="E102" s="19"/>
      <c r="F102" s="18"/>
      <c r="G102" s="17"/>
      <c r="H102" s="17"/>
    </row>
  </sheetData>
  <mergeCells count="5">
    <mergeCell ref="G20:H20"/>
    <mergeCell ref="I20:J20"/>
    <mergeCell ref="K20:L20"/>
    <mergeCell ref="M20:N20"/>
    <mergeCell ref="K1:L1"/>
  </mergeCells>
  <conditionalFormatting sqref="L3">
    <cfRule type="expression" dxfId="89" priority="1" stopIfTrue="1">
      <formula>"F3&lt;K3"</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49"/>
  <sheetViews>
    <sheetView topLeftCell="A121" zoomScaleNormal="100" workbookViewId="0">
      <selection activeCell="E57" sqref="E57:J59"/>
    </sheetView>
  </sheetViews>
  <sheetFormatPr defaultColWidth="8.6640625" defaultRowHeight="10.15" outlineLevelCol="1"/>
  <cols>
    <col min="1" max="1" width="22.6640625" bestFit="1" customWidth="1"/>
    <col min="2" max="2" width="34" bestFit="1" customWidth="1"/>
    <col min="3" max="3" width="19.83203125" customWidth="1"/>
    <col min="4" max="4" width="22.83203125" customWidth="1"/>
    <col min="5" max="5" width="12" customWidth="1" outlineLevel="1"/>
    <col min="6" max="13" width="15.6640625" customWidth="1" outlineLevel="1"/>
    <col min="14" max="14" width="16.6640625" customWidth="1" outlineLevel="1"/>
    <col min="15" max="15" width="16.33203125" customWidth="1" outlineLevel="1"/>
    <col min="16" max="16" width="26.6640625" customWidth="1" outlineLevel="1"/>
    <col min="17" max="17" width="9.1640625" style="5" bestFit="1" customWidth="1"/>
    <col min="18" max="18" width="9" style="5" bestFit="1" customWidth="1"/>
    <col min="19" max="20" width="8.83203125" style="5" bestFit="1" customWidth="1" outlineLevel="1"/>
    <col min="21" max="22" width="8.83203125" bestFit="1" customWidth="1"/>
    <col min="23" max="23" width="8.6640625" bestFit="1" customWidth="1"/>
    <col min="24" max="24" width="16.83203125" bestFit="1" customWidth="1"/>
    <col min="25" max="25" width="8.6640625" bestFit="1" customWidth="1"/>
    <col min="26" max="26" width="16.83203125" bestFit="1" customWidth="1"/>
    <col min="27" max="27" width="15.83203125" bestFit="1" customWidth="1"/>
    <col min="28" max="28" width="9" bestFit="1" customWidth="1"/>
    <col min="29" max="30" width="8.83203125" bestFit="1" customWidth="1"/>
    <col min="32" max="32" width="8.83203125" bestFit="1" customWidth="1"/>
    <col min="35" max="35" width="8.83203125" bestFit="1" customWidth="1"/>
    <col min="36" max="36" width="9" bestFit="1" customWidth="1"/>
    <col min="38" max="38" width="9" bestFit="1" customWidth="1"/>
    <col min="39" max="39" width="8.83203125" bestFit="1" customWidth="1"/>
    <col min="40" max="40" width="8.5" bestFit="1" customWidth="1"/>
    <col min="42" max="43" width="8.5" bestFit="1" customWidth="1"/>
    <col min="44" max="44" width="8.83203125" bestFit="1" customWidth="1"/>
    <col min="46" max="47" width="8.5" bestFit="1" customWidth="1"/>
    <col min="48" max="48" width="8.83203125" bestFit="1" customWidth="1"/>
    <col min="52" max="52" width="8.5" bestFit="1" customWidth="1"/>
    <col min="54" max="55" width="8.5" bestFit="1" customWidth="1"/>
    <col min="57" max="59" width="8.5" bestFit="1" customWidth="1"/>
    <col min="60" max="60" width="8.83203125" bestFit="1" customWidth="1"/>
    <col min="61" max="63" width="9" bestFit="1" customWidth="1"/>
    <col min="64" max="67" width="8.83203125" bestFit="1" customWidth="1"/>
    <col min="68" max="68" width="9" bestFit="1" customWidth="1"/>
    <col min="69" max="69" width="9.5" bestFit="1" customWidth="1"/>
    <col min="72" max="72" width="8.83203125" bestFit="1" customWidth="1"/>
    <col min="73" max="73" width="9.1640625" bestFit="1" customWidth="1"/>
    <col min="74" max="74" width="9" bestFit="1" customWidth="1"/>
    <col min="75" max="75" width="9.5" bestFit="1" customWidth="1"/>
    <col min="76" max="76" width="13.6640625" bestFit="1" customWidth="1"/>
  </cols>
  <sheetData>
    <row r="1" spans="1:28">
      <c r="B1" s="808" t="s">
        <v>588</v>
      </c>
      <c r="C1" s="808" t="s">
        <v>589</v>
      </c>
      <c r="D1" s="1354" t="s">
        <v>590</v>
      </c>
      <c r="E1" s="1354"/>
    </row>
    <row r="2" spans="1:28">
      <c r="A2" s="14" t="s">
        <v>591</v>
      </c>
      <c r="B2" s="351">
        <v>45383</v>
      </c>
      <c r="C2" s="351">
        <f>B2+364</f>
        <v>45747</v>
      </c>
      <c r="D2" s="351">
        <f>B2-B5</f>
        <v>42827</v>
      </c>
      <c r="E2" s="351">
        <f>C2-B5</f>
        <v>43191</v>
      </c>
      <c r="G2" s="1382" t="s">
        <v>592</v>
      </c>
      <c r="H2" s="1382"/>
      <c r="I2" s="40">
        <f>B147</f>
        <v>261108.9</v>
      </c>
    </row>
    <row r="3" spans="1:28">
      <c r="A3" s="14" t="s">
        <v>593</v>
      </c>
      <c r="B3" s="351">
        <f>B2+366</f>
        <v>45749</v>
      </c>
      <c r="C3" s="351">
        <f>C2+365</f>
        <v>46112</v>
      </c>
      <c r="D3" s="351">
        <f>B3-B5</f>
        <v>43193</v>
      </c>
      <c r="E3" s="351">
        <f>C3-B5</f>
        <v>43556</v>
      </c>
      <c r="G3" s="1381" t="s">
        <v>594</v>
      </c>
      <c r="H3" s="1381"/>
      <c r="I3" s="40">
        <f>D147</f>
        <v>12073</v>
      </c>
    </row>
    <row r="4" spans="1:28">
      <c r="A4" s="14" t="s">
        <v>595</v>
      </c>
      <c r="B4" s="5">
        <v>7</v>
      </c>
      <c r="C4" s="5"/>
    </row>
    <row r="5" spans="1:28" ht="10.9" thickBot="1">
      <c r="A5" s="14" t="s">
        <v>596</v>
      </c>
      <c r="B5" s="5">
        <f>(B4*365)+1</f>
        <v>2556</v>
      </c>
      <c r="C5" s="5"/>
    </row>
    <row r="6" spans="1:28">
      <c r="W6" s="1369" t="s">
        <v>591</v>
      </c>
      <c r="X6" s="1370"/>
      <c r="Y6" s="1369" t="s">
        <v>597</v>
      </c>
      <c r="Z6" s="1370"/>
    </row>
    <row r="7" spans="1:28" s="1" customFormat="1" ht="31.5" customHeight="1">
      <c r="A7" s="14" t="s">
        <v>515</v>
      </c>
      <c r="B7" s="14" t="s">
        <v>583</v>
      </c>
      <c r="C7" s="808" t="s">
        <v>598</v>
      </c>
      <c r="D7" s="35" t="s">
        <v>599</v>
      </c>
      <c r="E7" s="35" t="s">
        <v>600</v>
      </c>
      <c r="F7" s="808" t="s">
        <v>601</v>
      </c>
      <c r="G7" s="808" t="s">
        <v>602</v>
      </c>
      <c r="H7" s="808" t="s">
        <v>603</v>
      </c>
      <c r="I7" s="808" t="s">
        <v>604</v>
      </c>
      <c r="J7" s="808" t="s">
        <v>605</v>
      </c>
      <c r="K7" s="808" t="s">
        <v>606</v>
      </c>
      <c r="L7" s="808" t="s">
        <v>607</v>
      </c>
      <c r="M7" s="808" t="s">
        <v>608</v>
      </c>
      <c r="N7" s="808" t="s">
        <v>609</v>
      </c>
      <c r="O7" s="808" t="s">
        <v>610</v>
      </c>
      <c r="P7" s="808" t="s">
        <v>611</v>
      </c>
      <c r="Q7" s="35" t="s">
        <v>612</v>
      </c>
      <c r="R7" s="35" t="s">
        <v>613</v>
      </c>
      <c r="S7" s="35" t="s">
        <v>614</v>
      </c>
      <c r="T7" s="35" t="s">
        <v>615</v>
      </c>
      <c r="U7" s="35" t="s">
        <v>616</v>
      </c>
      <c r="V7" s="35" t="s">
        <v>617</v>
      </c>
      <c r="W7" s="199" t="s">
        <v>618</v>
      </c>
      <c r="X7" s="200" t="s">
        <v>619</v>
      </c>
      <c r="Y7" s="199" t="s">
        <v>618</v>
      </c>
      <c r="Z7" s="200" t="s">
        <v>619</v>
      </c>
      <c r="AA7" s="35" t="s">
        <v>515</v>
      </c>
      <c r="AB7" s="347"/>
    </row>
    <row r="8" spans="1:28" ht="10.5" customHeight="1">
      <c r="A8" s="760" t="str">
        <f>'Plant loading'!A4</f>
        <v>Acton</v>
      </c>
      <c r="B8" s="760" t="str">
        <f>'Plant loading'!B4</f>
        <v>PEAAN</v>
      </c>
      <c r="C8" s="761">
        <f>('Plant loading'!E4*54.5)/1000</f>
        <v>34.552999999999997</v>
      </c>
      <c r="D8" s="762" t="str">
        <f t="shared" ref="D8:D39" si="0">CHOOSE(T8,$C$130,$D$130,$E$130,$F$130,$G$130,$H$130,$I$130,$J$130,$K$130,$L$130,$M$130,$N$130,$O$130,$P$130,$Q$130,$R$130)</f>
        <v>3 hours</v>
      </c>
      <c r="E8" s="755">
        <v>44105</v>
      </c>
      <c r="F8" s="763">
        <v>44105</v>
      </c>
      <c r="G8" s="763">
        <v>44105</v>
      </c>
      <c r="H8" s="763">
        <v>44105</v>
      </c>
      <c r="I8" s="763">
        <v>44105</v>
      </c>
      <c r="J8" s="763">
        <v>44105</v>
      </c>
      <c r="K8" s="763">
        <v>44105</v>
      </c>
      <c r="L8" s="763">
        <v>44105</v>
      </c>
      <c r="M8" s="763">
        <v>44105</v>
      </c>
      <c r="N8" s="755"/>
      <c r="O8" s="755"/>
      <c r="P8" s="755" t="s">
        <v>620</v>
      </c>
      <c r="Q8"/>
      <c r="R8" s="5">
        <f t="shared" ref="R8:R39" si="1">COUNT(E8:P8)</f>
        <v>9</v>
      </c>
      <c r="S8" s="5">
        <f t="shared" ref="S8:S39" si="2">C8/R8</f>
        <v>3.8392222222222219</v>
      </c>
      <c r="T8" s="5">
        <f t="shared" ref="T8:T39" si="3">MATCH(S8,$C$134:$R$134,-1)</f>
        <v>11</v>
      </c>
      <c r="U8" s="5">
        <f t="shared" ref="U8:U39" si="4">COUNTIFS(E8:P8,"&gt;="&amp;$D$3,E8:P8,"&lt;="&amp;$E$3)</f>
        <v>0</v>
      </c>
      <c r="V8" s="5">
        <f t="shared" ref="V8:V39" si="5">COUNTIFS(E8:P8,"&lt;="&amp;$E$2)</f>
        <v>0</v>
      </c>
      <c r="W8" s="201">
        <f t="shared" ref="W8:W31" si="6">MATCH($E8,$B$177:$Q$177,1)</f>
        <v>7</v>
      </c>
      <c r="X8" s="202" t="str">
        <f t="shared" ref="X8:X39" si="7">CHOOSE(ROUNDUP((W8/2),0),$B$179,$D$179,$F$179,$H$179,$J$179,$L$179,$N$179,$P$179)</f>
        <v>Discharge</v>
      </c>
      <c r="Y8" s="201">
        <f t="shared" ref="Y8:Y31" si="8">MATCH($E8,$B$183:$S$183,1)</f>
        <v>7</v>
      </c>
      <c r="Z8" s="202" t="str">
        <f t="shared" ref="Z8:Z39" si="9">CHOOSE(ROUNDUP((Y8/2),0),$B$185,$D$185,$F$185,$H$185,$J$185,$L$185,$N$185,$P$185,$R$185)</f>
        <v>IR+HC</v>
      </c>
      <c r="AA8" s="1388" t="str">
        <f>A8</f>
        <v>Acton</v>
      </c>
      <c r="AB8" t="str">
        <f>B8</f>
        <v>PEAAN</v>
      </c>
    </row>
    <row r="9" spans="1:28">
      <c r="A9" s="97" t="str">
        <f>'Plant loading'!A5</f>
        <v>Acton</v>
      </c>
      <c r="B9" s="97" t="str">
        <f>'Plant loading'!B5</f>
        <v>PEBAN</v>
      </c>
      <c r="C9" s="98">
        <f>('Plant loading'!E5*54.5)/1000</f>
        <v>33.299500000000002</v>
      </c>
      <c r="D9" s="99" t="str">
        <f t="shared" si="0"/>
        <v>3 hours</v>
      </c>
      <c r="E9" s="351">
        <v>44105</v>
      </c>
      <c r="F9" s="530">
        <v>44105</v>
      </c>
      <c r="G9" s="530">
        <v>44105</v>
      </c>
      <c r="H9" s="530">
        <v>44105</v>
      </c>
      <c r="I9" s="530">
        <v>44105</v>
      </c>
      <c r="J9" s="530">
        <v>44105</v>
      </c>
      <c r="K9" s="530">
        <v>44105</v>
      </c>
      <c r="L9" s="530">
        <v>44105</v>
      </c>
      <c r="M9" s="530">
        <v>44105</v>
      </c>
      <c r="N9" s="351"/>
      <c r="O9" s="351"/>
      <c r="P9" s="351" t="s">
        <v>620</v>
      </c>
      <c r="Q9"/>
      <c r="R9" s="5">
        <f t="shared" si="1"/>
        <v>9</v>
      </c>
      <c r="S9" s="5">
        <f t="shared" si="2"/>
        <v>3.6999444444444447</v>
      </c>
      <c r="T9" s="5">
        <f t="shared" si="3"/>
        <v>11</v>
      </c>
      <c r="U9" s="5">
        <f t="shared" si="4"/>
        <v>0</v>
      </c>
      <c r="V9" s="5">
        <f t="shared" si="5"/>
        <v>0</v>
      </c>
      <c r="W9" s="201">
        <f t="shared" si="6"/>
        <v>7</v>
      </c>
      <c r="X9" s="202" t="str">
        <f t="shared" si="7"/>
        <v>Discharge</v>
      </c>
      <c r="Y9" s="201">
        <f t="shared" si="8"/>
        <v>7</v>
      </c>
      <c r="Z9" s="202" t="str">
        <f t="shared" si="9"/>
        <v>IR+HC</v>
      </c>
      <c r="AA9" s="1388"/>
      <c r="AB9" t="str">
        <f t="shared" ref="AB9:AB72" si="10">B9</f>
        <v>PEBAN</v>
      </c>
    </row>
    <row r="10" spans="1:28">
      <c r="A10" s="97" t="str">
        <f>'Plant loading'!A6</f>
        <v>Acton</v>
      </c>
      <c r="B10" s="97" t="str">
        <f>'Plant loading'!B6</f>
        <v>PECAN</v>
      </c>
      <c r="C10" s="98">
        <f>('Plant loading'!E6*54.5)/1000</f>
        <v>26.16</v>
      </c>
      <c r="D10" s="99" t="str">
        <f t="shared" si="0"/>
        <v>5 hours</v>
      </c>
      <c r="E10" s="351">
        <v>44105</v>
      </c>
      <c r="F10" s="530">
        <v>44105</v>
      </c>
      <c r="G10" s="530">
        <v>44105</v>
      </c>
      <c r="H10" s="530">
        <v>44105</v>
      </c>
      <c r="I10" s="530">
        <v>44105</v>
      </c>
      <c r="J10" s="530">
        <v>44105</v>
      </c>
      <c r="K10" s="530">
        <v>44105</v>
      </c>
      <c r="L10" s="530">
        <v>44105</v>
      </c>
      <c r="M10" s="530">
        <v>44105</v>
      </c>
      <c r="N10" s="351"/>
      <c r="O10" s="351"/>
      <c r="P10" s="351" t="s">
        <v>620</v>
      </c>
      <c r="Q10"/>
      <c r="R10" s="5">
        <f t="shared" si="1"/>
        <v>9</v>
      </c>
      <c r="S10" s="5">
        <f t="shared" si="2"/>
        <v>2.9066666666666667</v>
      </c>
      <c r="T10" s="5">
        <f t="shared" si="3"/>
        <v>13</v>
      </c>
      <c r="U10" s="5">
        <f t="shared" si="4"/>
        <v>0</v>
      </c>
      <c r="V10" s="5">
        <f t="shared" si="5"/>
        <v>0</v>
      </c>
      <c r="W10" s="201">
        <f t="shared" si="6"/>
        <v>7</v>
      </c>
      <c r="X10" s="202" t="str">
        <f t="shared" si="7"/>
        <v>Discharge</v>
      </c>
      <c r="Y10" s="201">
        <f t="shared" si="8"/>
        <v>7</v>
      </c>
      <c r="Z10" s="202" t="str">
        <f t="shared" si="9"/>
        <v>IR+HC</v>
      </c>
      <c r="AA10" s="1388"/>
      <c r="AB10" t="str">
        <f t="shared" si="10"/>
        <v>PECAN</v>
      </c>
    </row>
    <row r="11" spans="1:28">
      <c r="A11" s="97" t="str">
        <f>'Plant loading'!A7</f>
        <v>Acton</v>
      </c>
      <c r="B11" s="97" t="str">
        <f>'Plant loading'!B7</f>
        <v>PEFAN</v>
      </c>
      <c r="C11" s="98">
        <f>('Plant loading'!E7*54.5)/1000</f>
        <v>37.986499999999999</v>
      </c>
      <c r="D11" s="99" t="str">
        <f t="shared" si="0"/>
        <v>3 hours</v>
      </c>
      <c r="E11" s="351">
        <v>44105</v>
      </c>
      <c r="F11" s="530">
        <v>44105</v>
      </c>
      <c r="G11" s="530">
        <v>44105</v>
      </c>
      <c r="H11" s="530">
        <v>44105</v>
      </c>
      <c r="I11" s="530">
        <v>44105</v>
      </c>
      <c r="J11" s="530">
        <v>44105</v>
      </c>
      <c r="K11" s="530">
        <v>44105</v>
      </c>
      <c r="L11" s="530">
        <v>44105</v>
      </c>
      <c r="M11" s="530">
        <v>44105</v>
      </c>
      <c r="N11" s="351"/>
      <c r="O11" s="351"/>
      <c r="P11" s="351" t="s">
        <v>620</v>
      </c>
      <c r="Q11"/>
      <c r="R11" s="5">
        <f t="shared" si="1"/>
        <v>9</v>
      </c>
      <c r="S11" s="5">
        <f t="shared" si="2"/>
        <v>4.2207222222222223</v>
      </c>
      <c r="T11" s="5">
        <f t="shared" si="3"/>
        <v>11</v>
      </c>
      <c r="U11" s="5">
        <f t="shared" si="4"/>
        <v>0</v>
      </c>
      <c r="V11" s="5">
        <f t="shared" si="5"/>
        <v>0</v>
      </c>
      <c r="W11" s="201">
        <f t="shared" si="6"/>
        <v>7</v>
      </c>
      <c r="X11" s="202" t="str">
        <f t="shared" si="7"/>
        <v>Discharge</v>
      </c>
      <c r="Y11" s="201">
        <f t="shared" si="8"/>
        <v>7</v>
      </c>
      <c r="Z11" s="202" t="str">
        <f t="shared" si="9"/>
        <v>IR+HC</v>
      </c>
      <c r="AA11" s="1388"/>
      <c r="AB11" t="str">
        <f t="shared" si="10"/>
        <v>PEFAN</v>
      </c>
    </row>
    <row r="12" spans="1:28">
      <c r="A12" s="97" t="str">
        <f>'Plant loading'!A8</f>
        <v>Acton</v>
      </c>
      <c r="B12" s="97" t="str">
        <f>'Plant loading'!B8</f>
        <v>PEGAN</v>
      </c>
      <c r="C12" s="98">
        <f>('Plant loading'!E8*54.5)/1000</f>
        <v>40.384500000000003</v>
      </c>
      <c r="D12" s="99" t="str">
        <f t="shared" si="0"/>
        <v>2.5 hours</v>
      </c>
      <c r="E12" s="351">
        <v>44105</v>
      </c>
      <c r="F12" s="530">
        <v>44105</v>
      </c>
      <c r="G12" s="530">
        <v>44105</v>
      </c>
      <c r="H12" s="829">
        <v>44105</v>
      </c>
      <c r="I12" s="530">
        <v>44105</v>
      </c>
      <c r="J12" s="530">
        <v>44105</v>
      </c>
      <c r="K12" s="530">
        <v>44105</v>
      </c>
      <c r="L12" s="530">
        <v>44105</v>
      </c>
      <c r="M12" s="530">
        <v>44105</v>
      </c>
      <c r="N12" s="351"/>
      <c r="O12" s="351"/>
      <c r="P12" s="351" t="s">
        <v>620</v>
      </c>
      <c r="Q12"/>
      <c r="R12" s="5">
        <f t="shared" si="1"/>
        <v>9</v>
      </c>
      <c r="S12" s="5">
        <f t="shared" si="2"/>
        <v>4.487166666666667</v>
      </c>
      <c r="T12" s="5">
        <f t="shared" si="3"/>
        <v>10</v>
      </c>
      <c r="U12" s="5">
        <f t="shared" si="4"/>
        <v>0</v>
      </c>
      <c r="V12" s="5">
        <f t="shared" si="5"/>
        <v>0</v>
      </c>
      <c r="W12" s="201">
        <f t="shared" si="6"/>
        <v>7</v>
      </c>
      <c r="X12" s="202" t="str">
        <f t="shared" si="7"/>
        <v>Discharge</v>
      </c>
      <c r="Y12" s="201">
        <f t="shared" si="8"/>
        <v>7</v>
      </c>
      <c r="Z12" s="202" t="str">
        <f t="shared" si="9"/>
        <v>IR+HC</v>
      </c>
      <c r="AA12" s="1388"/>
      <c r="AB12" t="str">
        <f t="shared" si="10"/>
        <v>PEGAN</v>
      </c>
    </row>
    <row r="13" spans="1:28">
      <c r="A13" s="752" t="str">
        <f>'Plant loading'!A9</f>
        <v>Basingstoke</v>
      </c>
      <c r="B13" s="752" t="str">
        <f>'Plant loading'!B9</f>
        <v>PEABE</v>
      </c>
      <c r="C13" s="753">
        <f>('Plant loading'!E9*54.5)/1000</f>
        <v>45.180500000000002</v>
      </c>
      <c r="D13" s="754" t="str">
        <f t="shared" si="0"/>
        <v>2.5 hours</v>
      </c>
      <c r="E13" s="755">
        <v>45170</v>
      </c>
      <c r="F13" s="755">
        <v>45170</v>
      </c>
      <c r="G13" s="755">
        <v>45170</v>
      </c>
      <c r="H13" s="755">
        <v>45170</v>
      </c>
      <c r="I13" s="755">
        <v>45170</v>
      </c>
      <c r="J13" s="755">
        <v>45170</v>
      </c>
      <c r="K13" s="755">
        <v>45170</v>
      </c>
      <c r="L13" s="755">
        <v>45170</v>
      </c>
      <c r="M13" s="755">
        <v>45170</v>
      </c>
      <c r="N13" s="755"/>
      <c r="O13" s="755"/>
      <c r="P13" s="755" t="s">
        <v>620</v>
      </c>
      <c r="Q13"/>
      <c r="R13" s="5">
        <f t="shared" si="1"/>
        <v>9</v>
      </c>
      <c r="S13" s="5">
        <f t="shared" si="2"/>
        <v>5.0200555555555555</v>
      </c>
      <c r="T13" s="5">
        <f t="shared" si="3"/>
        <v>10</v>
      </c>
      <c r="U13" s="5">
        <f t="shared" si="4"/>
        <v>0</v>
      </c>
      <c r="V13" s="5">
        <f t="shared" si="5"/>
        <v>0</v>
      </c>
      <c r="W13" s="201">
        <f t="shared" si="6"/>
        <v>13</v>
      </c>
      <c r="X13" s="203" t="str">
        <f t="shared" si="7"/>
        <v>IR+HC</v>
      </c>
      <c r="Y13" s="201">
        <f t="shared" si="8"/>
        <v>13</v>
      </c>
      <c r="Z13" s="203" t="str">
        <f t="shared" si="9"/>
        <v>Discharge</v>
      </c>
      <c r="AA13" s="1389" t="str">
        <f>A13</f>
        <v>Basingstoke</v>
      </c>
      <c r="AB13" t="str">
        <f t="shared" si="10"/>
        <v>PEABE</v>
      </c>
    </row>
    <row r="14" spans="1:28">
      <c r="A14" s="100" t="str">
        <f>'Plant loading'!A10</f>
        <v>Basingstoke</v>
      </c>
      <c r="B14" s="100" t="str">
        <f>'Plant loading'!B10</f>
        <v>PEBBE</v>
      </c>
      <c r="C14" s="101">
        <f>('Plant loading'!E10*54.5)/1000</f>
        <v>45.889000000000003</v>
      </c>
      <c r="D14" s="102" t="str">
        <f t="shared" si="0"/>
        <v>2 hours</v>
      </c>
      <c r="E14" s="351">
        <v>45170</v>
      </c>
      <c r="F14" s="351">
        <v>45170</v>
      </c>
      <c r="G14" s="351">
        <v>45170</v>
      </c>
      <c r="H14" s="351">
        <v>45170</v>
      </c>
      <c r="I14" s="351">
        <v>45170</v>
      </c>
      <c r="J14" s="351">
        <v>45170</v>
      </c>
      <c r="K14" s="351">
        <v>45170</v>
      </c>
      <c r="L14" s="351">
        <v>45170</v>
      </c>
      <c r="M14" s="351">
        <v>45170</v>
      </c>
      <c r="N14" s="351"/>
      <c r="O14" s="351"/>
      <c r="P14" s="351" t="s">
        <v>620</v>
      </c>
      <c r="Q14"/>
      <c r="R14" s="5">
        <f t="shared" si="1"/>
        <v>9</v>
      </c>
      <c r="S14" s="5">
        <f t="shared" si="2"/>
        <v>5.0987777777777783</v>
      </c>
      <c r="T14" s="5">
        <f t="shared" si="3"/>
        <v>9</v>
      </c>
      <c r="U14" s="5">
        <f t="shared" si="4"/>
        <v>0</v>
      </c>
      <c r="V14" s="5">
        <f t="shared" si="5"/>
        <v>0</v>
      </c>
      <c r="W14" s="201">
        <f t="shared" si="6"/>
        <v>13</v>
      </c>
      <c r="X14" s="203" t="str">
        <f t="shared" si="7"/>
        <v>IR+HC</v>
      </c>
      <c r="Y14" s="201">
        <f t="shared" si="8"/>
        <v>13</v>
      </c>
      <c r="Z14" s="203" t="str">
        <f t="shared" si="9"/>
        <v>Discharge</v>
      </c>
      <c r="AA14" s="1389"/>
      <c r="AB14" t="str">
        <f t="shared" si="10"/>
        <v>PEBBE</v>
      </c>
    </row>
    <row r="15" spans="1:28">
      <c r="A15" s="100" t="str">
        <f>'Plant loading'!A11</f>
        <v>Basingstoke</v>
      </c>
      <c r="B15" s="100" t="str">
        <f>'Plant loading'!B11</f>
        <v>PECBE</v>
      </c>
      <c r="C15" s="101">
        <f>('Plant loading'!E11*54.5)/1000</f>
        <v>43.981499999999997</v>
      </c>
      <c r="D15" s="102" t="str">
        <f t="shared" si="0"/>
        <v>2.5 hours</v>
      </c>
      <c r="E15" s="351">
        <v>45170</v>
      </c>
      <c r="F15" s="351">
        <v>45170</v>
      </c>
      <c r="G15" s="351">
        <v>45170</v>
      </c>
      <c r="H15" s="351">
        <v>45170</v>
      </c>
      <c r="I15" s="351">
        <v>45170</v>
      </c>
      <c r="J15" s="351">
        <v>45170</v>
      </c>
      <c r="K15" s="351">
        <v>45170</v>
      </c>
      <c r="L15" s="351">
        <v>45170</v>
      </c>
      <c r="M15" s="351">
        <v>45170</v>
      </c>
      <c r="N15" s="351"/>
      <c r="O15" s="351"/>
      <c r="P15" s="351" t="s">
        <v>620</v>
      </c>
      <c r="Q15"/>
      <c r="R15" s="5">
        <f t="shared" si="1"/>
        <v>9</v>
      </c>
      <c r="S15" s="5">
        <f t="shared" si="2"/>
        <v>4.8868333333333327</v>
      </c>
      <c r="T15" s="5">
        <f t="shared" si="3"/>
        <v>10</v>
      </c>
      <c r="U15" s="5">
        <f t="shared" si="4"/>
        <v>0</v>
      </c>
      <c r="V15" s="5">
        <f t="shared" si="5"/>
        <v>0</v>
      </c>
      <c r="W15" s="201">
        <f t="shared" si="6"/>
        <v>13</v>
      </c>
      <c r="X15" s="203" t="str">
        <f t="shared" si="7"/>
        <v>IR+HC</v>
      </c>
      <c r="Y15" s="201">
        <f t="shared" si="8"/>
        <v>13</v>
      </c>
      <c r="Z15" s="203" t="str">
        <f t="shared" si="9"/>
        <v>Discharge</v>
      </c>
      <c r="AA15" s="1389"/>
      <c r="AB15" t="str">
        <f t="shared" si="10"/>
        <v>PECBE</v>
      </c>
    </row>
    <row r="16" spans="1:28">
      <c r="A16" s="100" t="str">
        <f>'Plant loading'!A12</f>
        <v>Basingstoke</v>
      </c>
      <c r="B16" s="100" t="str">
        <f>'Plant loading'!B12</f>
        <v>PEEBE</v>
      </c>
      <c r="C16" s="101">
        <f>('Plant loading'!E12*54.5)/1000</f>
        <v>48.505000000000003</v>
      </c>
      <c r="D16" s="102" t="str">
        <f t="shared" si="0"/>
        <v>2 hours</v>
      </c>
      <c r="E16" s="351">
        <v>45170</v>
      </c>
      <c r="F16" s="351">
        <v>45170</v>
      </c>
      <c r="G16" s="351">
        <v>45170</v>
      </c>
      <c r="H16" s="351">
        <v>45170</v>
      </c>
      <c r="I16" s="351">
        <v>45170</v>
      </c>
      <c r="J16" s="351">
        <v>45170</v>
      </c>
      <c r="K16" s="351">
        <v>45170</v>
      </c>
      <c r="L16" s="351">
        <v>45170</v>
      </c>
      <c r="M16" s="351">
        <v>45170</v>
      </c>
      <c r="N16" s="351"/>
      <c r="O16" s="351"/>
      <c r="P16" s="351" t="s">
        <v>620</v>
      </c>
      <c r="Q16"/>
      <c r="R16" s="5">
        <f t="shared" si="1"/>
        <v>9</v>
      </c>
      <c r="S16" s="5">
        <f t="shared" si="2"/>
        <v>5.3894444444444449</v>
      </c>
      <c r="T16" s="5">
        <f t="shared" si="3"/>
        <v>9</v>
      </c>
      <c r="U16" s="5">
        <f t="shared" si="4"/>
        <v>0</v>
      </c>
      <c r="V16" s="5">
        <f t="shared" si="5"/>
        <v>0</v>
      </c>
      <c r="W16" s="201">
        <f t="shared" si="6"/>
        <v>13</v>
      </c>
      <c r="X16" s="203" t="str">
        <f t="shared" si="7"/>
        <v>IR+HC</v>
      </c>
      <c r="Y16" s="201">
        <f t="shared" si="8"/>
        <v>13</v>
      </c>
      <c r="Z16" s="203" t="str">
        <f t="shared" si="9"/>
        <v>Discharge</v>
      </c>
      <c r="AA16" s="1389"/>
      <c r="AB16" t="str">
        <f t="shared" si="10"/>
        <v>PEEBE</v>
      </c>
    </row>
    <row r="17" spans="1:28">
      <c r="A17" s="100" t="str">
        <f>'Plant loading'!A13</f>
        <v>Basingstoke</v>
      </c>
      <c r="B17" s="100" t="str">
        <f>'Plant loading'!B13</f>
        <v>PEFBE</v>
      </c>
      <c r="C17" s="101">
        <f>('Plant loading'!E13*54.5)/1000</f>
        <v>46.488500000000002</v>
      </c>
      <c r="D17" s="102" t="str">
        <f t="shared" si="0"/>
        <v>2 hours</v>
      </c>
      <c r="E17" s="351">
        <v>45170</v>
      </c>
      <c r="F17" s="351">
        <v>45170</v>
      </c>
      <c r="G17" s="351">
        <v>45170</v>
      </c>
      <c r="H17" s="351">
        <v>45170</v>
      </c>
      <c r="I17" s="351">
        <v>45170</v>
      </c>
      <c r="J17" s="351">
        <v>45170</v>
      </c>
      <c r="K17" s="351">
        <v>45170</v>
      </c>
      <c r="L17" s="351">
        <v>45170</v>
      </c>
      <c r="M17" s="351">
        <v>45170</v>
      </c>
      <c r="N17" s="351"/>
      <c r="O17" s="351"/>
      <c r="P17" s="351" t="s">
        <v>620</v>
      </c>
      <c r="Q17"/>
      <c r="R17" s="5">
        <f t="shared" si="1"/>
        <v>9</v>
      </c>
      <c r="S17" s="5">
        <f t="shared" si="2"/>
        <v>5.1653888888888888</v>
      </c>
      <c r="T17" s="5">
        <f t="shared" si="3"/>
        <v>9</v>
      </c>
      <c r="U17" s="5">
        <f t="shared" si="4"/>
        <v>0</v>
      </c>
      <c r="V17" s="5">
        <f t="shared" si="5"/>
        <v>0</v>
      </c>
      <c r="W17" s="201">
        <f t="shared" si="6"/>
        <v>13</v>
      </c>
      <c r="X17" s="203" t="str">
        <f t="shared" si="7"/>
        <v>IR+HC</v>
      </c>
      <c r="Y17" s="201">
        <f t="shared" si="8"/>
        <v>13</v>
      </c>
      <c r="Z17" s="203" t="str">
        <f t="shared" si="9"/>
        <v>Discharge</v>
      </c>
      <c r="AA17" s="1389"/>
      <c r="AB17" t="str">
        <f t="shared" si="10"/>
        <v>PEFBE</v>
      </c>
    </row>
    <row r="18" spans="1:28">
      <c r="A18" s="100" t="str">
        <f>'Plant loading'!A14</f>
        <v>Basingstoke</v>
      </c>
      <c r="B18" s="100" t="str">
        <f>'Plant loading'!B14</f>
        <v>PEGBE</v>
      </c>
      <c r="C18" s="101">
        <f>('Plant loading'!E14*54.5)/1000</f>
        <v>47.850999999999999</v>
      </c>
      <c r="D18" s="102" t="str">
        <f t="shared" si="0"/>
        <v>1.5 hours</v>
      </c>
      <c r="E18" s="351">
        <v>45170</v>
      </c>
      <c r="F18" s="351">
        <v>45170</v>
      </c>
      <c r="G18" s="351">
        <v>45170</v>
      </c>
      <c r="H18" s="351">
        <v>45170</v>
      </c>
      <c r="I18" s="351">
        <v>45170</v>
      </c>
      <c r="J18" s="351">
        <v>45170</v>
      </c>
      <c r="K18" s="351">
        <v>45170</v>
      </c>
      <c r="L18" s="351">
        <v>45170</v>
      </c>
      <c r="M18" s="351"/>
      <c r="N18" s="351"/>
      <c r="O18" s="351"/>
      <c r="P18" s="351" t="s">
        <v>620</v>
      </c>
      <c r="Q18"/>
      <c r="R18" s="5">
        <f t="shared" si="1"/>
        <v>8</v>
      </c>
      <c r="S18" s="5">
        <f t="shared" si="2"/>
        <v>5.9813749999999999</v>
      </c>
      <c r="T18" s="5">
        <f t="shared" si="3"/>
        <v>8</v>
      </c>
      <c r="U18" s="5">
        <f t="shared" si="4"/>
        <v>0</v>
      </c>
      <c r="V18" s="5">
        <f t="shared" si="5"/>
        <v>0</v>
      </c>
      <c r="W18" s="201">
        <f t="shared" si="6"/>
        <v>13</v>
      </c>
      <c r="X18" s="203" t="str">
        <f t="shared" si="7"/>
        <v>IR+HC</v>
      </c>
      <c r="Y18" s="201">
        <f t="shared" si="8"/>
        <v>13</v>
      </c>
      <c r="Z18" s="203" t="str">
        <f t="shared" si="9"/>
        <v>Discharge</v>
      </c>
      <c r="AA18" s="1389"/>
      <c r="AB18" t="str">
        <f t="shared" si="10"/>
        <v>PEGBE</v>
      </c>
    </row>
    <row r="19" spans="1:28">
      <c r="A19" s="100" t="str">
        <f>'Plant loading'!A15</f>
        <v>Basingstoke</v>
      </c>
      <c r="B19" s="100" t="str">
        <f>'Plant loading'!B15</f>
        <v>PEHBE</v>
      </c>
      <c r="C19" s="101">
        <f>('Plant loading'!E15*54.5)/1000</f>
        <v>45.5075</v>
      </c>
      <c r="D19" s="102" t="str">
        <f t="shared" si="0"/>
        <v>2 hours</v>
      </c>
      <c r="E19" s="351">
        <v>45170</v>
      </c>
      <c r="F19" s="351">
        <v>45170</v>
      </c>
      <c r="G19" s="351">
        <v>45170</v>
      </c>
      <c r="H19" s="351">
        <v>45170</v>
      </c>
      <c r="I19" s="351">
        <v>45170</v>
      </c>
      <c r="J19" s="351">
        <v>45170</v>
      </c>
      <c r="K19" s="351">
        <v>45170</v>
      </c>
      <c r="L19" s="351">
        <v>45170</v>
      </c>
      <c r="M19" s="351">
        <v>45170</v>
      </c>
      <c r="N19" s="351"/>
      <c r="O19" s="351"/>
      <c r="P19" s="351" t="s">
        <v>620</v>
      </c>
      <c r="Q19"/>
      <c r="R19" s="5">
        <f t="shared" si="1"/>
        <v>9</v>
      </c>
      <c r="S19" s="5">
        <f t="shared" si="2"/>
        <v>5.0563888888888888</v>
      </c>
      <c r="T19" s="5">
        <f t="shared" si="3"/>
        <v>9</v>
      </c>
      <c r="U19" s="5">
        <f t="shared" si="4"/>
        <v>0</v>
      </c>
      <c r="V19" s="5">
        <f t="shared" si="5"/>
        <v>0</v>
      </c>
      <c r="W19" s="201">
        <f t="shared" si="6"/>
        <v>13</v>
      </c>
      <c r="X19" s="203" t="str">
        <f t="shared" si="7"/>
        <v>IR+HC</v>
      </c>
      <c r="Y19" s="201">
        <f t="shared" si="8"/>
        <v>13</v>
      </c>
      <c r="Z19" s="203" t="str">
        <f t="shared" si="9"/>
        <v>Discharge</v>
      </c>
      <c r="AA19" s="1389"/>
      <c r="AB19" t="str">
        <f t="shared" si="10"/>
        <v>PEHBE</v>
      </c>
    </row>
    <row r="20" spans="1:28">
      <c r="A20" s="100" t="str">
        <f>'Plant loading'!A16</f>
        <v>Basingstoke</v>
      </c>
      <c r="B20" s="100" t="str">
        <f>'Plant loading'!B16</f>
        <v>PEIBE</v>
      </c>
      <c r="C20" s="101">
        <f>('Plant loading'!E16*54.5)/1000</f>
        <v>47.197000000000003</v>
      </c>
      <c r="D20" s="102" t="str">
        <f t="shared" si="0"/>
        <v>2 hours</v>
      </c>
      <c r="E20" s="351">
        <v>45170</v>
      </c>
      <c r="F20" s="351">
        <v>45170</v>
      </c>
      <c r="G20" s="351">
        <v>45170</v>
      </c>
      <c r="H20" s="351">
        <v>45170</v>
      </c>
      <c r="I20" s="351">
        <v>45170</v>
      </c>
      <c r="J20" s="351">
        <v>45170</v>
      </c>
      <c r="K20" s="351">
        <v>45170</v>
      </c>
      <c r="L20" s="351">
        <v>45170</v>
      </c>
      <c r="M20" s="351">
        <v>45170</v>
      </c>
      <c r="N20" s="351"/>
      <c r="O20" s="351"/>
      <c r="P20" s="351" t="s">
        <v>620</v>
      </c>
      <c r="Q20"/>
      <c r="R20" s="5">
        <f t="shared" si="1"/>
        <v>9</v>
      </c>
      <c r="S20" s="5">
        <f t="shared" si="2"/>
        <v>5.2441111111111116</v>
      </c>
      <c r="T20" s="5">
        <f t="shared" si="3"/>
        <v>9</v>
      </c>
      <c r="U20" s="5">
        <f t="shared" si="4"/>
        <v>0</v>
      </c>
      <c r="V20" s="5">
        <f t="shared" si="5"/>
        <v>0</v>
      </c>
      <c r="W20" s="201">
        <f t="shared" si="6"/>
        <v>13</v>
      </c>
      <c r="X20" s="203" t="str">
        <f t="shared" si="7"/>
        <v>IR+HC</v>
      </c>
      <c r="Y20" s="201">
        <f t="shared" si="8"/>
        <v>13</v>
      </c>
      <c r="Z20" s="203" t="str">
        <f t="shared" si="9"/>
        <v>Discharge</v>
      </c>
      <c r="AA20" s="1389"/>
      <c r="AB20" t="str">
        <f t="shared" si="10"/>
        <v>PEIBE</v>
      </c>
    </row>
    <row r="21" spans="1:28">
      <c r="A21" s="760" t="str">
        <f>'Plant loading'!A17</f>
        <v>Crawley</v>
      </c>
      <c r="B21" s="760" t="str">
        <f>'Plant loading'!B17</f>
        <v>PEACY</v>
      </c>
      <c r="C21" s="761">
        <f>('Plant loading'!E17*54.5)/1000</f>
        <v>21.418500000000002</v>
      </c>
      <c r="D21" s="762" t="str">
        <f t="shared" si="0"/>
        <v>6 hours</v>
      </c>
      <c r="E21" s="755">
        <v>44136</v>
      </c>
      <c r="F21" s="764">
        <v>44136</v>
      </c>
      <c r="G21" s="764">
        <v>44136</v>
      </c>
      <c r="H21" s="764">
        <v>44136</v>
      </c>
      <c r="I21" s="764">
        <v>44136</v>
      </c>
      <c r="J21" s="764">
        <v>44136</v>
      </c>
      <c r="K21" s="764">
        <v>44136</v>
      </c>
      <c r="L21" s="764">
        <v>44136</v>
      </c>
      <c r="M21" s="764">
        <v>44136</v>
      </c>
      <c r="N21" s="755"/>
      <c r="O21" s="755"/>
      <c r="P21" s="755" t="s">
        <v>620</v>
      </c>
      <c r="Q21"/>
      <c r="R21" s="5">
        <f t="shared" si="1"/>
        <v>9</v>
      </c>
      <c r="S21" s="5">
        <f t="shared" si="2"/>
        <v>2.3798333333333335</v>
      </c>
      <c r="T21" s="5">
        <f t="shared" si="3"/>
        <v>14</v>
      </c>
      <c r="U21" s="5">
        <f t="shared" si="4"/>
        <v>0</v>
      </c>
      <c r="V21" s="5">
        <f t="shared" si="5"/>
        <v>0</v>
      </c>
      <c r="W21" s="201">
        <f t="shared" si="6"/>
        <v>7</v>
      </c>
      <c r="X21" s="202" t="str">
        <f t="shared" si="7"/>
        <v>Discharge</v>
      </c>
      <c r="Y21" s="201">
        <f t="shared" si="8"/>
        <v>7</v>
      </c>
      <c r="Z21" s="202" t="str">
        <f t="shared" si="9"/>
        <v>IR+HC</v>
      </c>
      <c r="AA21" s="1388" t="str">
        <f>A21</f>
        <v>Crawley</v>
      </c>
      <c r="AB21" t="str">
        <f t="shared" si="10"/>
        <v>PEACY</v>
      </c>
    </row>
    <row r="22" spans="1:28">
      <c r="A22" s="97" t="str">
        <f>'Plant loading'!A18</f>
        <v>Crawley</v>
      </c>
      <c r="B22" s="97" t="str">
        <f>'Plant loading'!B18</f>
        <v>PEBCY</v>
      </c>
      <c r="C22" s="98">
        <f>('Plant loading'!E18*54.5)/1000</f>
        <v>27.304500000000001</v>
      </c>
      <c r="D22" s="99" t="str">
        <f t="shared" si="0"/>
        <v>4 hours</v>
      </c>
      <c r="E22" s="351">
        <v>44136</v>
      </c>
      <c r="F22" s="539">
        <v>44136</v>
      </c>
      <c r="G22" s="539">
        <v>44136</v>
      </c>
      <c r="H22" s="539">
        <v>44136</v>
      </c>
      <c r="I22" s="539">
        <v>44136</v>
      </c>
      <c r="J22" s="539">
        <v>44136</v>
      </c>
      <c r="K22" s="539">
        <v>44136</v>
      </c>
      <c r="L22" s="539">
        <v>44136</v>
      </c>
      <c r="M22" s="539">
        <v>44136</v>
      </c>
      <c r="N22" s="351"/>
      <c r="O22" s="351"/>
      <c r="P22" s="351" t="s">
        <v>620</v>
      </c>
      <c r="Q22"/>
      <c r="R22" s="5">
        <f t="shared" si="1"/>
        <v>9</v>
      </c>
      <c r="S22" s="5">
        <f t="shared" si="2"/>
        <v>3.0338333333333334</v>
      </c>
      <c r="T22" s="5">
        <f t="shared" si="3"/>
        <v>12</v>
      </c>
      <c r="U22" s="5">
        <f t="shared" si="4"/>
        <v>0</v>
      </c>
      <c r="V22" s="5">
        <f t="shared" si="5"/>
        <v>0</v>
      </c>
      <c r="W22" s="201">
        <f t="shared" si="6"/>
        <v>7</v>
      </c>
      <c r="X22" s="202" t="str">
        <f t="shared" si="7"/>
        <v>Discharge</v>
      </c>
      <c r="Y22" s="201">
        <f t="shared" si="8"/>
        <v>7</v>
      </c>
      <c r="Z22" s="202" t="str">
        <f t="shared" si="9"/>
        <v>IR+HC</v>
      </c>
      <c r="AA22" s="1388"/>
      <c r="AB22" t="str">
        <f t="shared" si="10"/>
        <v>PEBCY</v>
      </c>
    </row>
    <row r="23" spans="1:28">
      <c r="A23" s="97" t="str">
        <f>'Plant loading'!A19</f>
        <v>Crawley</v>
      </c>
      <c r="B23" s="97" t="str">
        <f>'Plant loading'!B19</f>
        <v>PECCY</v>
      </c>
      <c r="C23" s="98">
        <f>('Plant loading'!E19*54.5)/1000</f>
        <v>33.244999999999997</v>
      </c>
      <c r="D23" s="99" t="str">
        <f t="shared" si="0"/>
        <v>3 hours</v>
      </c>
      <c r="E23" s="351">
        <v>44136</v>
      </c>
      <c r="F23" s="539">
        <v>44136</v>
      </c>
      <c r="G23" s="539">
        <v>44136</v>
      </c>
      <c r="H23" s="539">
        <v>44136</v>
      </c>
      <c r="I23" s="539">
        <v>44136</v>
      </c>
      <c r="J23" s="539">
        <v>44136</v>
      </c>
      <c r="K23" s="539">
        <v>44136</v>
      </c>
      <c r="L23" s="539">
        <v>44136</v>
      </c>
      <c r="M23" s="539">
        <v>44136</v>
      </c>
      <c r="N23" s="351"/>
      <c r="O23" s="351"/>
      <c r="P23" s="351" t="s">
        <v>620</v>
      </c>
      <c r="Q23"/>
      <c r="R23" s="5">
        <f t="shared" si="1"/>
        <v>9</v>
      </c>
      <c r="S23" s="5">
        <f t="shared" si="2"/>
        <v>3.6938888888888886</v>
      </c>
      <c r="T23" s="5">
        <f t="shared" si="3"/>
        <v>11</v>
      </c>
      <c r="U23" s="5">
        <f t="shared" si="4"/>
        <v>0</v>
      </c>
      <c r="V23" s="5">
        <f t="shared" si="5"/>
        <v>0</v>
      </c>
      <c r="W23" s="201">
        <f t="shared" si="6"/>
        <v>7</v>
      </c>
      <c r="X23" s="202" t="str">
        <f t="shared" si="7"/>
        <v>Discharge</v>
      </c>
      <c r="Y23" s="201">
        <f t="shared" si="8"/>
        <v>7</v>
      </c>
      <c r="Z23" s="202" t="str">
        <f t="shared" si="9"/>
        <v>IR+HC</v>
      </c>
      <c r="AA23" s="1388"/>
      <c r="AB23" t="str">
        <f t="shared" si="10"/>
        <v>PECCY</v>
      </c>
    </row>
    <row r="24" spans="1:28">
      <c r="A24" s="97" t="str">
        <f>'Plant loading'!A20</f>
        <v>Crawley</v>
      </c>
      <c r="B24" s="97" t="str">
        <f>'Plant loading'!B20</f>
        <v>PEDCY</v>
      </c>
      <c r="C24" s="98">
        <f>('Plant loading'!E20*54.5)/1000</f>
        <v>25.887499999999999</v>
      </c>
      <c r="D24" s="99" t="str">
        <f t="shared" si="0"/>
        <v>5 hours</v>
      </c>
      <c r="E24" s="351">
        <v>44136</v>
      </c>
      <c r="F24" s="539">
        <v>44136</v>
      </c>
      <c r="G24" s="539">
        <v>44136</v>
      </c>
      <c r="H24" s="539">
        <v>44136</v>
      </c>
      <c r="I24" s="539">
        <v>44136</v>
      </c>
      <c r="J24" s="539">
        <v>44136</v>
      </c>
      <c r="K24" s="539">
        <v>44136</v>
      </c>
      <c r="L24" s="539">
        <v>44136</v>
      </c>
      <c r="M24" s="539">
        <v>44136</v>
      </c>
      <c r="N24" s="351"/>
      <c r="O24" s="351"/>
      <c r="P24" s="351" t="s">
        <v>620</v>
      </c>
      <c r="Q24"/>
      <c r="R24" s="5">
        <f t="shared" si="1"/>
        <v>9</v>
      </c>
      <c r="S24" s="5">
        <f t="shared" si="2"/>
        <v>2.8763888888888887</v>
      </c>
      <c r="T24" s="5">
        <f t="shared" si="3"/>
        <v>13</v>
      </c>
      <c r="U24" s="5">
        <f t="shared" si="4"/>
        <v>0</v>
      </c>
      <c r="V24" s="5">
        <f t="shared" si="5"/>
        <v>0</v>
      </c>
      <c r="W24" s="201">
        <f t="shared" si="6"/>
        <v>7</v>
      </c>
      <c r="X24" s="202" t="str">
        <f t="shared" si="7"/>
        <v>Discharge</v>
      </c>
      <c r="Y24" s="201">
        <f t="shared" si="8"/>
        <v>7</v>
      </c>
      <c r="Z24" s="202" t="str">
        <f t="shared" si="9"/>
        <v>IR+HC</v>
      </c>
      <c r="AA24" s="1388"/>
      <c r="AB24" t="str">
        <f t="shared" si="10"/>
        <v>PEDCY</v>
      </c>
    </row>
    <row r="25" spans="1:28">
      <c r="A25" s="97" t="str">
        <f>'Plant loading'!A21</f>
        <v>Crawley</v>
      </c>
      <c r="B25" s="97" t="str">
        <f>'Plant loading'!B21</f>
        <v>PEECY</v>
      </c>
      <c r="C25" s="98">
        <f>('Plant loading'!E21*54.5)/1000</f>
        <v>19.3475</v>
      </c>
      <c r="D25" s="99" t="str">
        <f t="shared" si="0"/>
        <v>7 hours</v>
      </c>
      <c r="E25" s="351">
        <v>44136</v>
      </c>
      <c r="F25" s="539">
        <v>44136</v>
      </c>
      <c r="G25" s="539">
        <v>44136</v>
      </c>
      <c r="H25" s="539">
        <v>44136</v>
      </c>
      <c r="I25" s="539">
        <v>44136</v>
      </c>
      <c r="J25" s="539">
        <v>44136</v>
      </c>
      <c r="K25" s="539">
        <v>44136</v>
      </c>
      <c r="L25" s="539">
        <v>44136</v>
      </c>
      <c r="M25" s="539">
        <v>44136</v>
      </c>
      <c r="N25" s="351"/>
      <c r="O25" s="351"/>
      <c r="P25" s="351" t="s">
        <v>620</v>
      </c>
      <c r="Q25"/>
      <c r="R25" s="5">
        <f t="shared" si="1"/>
        <v>9</v>
      </c>
      <c r="S25" s="5">
        <f t="shared" si="2"/>
        <v>2.1497222222222221</v>
      </c>
      <c r="T25" s="5">
        <f t="shared" si="3"/>
        <v>15</v>
      </c>
      <c r="U25" s="5">
        <f t="shared" si="4"/>
        <v>0</v>
      </c>
      <c r="V25" s="5">
        <f t="shared" si="5"/>
        <v>0</v>
      </c>
      <c r="W25" s="201">
        <f t="shared" si="6"/>
        <v>7</v>
      </c>
      <c r="X25" s="202" t="str">
        <f t="shared" si="7"/>
        <v>Discharge</v>
      </c>
      <c r="Y25" s="201">
        <f t="shared" si="8"/>
        <v>7</v>
      </c>
      <c r="Z25" s="202" t="str">
        <f t="shared" si="9"/>
        <v>IR+HC</v>
      </c>
      <c r="AA25" s="1388"/>
      <c r="AB25" t="str">
        <f t="shared" si="10"/>
        <v>PEECY</v>
      </c>
    </row>
    <row r="26" spans="1:28">
      <c r="A26" s="752" t="str">
        <f>'Plant loading'!A22</f>
        <v>Edinburgh</v>
      </c>
      <c r="B26" s="752" t="str">
        <f>'Plant loading'!B22</f>
        <v>PECEH</v>
      </c>
      <c r="C26" s="753">
        <f>('Plant loading'!E22*54.5)/1000</f>
        <v>46.433999999999997</v>
      </c>
      <c r="D26" s="754" t="str">
        <f t="shared" si="0"/>
        <v>2 hours</v>
      </c>
      <c r="E26" s="755">
        <v>43862</v>
      </c>
      <c r="F26" s="755">
        <v>43862</v>
      </c>
      <c r="G26" s="755">
        <v>43862</v>
      </c>
      <c r="H26" s="755">
        <v>43862</v>
      </c>
      <c r="I26" s="755">
        <v>43862</v>
      </c>
      <c r="J26" s="755">
        <v>43862</v>
      </c>
      <c r="K26" s="755">
        <v>43862</v>
      </c>
      <c r="L26" s="755">
        <v>43862</v>
      </c>
      <c r="M26" s="755">
        <v>44166</v>
      </c>
      <c r="N26" s="755"/>
      <c r="O26" s="755"/>
      <c r="P26" s="755" t="s">
        <v>620</v>
      </c>
      <c r="Q26"/>
      <c r="R26" s="5">
        <f t="shared" si="1"/>
        <v>9</v>
      </c>
      <c r="S26" s="5">
        <f t="shared" si="2"/>
        <v>5.1593333333333327</v>
      </c>
      <c r="T26" s="5">
        <f t="shared" si="3"/>
        <v>9</v>
      </c>
      <c r="U26" s="5">
        <f t="shared" si="4"/>
        <v>0</v>
      </c>
      <c r="V26" s="5">
        <f t="shared" si="5"/>
        <v>0</v>
      </c>
      <c r="W26" s="201">
        <f t="shared" si="6"/>
        <v>5</v>
      </c>
      <c r="X26" s="203" t="str">
        <f t="shared" si="7"/>
        <v>IR+HC</v>
      </c>
      <c r="Y26" s="201">
        <f t="shared" si="8"/>
        <v>5</v>
      </c>
      <c r="Z26" s="203" t="str">
        <f t="shared" si="9"/>
        <v>Discharge</v>
      </c>
      <c r="AA26" s="1389" t="str">
        <f>A26</f>
        <v>Edinburgh</v>
      </c>
      <c r="AB26" t="str">
        <f t="shared" si="10"/>
        <v>PECEH</v>
      </c>
    </row>
    <row r="27" spans="1:28">
      <c r="A27" s="100" t="str">
        <f>'Plant loading'!A23</f>
        <v>Edinburgh</v>
      </c>
      <c r="B27" s="100" t="str">
        <f>'Plant loading'!B23</f>
        <v>PEDEH</v>
      </c>
      <c r="C27" s="101">
        <f>('Plant loading'!E23*54.5)/1000</f>
        <v>49.704000000000001</v>
      </c>
      <c r="D27" s="102" t="str">
        <f t="shared" si="0"/>
        <v>2 hours</v>
      </c>
      <c r="E27" s="351">
        <v>43862</v>
      </c>
      <c r="F27" s="351">
        <v>43862</v>
      </c>
      <c r="G27" s="351">
        <v>43862</v>
      </c>
      <c r="H27" s="351">
        <v>43862</v>
      </c>
      <c r="I27" s="351">
        <v>43862</v>
      </c>
      <c r="J27" s="351">
        <v>43862</v>
      </c>
      <c r="K27" s="351">
        <v>43862</v>
      </c>
      <c r="L27" s="351">
        <v>43862</v>
      </c>
      <c r="M27" s="351">
        <v>44166</v>
      </c>
      <c r="N27" s="351"/>
      <c r="O27" s="351"/>
      <c r="P27" s="351" t="s">
        <v>620</v>
      </c>
      <c r="Q27"/>
      <c r="R27" s="5">
        <f t="shared" si="1"/>
        <v>9</v>
      </c>
      <c r="S27" s="5">
        <f t="shared" si="2"/>
        <v>5.5226666666666668</v>
      </c>
      <c r="T27" s="5">
        <f t="shared" si="3"/>
        <v>9</v>
      </c>
      <c r="U27" s="5">
        <f t="shared" si="4"/>
        <v>0</v>
      </c>
      <c r="V27" s="5">
        <f t="shared" si="5"/>
        <v>0</v>
      </c>
      <c r="W27" s="201">
        <f t="shared" si="6"/>
        <v>5</v>
      </c>
      <c r="X27" s="203" t="str">
        <f t="shared" si="7"/>
        <v>IR+HC</v>
      </c>
      <c r="Y27" s="201">
        <f t="shared" si="8"/>
        <v>5</v>
      </c>
      <c r="Z27" s="203" t="str">
        <f t="shared" si="9"/>
        <v>Discharge</v>
      </c>
      <c r="AA27" s="1389"/>
      <c r="AB27" t="str">
        <f t="shared" si="10"/>
        <v>PEDEH</v>
      </c>
    </row>
    <row r="28" spans="1:28">
      <c r="A28" s="100" t="str">
        <f>'Plant loading'!A24</f>
        <v>Edinburgh</v>
      </c>
      <c r="B28" s="100" t="str">
        <f>'Plant loading'!B24</f>
        <v>PEEEH</v>
      </c>
      <c r="C28" s="101">
        <f>('Plant loading'!E24*54.5)/1000</f>
        <v>48.014499999999998</v>
      </c>
      <c r="D28" s="102" t="str">
        <f t="shared" si="0"/>
        <v>2 hours</v>
      </c>
      <c r="E28" s="351">
        <v>43862</v>
      </c>
      <c r="F28" s="351">
        <v>43862</v>
      </c>
      <c r="G28" s="351">
        <v>43862</v>
      </c>
      <c r="H28" s="351">
        <v>43862</v>
      </c>
      <c r="I28" s="351">
        <v>43862</v>
      </c>
      <c r="J28" s="351">
        <v>43862</v>
      </c>
      <c r="K28" s="351">
        <v>43862</v>
      </c>
      <c r="L28" s="351">
        <v>43862</v>
      </c>
      <c r="M28" s="351">
        <v>44166</v>
      </c>
      <c r="N28" s="351"/>
      <c r="O28" s="351"/>
      <c r="P28" s="351" t="s">
        <v>620</v>
      </c>
      <c r="Q28"/>
      <c r="R28" s="5">
        <f t="shared" si="1"/>
        <v>9</v>
      </c>
      <c r="S28" s="5">
        <f t="shared" si="2"/>
        <v>5.334944444444444</v>
      </c>
      <c r="T28" s="5">
        <f t="shared" si="3"/>
        <v>9</v>
      </c>
      <c r="U28" s="5">
        <f t="shared" si="4"/>
        <v>0</v>
      </c>
      <c r="V28" s="5">
        <f t="shared" si="5"/>
        <v>0</v>
      </c>
      <c r="W28" s="201">
        <f t="shared" si="6"/>
        <v>5</v>
      </c>
      <c r="X28" s="203" t="str">
        <f t="shared" si="7"/>
        <v>IR+HC</v>
      </c>
      <c r="Y28" s="201">
        <f t="shared" si="8"/>
        <v>5</v>
      </c>
      <c r="Z28" s="203" t="str">
        <f t="shared" si="9"/>
        <v>Discharge</v>
      </c>
      <c r="AA28" s="1389"/>
      <c r="AB28" t="str">
        <f t="shared" si="10"/>
        <v>PEEEH</v>
      </c>
    </row>
    <row r="29" spans="1:28">
      <c r="A29" s="100" t="str">
        <f>'Plant loading'!A25</f>
        <v>Edinburgh</v>
      </c>
      <c r="B29" s="100" t="str">
        <f>'Plant loading'!B25</f>
        <v>PEFEH</v>
      </c>
      <c r="C29" s="101">
        <f>('Plant loading'!E25*54.5)/1000</f>
        <v>45.234999999999999</v>
      </c>
      <c r="D29" s="102" t="str">
        <f t="shared" si="0"/>
        <v>2.5 hours</v>
      </c>
      <c r="E29" s="351">
        <v>43862</v>
      </c>
      <c r="F29" s="351">
        <v>43862</v>
      </c>
      <c r="G29" s="351">
        <v>43862</v>
      </c>
      <c r="H29" s="351">
        <v>43862</v>
      </c>
      <c r="I29" s="351">
        <v>43862</v>
      </c>
      <c r="J29" s="351">
        <v>43862</v>
      </c>
      <c r="K29" s="351">
        <v>43862</v>
      </c>
      <c r="L29" s="351">
        <v>43862</v>
      </c>
      <c r="M29" s="351">
        <v>44166</v>
      </c>
      <c r="N29" s="351"/>
      <c r="O29" s="351"/>
      <c r="P29" s="351" t="s">
        <v>620</v>
      </c>
      <c r="Q29"/>
      <c r="R29" s="5">
        <f t="shared" si="1"/>
        <v>9</v>
      </c>
      <c r="S29" s="5">
        <f t="shared" si="2"/>
        <v>5.0261111111111108</v>
      </c>
      <c r="T29" s="5">
        <f t="shared" si="3"/>
        <v>10</v>
      </c>
      <c r="U29" s="5">
        <f t="shared" si="4"/>
        <v>0</v>
      </c>
      <c r="V29" s="5">
        <f t="shared" si="5"/>
        <v>0</v>
      </c>
      <c r="W29" s="201">
        <f t="shared" si="6"/>
        <v>5</v>
      </c>
      <c r="X29" s="203" t="str">
        <f t="shared" si="7"/>
        <v>IR+HC</v>
      </c>
      <c r="Y29" s="201">
        <f t="shared" si="8"/>
        <v>5</v>
      </c>
      <c r="Z29" s="203" t="str">
        <f t="shared" si="9"/>
        <v>Discharge</v>
      </c>
      <c r="AA29" s="1389"/>
      <c r="AB29" t="str">
        <f t="shared" si="10"/>
        <v>PEFEH</v>
      </c>
    </row>
    <row r="30" spans="1:28">
      <c r="A30" s="100" t="str">
        <f>'Plant loading'!A26</f>
        <v>Edinburgh</v>
      </c>
      <c r="B30" s="100" t="str">
        <f>'Plant loading'!B26</f>
        <v>PEGEH</v>
      </c>
      <c r="C30" s="101">
        <f>('Plant loading'!E26*54.5)/1000</f>
        <v>52.592500000000001</v>
      </c>
      <c r="D30" s="102" t="str">
        <f t="shared" si="0"/>
        <v>2 hours</v>
      </c>
      <c r="E30" s="351">
        <v>43891</v>
      </c>
      <c r="F30" s="351">
        <v>43891</v>
      </c>
      <c r="G30" s="351">
        <v>43891</v>
      </c>
      <c r="H30" s="351">
        <v>43891</v>
      </c>
      <c r="I30" s="351">
        <v>43891</v>
      </c>
      <c r="J30" s="351">
        <v>43891</v>
      </c>
      <c r="K30" s="351">
        <v>43891</v>
      </c>
      <c r="L30" s="351">
        <v>43891</v>
      </c>
      <c r="M30" s="351">
        <v>44166</v>
      </c>
      <c r="N30" s="351"/>
      <c r="O30" s="351"/>
      <c r="P30" s="351" t="s">
        <v>620</v>
      </c>
      <c r="Q30"/>
      <c r="R30" s="5">
        <f t="shared" si="1"/>
        <v>9</v>
      </c>
      <c r="S30" s="5">
        <f t="shared" si="2"/>
        <v>5.8436111111111115</v>
      </c>
      <c r="T30" s="5">
        <f t="shared" si="3"/>
        <v>9</v>
      </c>
      <c r="U30" s="5">
        <f t="shared" si="4"/>
        <v>0</v>
      </c>
      <c r="V30" s="5">
        <f t="shared" si="5"/>
        <v>0</v>
      </c>
      <c r="W30" s="201">
        <f t="shared" si="6"/>
        <v>5</v>
      </c>
      <c r="X30" s="203" t="str">
        <f t="shared" si="7"/>
        <v>IR+HC</v>
      </c>
      <c r="Y30" s="201">
        <f t="shared" si="8"/>
        <v>5</v>
      </c>
      <c r="Z30" s="203" t="str">
        <f t="shared" si="9"/>
        <v>Discharge</v>
      </c>
      <c r="AA30" s="1389"/>
      <c r="AB30" t="str">
        <f t="shared" si="10"/>
        <v>PEGEH</v>
      </c>
    </row>
    <row r="31" spans="1:28">
      <c r="A31" s="756" t="s">
        <v>75</v>
      </c>
      <c r="B31" s="756" t="s">
        <v>85</v>
      </c>
      <c r="C31" s="757">
        <f>('Plant loading'!E27*54.5)/1000</f>
        <v>48.1235</v>
      </c>
      <c r="D31" s="758" t="str">
        <f t="shared" si="0"/>
        <v>2 hours</v>
      </c>
      <c r="E31" s="759">
        <v>43891</v>
      </c>
      <c r="F31" s="759">
        <v>43891</v>
      </c>
      <c r="G31" s="759">
        <v>43891</v>
      </c>
      <c r="H31" s="759">
        <v>43891</v>
      </c>
      <c r="I31" s="759">
        <v>43891</v>
      </c>
      <c r="J31" s="759">
        <v>43891</v>
      </c>
      <c r="K31" s="759">
        <v>43891</v>
      </c>
      <c r="L31" s="759">
        <v>43891</v>
      </c>
      <c r="M31" s="351">
        <v>44166</v>
      </c>
      <c r="N31" s="759"/>
      <c r="O31" s="759"/>
      <c r="P31" s="759" t="s">
        <v>620</v>
      </c>
      <c r="Q31"/>
      <c r="R31" s="5">
        <f t="shared" si="1"/>
        <v>9</v>
      </c>
      <c r="S31" s="5">
        <f t="shared" si="2"/>
        <v>5.3470555555555555</v>
      </c>
      <c r="T31" s="5">
        <f t="shared" si="3"/>
        <v>9</v>
      </c>
      <c r="U31" s="5">
        <f t="shared" si="4"/>
        <v>0</v>
      </c>
      <c r="V31" s="5">
        <f t="shared" si="5"/>
        <v>0</v>
      </c>
      <c r="W31" s="201">
        <f t="shared" si="6"/>
        <v>5</v>
      </c>
      <c r="X31" s="203" t="str">
        <f t="shared" si="7"/>
        <v>IR+HC</v>
      </c>
      <c r="Y31" s="201">
        <f t="shared" si="8"/>
        <v>5</v>
      </c>
      <c r="Z31" s="203" t="str">
        <f t="shared" si="9"/>
        <v>Discharge</v>
      </c>
      <c r="AA31" s="810"/>
      <c r="AB31" t="str">
        <f t="shared" si="10"/>
        <v>PEHEH</v>
      </c>
    </row>
    <row r="32" spans="1:28">
      <c r="A32" s="760" t="str">
        <f>'Plant loading'!A28</f>
        <v>Esher</v>
      </c>
      <c r="B32" s="760" t="str">
        <f>'Plant loading'!B28</f>
        <v>PEDER</v>
      </c>
      <c r="C32" s="761">
        <f>('Plant loading'!E28*54.5)/1000</f>
        <v>22.89</v>
      </c>
      <c r="D32" s="762" t="str">
        <f t="shared" si="0"/>
        <v>5 hours</v>
      </c>
      <c r="E32" s="755">
        <v>43831</v>
      </c>
      <c r="F32" s="755">
        <v>43831</v>
      </c>
      <c r="G32" s="755">
        <v>43831</v>
      </c>
      <c r="H32" s="755">
        <v>43831</v>
      </c>
      <c r="I32" s="755">
        <v>43831</v>
      </c>
      <c r="J32" s="755">
        <v>43831</v>
      </c>
      <c r="K32" s="755">
        <v>43831</v>
      </c>
      <c r="L32" s="755">
        <v>43831</v>
      </c>
      <c r="M32" s="755">
        <v>43831</v>
      </c>
      <c r="N32" s="755"/>
      <c r="O32" s="755"/>
      <c r="P32" s="755" t="s">
        <v>620</v>
      </c>
      <c r="Q32" s="328"/>
      <c r="R32" s="5">
        <f t="shared" si="1"/>
        <v>9</v>
      </c>
      <c r="S32" s="5">
        <f t="shared" si="2"/>
        <v>2.5433333333333334</v>
      </c>
      <c r="T32" s="5">
        <f t="shared" si="3"/>
        <v>13</v>
      </c>
      <c r="U32" s="5">
        <f t="shared" si="4"/>
        <v>0</v>
      </c>
      <c r="V32" s="5">
        <f t="shared" si="5"/>
        <v>0</v>
      </c>
      <c r="W32" s="201">
        <f>MATCH($M32,$B$177:$Q$177,1)</f>
        <v>5</v>
      </c>
      <c r="X32" s="202" t="str">
        <f t="shared" si="7"/>
        <v>IR+HC</v>
      </c>
      <c r="Y32" s="201">
        <f>MATCH($M32,$B$183:$S$183,1)</f>
        <v>5</v>
      </c>
      <c r="Z32" s="202" t="str">
        <f t="shared" si="9"/>
        <v>Discharge</v>
      </c>
      <c r="AA32" s="1388" t="str">
        <f>A32</f>
        <v>Esher</v>
      </c>
      <c r="AB32" t="str">
        <f t="shared" si="10"/>
        <v>PEDER</v>
      </c>
    </row>
    <row r="33" spans="1:28">
      <c r="A33" s="97" t="str">
        <f>'Plant loading'!A29</f>
        <v>Esher</v>
      </c>
      <c r="B33" s="97" t="str">
        <f>'Plant loading'!B29</f>
        <v>PEEER</v>
      </c>
      <c r="C33" s="98">
        <f>('Plant loading'!E29*54.5)/1000</f>
        <v>18.9115</v>
      </c>
      <c r="D33" s="99" t="str">
        <f t="shared" si="0"/>
        <v>7 hours</v>
      </c>
      <c r="E33" s="351">
        <v>43831</v>
      </c>
      <c r="F33" s="351">
        <v>43831</v>
      </c>
      <c r="G33" s="351">
        <v>43831</v>
      </c>
      <c r="H33" s="351">
        <v>43831</v>
      </c>
      <c r="I33" s="351">
        <v>43831</v>
      </c>
      <c r="J33" s="351">
        <v>43831</v>
      </c>
      <c r="K33" s="351">
        <v>43831</v>
      </c>
      <c r="L33" s="351">
        <v>43831</v>
      </c>
      <c r="M33" s="351">
        <v>43831</v>
      </c>
      <c r="N33" s="351"/>
      <c r="O33" s="351"/>
      <c r="P33" s="351" t="s">
        <v>620</v>
      </c>
      <c r="Q33"/>
      <c r="R33" s="5">
        <f t="shared" si="1"/>
        <v>9</v>
      </c>
      <c r="S33" s="5">
        <f t="shared" si="2"/>
        <v>2.1012777777777778</v>
      </c>
      <c r="T33" s="5">
        <f t="shared" si="3"/>
        <v>15</v>
      </c>
      <c r="U33" s="5">
        <f t="shared" si="4"/>
        <v>0</v>
      </c>
      <c r="V33" s="5">
        <f t="shared" si="5"/>
        <v>0</v>
      </c>
      <c r="W33" s="201">
        <f t="shared" ref="W33:W40" si="11">MATCH($E33,$B$177:$Q$177,1)</f>
        <v>5</v>
      </c>
      <c r="X33" s="202" t="str">
        <f t="shared" si="7"/>
        <v>IR+HC</v>
      </c>
      <c r="Y33" s="201">
        <f t="shared" ref="Y33:Y40" si="12">MATCH($E33,$B$183:$S$183,1)</f>
        <v>5</v>
      </c>
      <c r="Z33" s="202" t="str">
        <f t="shared" si="9"/>
        <v>Discharge</v>
      </c>
      <c r="AA33" s="1388"/>
      <c r="AB33" t="str">
        <f t="shared" si="10"/>
        <v>PEEER</v>
      </c>
    </row>
    <row r="34" spans="1:28">
      <c r="A34" s="97" t="str">
        <f>'Plant loading'!A30</f>
        <v>Esher</v>
      </c>
      <c r="B34" s="97" t="str">
        <f>'Plant loading'!B30</f>
        <v>PEFER</v>
      </c>
      <c r="C34" s="98">
        <f>('Plant loading'!E30*54.5)/1000</f>
        <v>23.762</v>
      </c>
      <c r="D34" s="99" t="str">
        <f t="shared" si="0"/>
        <v>5 hours</v>
      </c>
      <c r="E34" s="351">
        <v>43862</v>
      </c>
      <c r="F34" s="351">
        <v>43862</v>
      </c>
      <c r="G34" s="351">
        <v>43862</v>
      </c>
      <c r="H34" s="351">
        <v>43862</v>
      </c>
      <c r="I34" s="351">
        <v>43862</v>
      </c>
      <c r="J34" s="351">
        <v>43862</v>
      </c>
      <c r="K34" s="351">
        <v>43862</v>
      </c>
      <c r="L34" s="351">
        <v>43862</v>
      </c>
      <c r="M34" s="351">
        <v>43862</v>
      </c>
      <c r="N34" s="351"/>
      <c r="O34" s="351"/>
      <c r="P34" s="351" t="s">
        <v>620</v>
      </c>
      <c r="Q34"/>
      <c r="R34" s="5">
        <f t="shared" si="1"/>
        <v>9</v>
      </c>
      <c r="S34" s="5">
        <f t="shared" si="2"/>
        <v>2.6402222222222225</v>
      </c>
      <c r="T34" s="5">
        <f t="shared" si="3"/>
        <v>13</v>
      </c>
      <c r="U34" s="5">
        <f t="shared" si="4"/>
        <v>0</v>
      </c>
      <c r="V34" s="5">
        <f t="shared" si="5"/>
        <v>0</v>
      </c>
      <c r="W34" s="201">
        <f t="shared" si="11"/>
        <v>5</v>
      </c>
      <c r="X34" s="202" t="str">
        <f t="shared" si="7"/>
        <v>IR+HC</v>
      </c>
      <c r="Y34" s="201">
        <f t="shared" si="12"/>
        <v>5</v>
      </c>
      <c r="Z34" s="202" t="str">
        <f t="shared" si="9"/>
        <v>Discharge</v>
      </c>
      <c r="AA34" s="1388"/>
      <c r="AB34" t="str">
        <f t="shared" si="10"/>
        <v>PEFER</v>
      </c>
    </row>
    <row r="35" spans="1:28">
      <c r="A35" s="97" t="str">
        <f>'Plant loading'!A31</f>
        <v>Esher</v>
      </c>
      <c r="B35" s="97" t="str">
        <f>'Plant loading'!B31</f>
        <v>PEGER</v>
      </c>
      <c r="C35" s="98">
        <f>('Plant loading'!E31*54.5)/1000</f>
        <v>17.004000000000001</v>
      </c>
      <c r="D35" s="99" t="str">
        <f t="shared" si="0"/>
        <v>8 hours</v>
      </c>
      <c r="E35" s="351">
        <v>43862</v>
      </c>
      <c r="F35" s="351">
        <v>43862</v>
      </c>
      <c r="G35" s="351">
        <v>43862</v>
      </c>
      <c r="H35" s="351">
        <v>43862</v>
      </c>
      <c r="I35" s="351">
        <v>43862</v>
      </c>
      <c r="J35" s="351">
        <v>43862</v>
      </c>
      <c r="K35" s="351">
        <v>43862</v>
      </c>
      <c r="L35" s="351">
        <v>43862</v>
      </c>
      <c r="M35" s="351">
        <v>43862</v>
      </c>
      <c r="N35" s="351"/>
      <c r="O35" s="351"/>
      <c r="P35" s="351" t="s">
        <v>620</v>
      </c>
      <c r="Q35"/>
      <c r="R35" s="5">
        <f t="shared" si="1"/>
        <v>9</v>
      </c>
      <c r="S35" s="5">
        <f t="shared" si="2"/>
        <v>1.8893333333333335</v>
      </c>
      <c r="T35" s="5">
        <f t="shared" si="3"/>
        <v>16</v>
      </c>
      <c r="U35" s="5">
        <f t="shared" si="4"/>
        <v>0</v>
      </c>
      <c r="V35" s="5">
        <f t="shared" si="5"/>
        <v>0</v>
      </c>
      <c r="W35" s="201">
        <f t="shared" si="11"/>
        <v>5</v>
      </c>
      <c r="X35" s="202" t="str">
        <f t="shared" si="7"/>
        <v>IR+HC</v>
      </c>
      <c r="Y35" s="201">
        <f t="shared" si="12"/>
        <v>5</v>
      </c>
      <c r="Z35" s="202" t="str">
        <f t="shared" si="9"/>
        <v>Discharge</v>
      </c>
      <c r="AA35" s="1388"/>
      <c r="AB35" t="str">
        <f t="shared" si="10"/>
        <v>PEGER</v>
      </c>
    </row>
    <row r="36" spans="1:28">
      <c r="A36" s="752" t="str">
        <f>'Plant loading'!A32</f>
        <v>Gloucester</v>
      </c>
      <c r="B36" s="752" t="str">
        <f>'Plant loading'!B32</f>
        <v>PEAGR</v>
      </c>
      <c r="C36" s="753">
        <f>('Plant loading'!E32*54.5)/1000</f>
        <v>35.207000000000001</v>
      </c>
      <c r="D36" s="754" t="str">
        <f t="shared" si="0"/>
        <v>3 hours</v>
      </c>
      <c r="E36" s="755">
        <v>44866</v>
      </c>
      <c r="F36" s="755">
        <v>44866</v>
      </c>
      <c r="G36" s="755">
        <v>44866</v>
      </c>
      <c r="H36" s="755">
        <v>44866</v>
      </c>
      <c r="I36" s="755">
        <v>44866</v>
      </c>
      <c r="J36" s="755">
        <v>44866</v>
      </c>
      <c r="K36" s="755">
        <v>44866</v>
      </c>
      <c r="L36" s="755">
        <v>44866</v>
      </c>
      <c r="M36" s="755">
        <v>44866</v>
      </c>
      <c r="N36" s="755"/>
      <c r="O36" s="755"/>
      <c r="P36" s="755" t="s">
        <v>620</v>
      </c>
      <c r="Q36"/>
      <c r="R36" s="5">
        <f t="shared" si="1"/>
        <v>9</v>
      </c>
      <c r="S36" s="5">
        <f t="shared" si="2"/>
        <v>3.911888888888889</v>
      </c>
      <c r="T36" s="5">
        <f t="shared" si="3"/>
        <v>11</v>
      </c>
      <c r="U36" s="5">
        <f t="shared" si="4"/>
        <v>0</v>
      </c>
      <c r="V36" s="5">
        <f t="shared" si="5"/>
        <v>0</v>
      </c>
      <c r="W36" s="201">
        <f t="shared" si="11"/>
        <v>11</v>
      </c>
      <c r="X36" s="203" t="str">
        <f t="shared" si="7"/>
        <v>Discharge</v>
      </c>
      <c r="Y36" s="201">
        <f t="shared" si="12"/>
        <v>11</v>
      </c>
      <c r="Z36" s="203" t="str">
        <f t="shared" si="9"/>
        <v>IR+HC</v>
      </c>
      <c r="AA36" s="1389" t="str">
        <f>A36</f>
        <v>Gloucester</v>
      </c>
      <c r="AB36" t="str">
        <f t="shared" si="10"/>
        <v>PEAGR</v>
      </c>
    </row>
    <row r="37" spans="1:28">
      <c r="A37" s="100" t="str">
        <f>'Plant loading'!A33</f>
        <v>Gloucester</v>
      </c>
      <c r="B37" s="100" t="str">
        <f>'Plant loading'!B33</f>
        <v>PEBGR</v>
      </c>
      <c r="C37" s="101">
        <f>('Plant loading'!E33*54.5)/1000</f>
        <v>41.692500000000003</v>
      </c>
      <c r="D37" s="102" t="str">
        <f t="shared" si="0"/>
        <v>2.5 hours</v>
      </c>
      <c r="E37" s="351">
        <v>44866</v>
      </c>
      <c r="F37" s="351">
        <v>44866</v>
      </c>
      <c r="G37" s="351">
        <v>44866</v>
      </c>
      <c r="H37" s="351">
        <v>44866</v>
      </c>
      <c r="I37" s="351">
        <v>44866</v>
      </c>
      <c r="J37" s="351">
        <v>44866</v>
      </c>
      <c r="K37" s="351">
        <v>44866</v>
      </c>
      <c r="L37" s="351">
        <v>44866</v>
      </c>
      <c r="M37" s="351">
        <v>44866</v>
      </c>
      <c r="N37" s="351"/>
      <c r="O37" s="351"/>
      <c r="P37" s="351" t="s">
        <v>620</v>
      </c>
      <c r="Q37"/>
      <c r="R37" s="5">
        <f t="shared" si="1"/>
        <v>9</v>
      </c>
      <c r="S37" s="5">
        <f t="shared" si="2"/>
        <v>4.6325000000000003</v>
      </c>
      <c r="T37" s="5">
        <f t="shared" si="3"/>
        <v>10</v>
      </c>
      <c r="U37" s="5">
        <f t="shared" si="4"/>
        <v>0</v>
      </c>
      <c r="V37" s="5">
        <f t="shared" si="5"/>
        <v>0</v>
      </c>
      <c r="W37" s="201">
        <f t="shared" si="11"/>
        <v>11</v>
      </c>
      <c r="X37" s="203" t="str">
        <f t="shared" si="7"/>
        <v>Discharge</v>
      </c>
      <c r="Y37" s="201">
        <f t="shared" si="12"/>
        <v>11</v>
      </c>
      <c r="Z37" s="203" t="str">
        <f t="shared" si="9"/>
        <v>IR+HC</v>
      </c>
      <c r="AA37" s="1389"/>
      <c r="AB37" t="str">
        <f t="shared" si="10"/>
        <v>PEBGR</v>
      </c>
    </row>
    <row r="38" spans="1:28">
      <c r="A38" s="100" t="str">
        <f>'Plant loading'!A34</f>
        <v>Gloucester</v>
      </c>
      <c r="B38" s="100" t="str">
        <f>'Plant loading'!B34</f>
        <v>PECGR</v>
      </c>
      <c r="C38" s="101">
        <f>('Plant loading'!E34*54.5)/1000</f>
        <v>39.021999999999998</v>
      </c>
      <c r="D38" s="102" t="str">
        <f t="shared" si="0"/>
        <v>3 hours</v>
      </c>
      <c r="E38" s="351">
        <v>44866</v>
      </c>
      <c r="F38" s="351">
        <v>44866</v>
      </c>
      <c r="G38" s="351">
        <v>44866</v>
      </c>
      <c r="H38" s="351">
        <v>44866</v>
      </c>
      <c r="I38" s="351">
        <v>44866</v>
      </c>
      <c r="J38" s="351">
        <v>44866</v>
      </c>
      <c r="K38" s="351">
        <v>44866</v>
      </c>
      <c r="L38" s="351">
        <v>44866</v>
      </c>
      <c r="M38" s="351">
        <v>44866</v>
      </c>
      <c r="N38" s="351"/>
      <c r="O38" s="351"/>
      <c r="P38" s="351" t="s">
        <v>620</v>
      </c>
      <c r="Q38"/>
      <c r="R38" s="5">
        <f t="shared" si="1"/>
        <v>9</v>
      </c>
      <c r="S38" s="5">
        <f t="shared" si="2"/>
        <v>4.3357777777777775</v>
      </c>
      <c r="T38" s="5">
        <f t="shared" si="3"/>
        <v>11</v>
      </c>
      <c r="U38" s="5">
        <f t="shared" si="4"/>
        <v>0</v>
      </c>
      <c r="V38" s="5">
        <f t="shared" si="5"/>
        <v>0</v>
      </c>
      <c r="W38" s="201">
        <f t="shared" si="11"/>
        <v>11</v>
      </c>
      <c r="X38" s="203" t="str">
        <f t="shared" si="7"/>
        <v>Discharge</v>
      </c>
      <c r="Y38" s="201">
        <f t="shared" si="12"/>
        <v>11</v>
      </c>
      <c r="Z38" s="203" t="str">
        <f t="shared" si="9"/>
        <v>IR+HC</v>
      </c>
      <c r="AA38" s="1389"/>
      <c r="AB38" t="str">
        <f t="shared" si="10"/>
        <v>PECGR</v>
      </c>
    </row>
    <row r="39" spans="1:28">
      <c r="A39" s="100" t="str">
        <f>'Plant loading'!A35</f>
        <v>Gloucester</v>
      </c>
      <c r="B39" s="100" t="str">
        <f>'Plant loading'!B35</f>
        <v>PEDGR</v>
      </c>
      <c r="C39" s="101">
        <f>('Plant loading'!E35*54.5)/1000</f>
        <v>38.749499999999998</v>
      </c>
      <c r="D39" s="102" t="str">
        <f t="shared" si="0"/>
        <v>3 hours</v>
      </c>
      <c r="E39" s="351">
        <v>44409</v>
      </c>
      <c r="F39" s="351">
        <v>44409</v>
      </c>
      <c r="G39" s="351">
        <v>44409</v>
      </c>
      <c r="H39" s="351">
        <v>44409</v>
      </c>
      <c r="I39" s="351">
        <v>44409</v>
      </c>
      <c r="J39" s="351">
        <v>44409</v>
      </c>
      <c r="K39" s="351">
        <v>44409</v>
      </c>
      <c r="L39" s="351">
        <v>44409</v>
      </c>
      <c r="M39" s="351">
        <v>44409</v>
      </c>
      <c r="N39" s="351"/>
      <c r="O39" s="351"/>
      <c r="P39" s="530" t="s">
        <v>620</v>
      </c>
      <c r="Q39"/>
      <c r="R39" s="5">
        <f t="shared" si="1"/>
        <v>9</v>
      </c>
      <c r="S39" s="5">
        <f t="shared" si="2"/>
        <v>4.3054999999999994</v>
      </c>
      <c r="T39" s="5">
        <f t="shared" si="3"/>
        <v>11</v>
      </c>
      <c r="U39" s="5">
        <f t="shared" si="4"/>
        <v>0</v>
      </c>
      <c r="V39" s="5">
        <f t="shared" si="5"/>
        <v>0</v>
      </c>
      <c r="W39" s="201">
        <f t="shared" si="11"/>
        <v>9</v>
      </c>
      <c r="X39" s="203" t="str">
        <f t="shared" si="7"/>
        <v>IR+HC</v>
      </c>
      <c r="Y39" s="201">
        <f t="shared" si="12"/>
        <v>9</v>
      </c>
      <c r="Z39" s="203" t="str">
        <f t="shared" si="9"/>
        <v>Discharge</v>
      </c>
      <c r="AA39" s="1389"/>
      <c r="AB39" t="str">
        <f t="shared" si="10"/>
        <v>PEDGR</v>
      </c>
    </row>
    <row r="40" spans="1:28">
      <c r="A40" s="100" t="str">
        <f>'Plant loading'!A36</f>
        <v>Gloucester</v>
      </c>
      <c r="B40" s="100" t="str">
        <f>'Plant loading'!B36</f>
        <v>PEEGR</v>
      </c>
      <c r="C40" s="101">
        <f>('Plant loading'!E36*54.5)/1000</f>
        <v>38.531500000000001</v>
      </c>
      <c r="D40" s="102" t="str">
        <f t="shared" ref="D40:D48" si="13">CHOOSE(T40,$C$130,$D$130,$E$130,$F$130,$G$130,$H$130,$I$130,$J$130,$K$130,$L$130,$M$130,$N$130,$O$130,$P$130,$Q$130,$R$130)</f>
        <v>3 hours</v>
      </c>
      <c r="E40" s="351">
        <v>44866</v>
      </c>
      <c r="F40" s="351">
        <v>44866</v>
      </c>
      <c r="G40" s="351">
        <v>44866</v>
      </c>
      <c r="H40" s="351">
        <v>44866</v>
      </c>
      <c r="I40" s="351">
        <v>44866</v>
      </c>
      <c r="J40" s="351">
        <v>44866</v>
      </c>
      <c r="K40" s="351">
        <v>44866</v>
      </c>
      <c r="L40" s="351">
        <v>44866</v>
      </c>
      <c r="M40" s="351">
        <v>44866</v>
      </c>
      <c r="N40" s="351"/>
      <c r="O40" s="351"/>
      <c r="P40" s="351" t="s">
        <v>620</v>
      </c>
      <c r="Q40"/>
      <c r="R40" s="5">
        <f t="shared" ref="R40:R79" si="14">COUNT(E40:P40)</f>
        <v>9</v>
      </c>
      <c r="S40" s="5">
        <f t="shared" ref="S40:S79" si="15">C40/R40</f>
        <v>4.2812777777777775</v>
      </c>
      <c r="T40" s="5">
        <f>MATCH(S40,$C$134:$R$134,-1)</f>
        <v>11</v>
      </c>
      <c r="U40" s="5">
        <f t="shared" ref="U40:U79" si="16">COUNTIFS(E40:P40,"&gt;="&amp;$D$3,E40:P40,"&lt;="&amp;$E$3)</f>
        <v>0</v>
      </c>
      <c r="V40" s="5">
        <f t="shared" ref="V40:V79" si="17">COUNTIFS(E40:P40,"&lt;="&amp;$E$2)</f>
        <v>0</v>
      </c>
      <c r="W40" s="201">
        <f t="shared" si="11"/>
        <v>11</v>
      </c>
      <c r="X40" s="203" t="str">
        <f>CHOOSE(ROUNDUP((W40/2),0),$B$179,$D$179,$F$179,$H$179,$J$179,$L$179,$N$179,$P$179)</f>
        <v>Discharge</v>
      </c>
      <c r="Y40" s="201">
        <f t="shared" si="12"/>
        <v>11</v>
      </c>
      <c r="Z40" s="203" t="str">
        <f>CHOOSE(ROUNDUP((Y40/2),0),$B$185,$D$185,$F$185,$H$185,$J$185,$L$185,$N$185,$P$185,$R$185)</f>
        <v>IR+HC</v>
      </c>
      <c r="AA40" s="1389"/>
      <c r="AB40" t="str">
        <f t="shared" si="10"/>
        <v>PEEGR</v>
      </c>
    </row>
    <row r="41" spans="1:28">
      <c r="A41" s="100" t="str">
        <f>'Plant loading'!A37</f>
        <v>Gloucester</v>
      </c>
      <c r="B41" s="100" t="str">
        <f>'Plant loading'!B37</f>
        <v>GCRMTX-DCSYS06a</v>
      </c>
      <c r="C41" s="101">
        <f>('Plant loading'!E37*54.5)/1000</f>
        <v>34.771000000000001</v>
      </c>
      <c r="D41" s="102" t="str">
        <f t="shared" si="13"/>
        <v>1.5 hours</v>
      </c>
      <c r="E41" s="351">
        <v>44621</v>
      </c>
      <c r="F41" s="351">
        <v>44621</v>
      </c>
      <c r="G41" s="351">
        <v>44621</v>
      </c>
      <c r="H41" s="351">
        <v>44621</v>
      </c>
      <c r="I41" s="351">
        <v>44621</v>
      </c>
      <c r="J41" s="351"/>
      <c r="K41" s="351"/>
      <c r="L41" s="351"/>
      <c r="M41" s="351"/>
      <c r="N41" s="351"/>
      <c r="O41" s="351"/>
      <c r="P41" s="351" t="s">
        <v>620</v>
      </c>
      <c r="Q41"/>
      <c r="R41" s="5">
        <f t="shared" ref="R41:R42" si="18">COUNT(E41:P41)</f>
        <v>5</v>
      </c>
      <c r="S41" s="5">
        <f t="shared" ref="S41:S42" si="19">C41/R41</f>
        <v>6.9542000000000002</v>
      </c>
      <c r="T41" s="5">
        <f t="shared" ref="T41:T42" si="20">MATCH(S41,$C$134:$R$134,-1)</f>
        <v>8</v>
      </c>
      <c r="U41" s="5">
        <f t="shared" ref="U41:U42" si="21">COUNTIFS(E41:P41,"&gt;="&amp;$D$3,E41:P41,"&lt;="&amp;$E$3)</f>
        <v>0</v>
      </c>
      <c r="V41" s="5">
        <f t="shared" ref="V41:V42" si="22">COUNTIFS(E41:P41,"&lt;="&amp;$E$2)</f>
        <v>0</v>
      </c>
      <c r="W41" s="201"/>
      <c r="X41" s="203"/>
      <c r="Y41" s="201"/>
      <c r="Z41" s="203"/>
      <c r="AA41" s="810"/>
      <c r="AB41" t="str">
        <f t="shared" si="10"/>
        <v>GCRMTX-DCSYS06a</v>
      </c>
    </row>
    <row r="42" spans="1:28">
      <c r="A42" s="100" t="str">
        <f>'Plant loading'!A38</f>
        <v>Gloucester</v>
      </c>
      <c r="B42" s="100" t="str">
        <f>'Plant loading'!B38</f>
        <v>GCRMTX-DCSYS06b</v>
      </c>
      <c r="C42" s="101">
        <f>('Plant loading'!E38*54.5)/1000</f>
        <v>32.536499999999997</v>
      </c>
      <c r="D42" s="102" t="str">
        <f t="shared" si="13"/>
        <v>1.5 hours</v>
      </c>
      <c r="E42" s="351">
        <v>44621</v>
      </c>
      <c r="F42" s="351">
        <v>44621</v>
      </c>
      <c r="G42" s="351">
        <v>44621</v>
      </c>
      <c r="H42" s="351">
        <v>44621</v>
      </c>
      <c r="I42" s="351">
        <v>44621</v>
      </c>
      <c r="J42" s="351"/>
      <c r="K42" s="351"/>
      <c r="L42" s="351"/>
      <c r="M42" s="351"/>
      <c r="N42" s="351"/>
      <c r="O42" s="351"/>
      <c r="P42" s="351" t="s">
        <v>620</v>
      </c>
      <c r="Q42"/>
      <c r="R42" s="5">
        <f t="shared" si="18"/>
        <v>5</v>
      </c>
      <c r="S42" s="5">
        <f t="shared" si="19"/>
        <v>6.507299999999999</v>
      </c>
      <c r="T42" s="5">
        <f t="shared" si="20"/>
        <v>8</v>
      </c>
      <c r="U42" s="5">
        <f t="shared" si="21"/>
        <v>0</v>
      </c>
      <c r="V42" s="5">
        <f t="shared" si="22"/>
        <v>0</v>
      </c>
      <c r="W42" s="201"/>
      <c r="X42" s="203"/>
      <c r="Y42" s="201"/>
      <c r="Z42" s="203"/>
      <c r="AA42" s="810"/>
      <c r="AB42" t="str">
        <f t="shared" si="10"/>
        <v>GCRMTX-DCSYS06b</v>
      </c>
    </row>
    <row r="43" spans="1:28">
      <c r="A43" s="760" t="str">
        <f>'Plant loading'!A39</f>
        <v>Gravelly Hill</v>
      </c>
      <c r="B43" s="760" t="str">
        <f>'Plant loading'!B39</f>
        <v>BMGMTX-DCSYS01</v>
      </c>
      <c r="C43" s="761">
        <f>('Plant loading'!E39*54.5)/1000</f>
        <v>40.548000000000002</v>
      </c>
      <c r="D43" s="762" t="str">
        <f t="shared" si="13"/>
        <v>2.5 hours</v>
      </c>
      <c r="E43" s="755">
        <v>45078</v>
      </c>
      <c r="F43" s="755">
        <v>45078</v>
      </c>
      <c r="G43" s="755">
        <v>45078</v>
      </c>
      <c r="H43" s="755">
        <v>45078</v>
      </c>
      <c r="I43" s="755">
        <v>45078</v>
      </c>
      <c r="J43" s="755">
        <v>45078</v>
      </c>
      <c r="K43" s="755">
        <v>45078</v>
      </c>
      <c r="L43" s="755">
        <v>45078</v>
      </c>
      <c r="M43" s="755">
        <v>45078</v>
      </c>
      <c r="N43" s="755"/>
      <c r="O43" s="755"/>
      <c r="P43" s="755" t="s">
        <v>620</v>
      </c>
      <c r="Q43"/>
      <c r="R43" s="5">
        <f t="shared" si="14"/>
        <v>9</v>
      </c>
      <c r="S43" s="5">
        <f t="shared" si="15"/>
        <v>4.5053333333333336</v>
      </c>
      <c r="T43" s="5">
        <f t="shared" ref="T43:T48" si="23">MATCH(S43,$C$134:$R$134,-1)</f>
        <v>10</v>
      </c>
      <c r="U43" s="5">
        <f t="shared" si="16"/>
        <v>0</v>
      </c>
      <c r="V43" s="5">
        <f t="shared" si="17"/>
        <v>0</v>
      </c>
      <c r="W43" s="201">
        <f t="shared" ref="W43:W48" si="24">MATCH($E43,$B$177:$Q$177,1)</f>
        <v>13</v>
      </c>
      <c r="X43" s="202" t="str">
        <f t="shared" ref="X43:X48" si="25">CHOOSE(ROUNDUP((W43/2),0),$B$179,$D$179,$F$179,$H$179,$J$179,$L$179,$N$179,$P$179)</f>
        <v>IR+HC</v>
      </c>
      <c r="Y43" s="201">
        <f t="shared" ref="Y43:Y48" si="26">MATCH($E43,$B$183:$S$183,1)</f>
        <v>13</v>
      </c>
      <c r="Z43" s="202"/>
      <c r="AA43" s="1388" t="str">
        <f>A43</f>
        <v>Gravelly Hill</v>
      </c>
      <c r="AB43" t="str">
        <f t="shared" si="10"/>
        <v>BMGMTX-DCSYS01</v>
      </c>
    </row>
    <row r="44" spans="1:28">
      <c r="A44" s="97" t="str">
        <f>'Plant loading'!A40</f>
        <v>Gravelly Hill</v>
      </c>
      <c r="B44" s="97" t="str">
        <f>'Plant loading'!B40</f>
        <v>BMGMTX-DCSYS02</v>
      </c>
      <c r="C44" s="98">
        <f>('Plant loading'!E40*54.5)/1000</f>
        <v>41.747</v>
      </c>
      <c r="D44" s="99" t="str">
        <f t="shared" si="13"/>
        <v>2.5 hours</v>
      </c>
      <c r="E44" s="351">
        <v>45078</v>
      </c>
      <c r="F44" s="351">
        <v>45078</v>
      </c>
      <c r="G44" s="351">
        <v>45078</v>
      </c>
      <c r="H44" s="351">
        <v>45078</v>
      </c>
      <c r="I44" s="351">
        <v>45078</v>
      </c>
      <c r="J44" s="351">
        <v>45078</v>
      </c>
      <c r="K44" s="351">
        <v>45078</v>
      </c>
      <c r="L44" s="351">
        <v>45078</v>
      </c>
      <c r="M44" s="351">
        <v>45078</v>
      </c>
      <c r="N44" s="351"/>
      <c r="O44" s="351"/>
      <c r="P44" s="351" t="s">
        <v>620</v>
      </c>
      <c r="Q44"/>
      <c r="R44" s="5">
        <f t="shared" si="14"/>
        <v>9</v>
      </c>
      <c r="S44" s="5">
        <f t="shared" si="15"/>
        <v>4.6385555555555555</v>
      </c>
      <c r="T44" s="5">
        <f t="shared" si="23"/>
        <v>10</v>
      </c>
      <c r="U44" s="5">
        <f t="shared" si="16"/>
        <v>0</v>
      </c>
      <c r="V44" s="5">
        <f t="shared" si="17"/>
        <v>0</v>
      </c>
      <c r="W44" s="201">
        <f t="shared" si="24"/>
        <v>13</v>
      </c>
      <c r="X44" s="202" t="str">
        <f t="shared" si="25"/>
        <v>IR+HC</v>
      </c>
      <c r="Y44" s="201">
        <f t="shared" si="26"/>
        <v>13</v>
      </c>
      <c r="Z44" s="202"/>
      <c r="AA44" s="1388"/>
      <c r="AB44" t="str">
        <f t="shared" si="10"/>
        <v>BMGMTX-DCSYS02</v>
      </c>
    </row>
    <row r="45" spans="1:28">
      <c r="A45" s="97" t="str">
        <f>'Plant loading'!A41</f>
        <v>Gravelly Hill</v>
      </c>
      <c r="B45" s="97" t="str">
        <f>'Plant loading'!B41</f>
        <v>BMGMTX-DCSYS03</v>
      </c>
      <c r="C45" s="98">
        <f>('Plant loading'!E41*54.5)/1000</f>
        <v>42.782499999999999</v>
      </c>
      <c r="D45" s="99" t="str">
        <f t="shared" si="13"/>
        <v>2.5 hours</v>
      </c>
      <c r="E45" s="351">
        <v>45078</v>
      </c>
      <c r="F45" s="351">
        <v>45078</v>
      </c>
      <c r="G45" s="351">
        <v>45078</v>
      </c>
      <c r="H45" s="351">
        <v>45078</v>
      </c>
      <c r="I45" s="351">
        <v>45078</v>
      </c>
      <c r="J45" s="351">
        <v>45078</v>
      </c>
      <c r="K45" s="351">
        <v>45078</v>
      </c>
      <c r="L45" s="351">
        <v>45078</v>
      </c>
      <c r="M45" s="351">
        <v>45078</v>
      </c>
      <c r="N45" s="351"/>
      <c r="O45" s="351"/>
      <c r="P45" s="351" t="s">
        <v>620</v>
      </c>
      <c r="Q45"/>
      <c r="R45" s="5">
        <f t="shared" si="14"/>
        <v>9</v>
      </c>
      <c r="S45" s="5">
        <f t="shared" si="15"/>
        <v>4.7536111111111108</v>
      </c>
      <c r="T45" s="5">
        <f t="shared" si="23"/>
        <v>10</v>
      </c>
      <c r="U45" s="5">
        <f t="shared" si="16"/>
        <v>0</v>
      </c>
      <c r="V45" s="5">
        <f t="shared" si="17"/>
        <v>0</v>
      </c>
      <c r="W45" s="201">
        <f t="shared" si="24"/>
        <v>13</v>
      </c>
      <c r="X45" s="202" t="str">
        <f t="shared" si="25"/>
        <v>IR+HC</v>
      </c>
      <c r="Y45" s="201">
        <f t="shared" si="26"/>
        <v>13</v>
      </c>
      <c r="Z45" s="202"/>
      <c r="AA45" s="1388"/>
      <c r="AB45" t="str">
        <f t="shared" si="10"/>
        <v>BMGMTX-DCSYS03</v>
      </c>
    </row>
    <row r="46" spans="1:28">
      <c r="A46" s="97" t="str">
        <f>'Plant loading'!A42</f>
        <v>Gravelly Hill</v>
      </c>
      <c r="B46" s="97" t="str">
        <f>'Plant loading'!B42</f>
        <v>BMGMTX-DCSYS04</v>
      </c>
      <c r="C46" s="98">
        <f>('Plant loading'!E42*54.5)/1000</f>
        <v>41.856000000000002</v>
      </c>
      <c r="D46" s="99" t="str">
        <f t="shared" si="13"/>
        <v>2.5 hours</v>
      </c>
      <c r="E46" s="351">
        <v>43891</v>
      </c>
      <c r="F46" s="351">
        <v>43891</v>
      </c>
      <c r="G46" s="351">
        <v>43891</v>
      </c>
      <c r="H46" s="351">
        <v>43922</v>
      </c>
      <c r="I46" s="351">
        <v>43922</v>
      </c>
      <c r="J46" s="351">
        <v>43922</v>
      </c>
      <c r="K46" s="351">
        <v>43922</v>
      </c>
      <c r="L46" s="351">
        <v>43922</v>
      </c>
      <c r="M46" s="351">
        <v>43922</v>
      </c>
      <c r="N46" s="351"/>
      <c r="O46" s="351"/>
      <c r="P46" s="351" t="s">
        <v>620</v>
      </c>
      <c r="Q46"/>
      <c r="R46" s="5">
        <f t="shared" si="14"/>
        <v>9</v>
      </c>
      <c r="S46" s="5">
        <f t="shared" si="15"/>
        <v>4.6506666666666669</v>
      </c>
      <c r="T46" s="5">
        <f t="shared" si="23"/>
        <v>10</v>
      </c>
      <c r="U46" s="5">
        <f t="shared" si="16"/>
        <v>0</v>
      </c>
      <c r="V46" s="5">
        <f t="shared" si="17"/>
        <v>0</v>
      </c>
      <c r="W46" s="201">
        <f t="shared" si="24"/>
        <v>5</v>
      </c>
      <c r="X46" s="202" t="str">
        <f t="shared" si="25"/>
        <v>IR+HC</v>
      </c>
      <c r="Y46" s="201">
        <f t="shared" si="26"/>
        <v>5</v>
      </c>
      <c r="Z46" s="202"/>
      <c r="AA46" s="1388"/>
      <c r="AB46" t="str">
        <f t="shared" si="10"/>
        <v>BMGMTX-DCSYS04</v>
      </c>
    </row>
    <row r="47" spans="1:28">
      <c r="A47" s="97" t="str">
        <f>'Plant loading'!A43</f>
        <v>Gravelly Hill</v>
      </c>
      <c r="B47" s="97" t="str">
        <f>'Plant loading'!B43</f>
        <v>BMGMTX-DCSYS05</v>
      </c>
      <c r="C47" s="98">
        <f>('Plant loading'!E43*54.5)/1000</f>
        <v>42.837000000000003</v>
      </c>
      <c r="D47" s="99" t="str">
        <f t="shared" si="13"/>
        <v>2.5 hours</v>
      </c>
      <c r="E47" s="351">
        <v>45078</v>
      </c>
      <c r="F47" s="351">
        <v>45078</v>
      </c>
      <c r="G47" s="351">
        <v>45078</v>
      </c>
      <c r="H47" s="351">
        <v>45078</v>
      </c>
      <c r="I47" s="351">
        <v>45078</v>
      </c>
      <c r="J47" s="351">
        <v>45078</v>
      </c>
      <c r="K47" s="351">
        <v>45078</v>
      </c>
      <c r="L47" s="351">
        <v>45078</v>
      </c>
      <c r="M47" s="351">
        <v>45078</v>
      </c>
      <c r="N47" s="351"/>
      <c r="O47" s="351"/>
      <c r="P47" s="351" t="s">
        <v>620</v>
      </c>
      <c r="Q47"/>
      <c r="R47" s="5">
        <f t="shared" si="14"/>
        <v>9</v>
      </c>
      <c r="S47" s="5">
        <f t="shared" si="15"/>
        <v>4.7596666666666669</v>
      </c>
      <c r="T47" s="5">
        <f t="shared" si="23"/>
        <v>10</v>
      </c>
      <c r="U47" s="5">
        <f t="shared" si="16"/>
        <v>0</v>
      </c>
      <c r="V47" s="5">
        <f t="shared" si="17"/>
        <v>0</v>
      </c>
      <c r="W47" s="201">
        <f t="shared" si="24"/>
        <v>13</v>
      </c>
      <c r="X47" s="202" t="str">
        <f t="shared" si="25"/>
        <v>IR+HC</v>
      </c>
      <c r="Y47" s="201">
        <f t="shared" si="26"/>
        <v>13</v>
      </c>
      <c r="Z47" s="202"/>
      <c r="AA47" s="1388"/>
      <c r="AB47" t="str">
        <f t="shared" si="10"/>
        <v>BMGMTX-DCSYS05</v>
      </c>
    </row>
    <row r="48" spans="1:28">
      <c r="A48" s="97" t="str">
        <f>'Plant loading'!A44</f>
        <v>Gravelly Hill</v>
      </c>
      <c r="B48" s="97" t="str">
        <f>'Plant loading'!B44</f>
        <v>BMGMTX-DCSYS06</v>
      </c>
      <c r="C48" s="98">
        <f>('Plant loading'!E44*54.5)/1000</f>
        <v>44.962499999999999</v>
      </c>
      <c r="D48" s="99" t="str">
        <f t="shared" si="13"/>
        <v>2.5 hours</v>
      </c>
      <c r="E48" s="351">
        <v>44866</v>
      </c>
      <c r="F48" s="351">
        <v>44866</v>
      </c>
      <c r="G48" s="351">
        <v>44866</v>
      </c>
      <c r="H48" s="351">
        <v>44866</v>
      </c>
      <c r="I48" s="351">
        <v>44866</v>
      </c>
      <c r="J48" s="351">
        <v>44866</v>
      </c>
      <c r="K48" s="351">
        <v>44866</v>
      </c>
      <c r="L48" s="351">
        <v>44866</v>
      </c>
      <c r="M48" s="351">
        <v>44866</v>
      </c>
      <c r="N48" s="351"/>
      <c r="O48" s="351"/>
      <c r="P48" s="351" t="s">
        <v>620</v>
      </c>
      <c r="Q48"/>
      <c r="R48" s="5">
        <f t="shared" si="14"/>
        <v>9</v>
      </c>
      <c r="S48" s="5">
        <f t="shared" si="15"/>
        <v>4.9958333333333336</v>
      </c>
      <c r="T48" s="5">
        <f t="shared" si="23"/>
        <v>10</v>
      </c>
      <c r="U48" s="5">
        <f t="shared" si="16"/>
        <v>0</v>
      </c>
      <c r="V48" s="5">
        <f t="shared" si="17"/>
        <v>0</v>
      </c>
      <c r="W48" s="201">
        <f t="shared" si="24"/>
        <v>11</v>
      </c>
      <c r="X48" s="202" t="str">
        <f t="shared" si="25"/>
        <v>Discharge</v>
      </c>
      <c r="Y48" s="201">
        <f t="shared" si="26"/>
        <v>11</v>
      </c>
      <c r="Z48" s="202"/>
      <c r="AA48" s="1388"/>
      <c r="AB48" t="str">
        <f t="shared" si="10"/>
        <v>BMGMTX-DCSYS06</v>
      </c>
    </row>
    <row r="49" spans="1:28">
      <c r="A49" s="97" t="str">
        <f>'Plant loading'!A45</f>
        <v>Gravelly Hill</v>
      </c>
      <c r="B49" s="97" t="str">
        <f>'Plant loading'!B45</f>
        <v>BMGMTX-DCSYS07a</v>
      </c>
      <c r="C49" s="98">
        <f>('Plant loading'!E45*54.5)/1000</f>
        <v>15.532500000000001</v>
      </c>
      <c r="D49" s="99" t="str">
        <f t="shared" ref="D49:D50" si="27">CHOOSE(T49,$C$130,$D$130,$E$130,$F$130,$G$130,$H$130,$I$130,$J$130,$K$130,$L$130,$M$130,$N$130,$O$130,$P$130,$Q$130,$R$130)</f>
        <v>4 hours</v>
      </c>
      <c r="E49" s="351">
        <v>44470</v>
      </c>
      <c r="F49" s="351">
        <v>44470</v>
      </c>
      <c r="G49" s="351">
        <v>44470</v>
      </c>
      <c r="H49" s="351">
        <v>44470</v>
      </c>
      <c r="I49" s="351">
        <v>44470</v>
      </c>
      <c r="J49" s="351"/>
      <c r="K49" s="351"/>
      <c r="L49" s="351"/>
      <c r="M49" s="351"/>
      <c r="N49" s="351"/>
      <c r="O49" s="351"/>
      <c r="P49" s="351" t="s">
        <v>620</v>
      </c>
      <c r="Q49"/>
      <c r="R49" s="5">
        <f t="shared" ref="R49:R50" si="28">COUNT(E49:P49)</f>
        <v>5</v>
      </c>
      <c r="S49" s="5">
        <f t="shared" ref="S49:S50" si="29">C49/R49</f>
        <v>3.1065</v>
      </c>
      <c r="T49" s="5">
        <f t="shared" ref="T49:T50" si="30">MATCH(S49,$C$134:$R$134,-1)</f>
        <v>12</v>
      </c>
      <c r="U49" s="5">
        <f t="shared" ref="U49:U50" si="31">COUNTIFS(E49:P49,"&gt;="&amp;$D$3,E49:P49,"&lt;="&amp;$E$3)</f>
        <v>0</v>
      </c>
      <c r="V49" s="5">
        <f t="shared" ref="V49:V50" si="32">COUNTIFS(E49:P49,"&lt;="&amp;$E$2)</f>
        <v>0</v>
      </c>
      <c r="W49" s="201"/>
      <c r="X49" s="202"/>
      <c r="Y49" s="201"/>
      <c r="Z49" s="202"/>
      <c r="AA49" s="905"/>
      <c r="AB49" t="str">
        <f t="shared" si="10"/>
        <v>BMGMTX-DCSYS07a</v>
      </c>
    </row>
    <row r="50" spans="1:28">
      <c r="A50" s="97" t="str">
        <f>'Plant loading'!A46</f>
        <v>Gravelly Hill</v>
      </c>
      <c r="B50" s="97" t="str">
        <f>'Plant loading'!B46</f>
        <v>BMGMTX-DCSYS07b</v>
      </c>
      <c r="C50" s="98">
        <f>('Plant loading'!E46*54.5)/1000</f>
        <v>15.532500000000001</v>
      </c>
      <c r="D50" s="99" t="str">
        <f t="shared" si="27"/>
        <v>4 hours</v>
      </c>
      <c r="E50" s="351">
        <v>44470</v>
      </c>
      <c r="F50" s="351">
        <v>44470</v>
      </c>
      <c r="G50" s="351">
        <v>44470</v>
      </c>
      <c r="H50" s="351">
        <v>44470</v>
      </c>
      <c r="I50" s="351">
        <v>44470</v>
      </c>
      <c r="J50" s="351"/>
      <c r="K50" s="351"/>
      <c r="L50" s="351"/>
      <c r="M50" s="351"/>
      <c r="N50" s="351"/>
      <c r="O50" s="351"/>
      <c r="P50" s="351" t="s">
        <v>620</v>
      </c>
      <c r="Q50"/>
      <c r="R50" s="5">
        <f t="shared" si="28"/>
        <v>5</v>
      </c>
      <c r="S50" s="5">
        <f t="shared" si="29"/>
        <v>3.1065</v>
      </c>
      <c r="T50" s="5">
        <f t="shared" si="30"/>
        <v>12</v>
      </c>
      <c r="U50" s="5">
        <f t="shared" si="31"/>
        <v>0</v>
      </c>
      <c r="V50" s="5">
        <f t="shared" si="32"/>
        <v>0</v>
      </c>
      <c r="W50" s="201"/>
      <c r="X50" s="202"/>
      <c r="Y50" s="201"/>
      <c r="Z50" s="202"/>
      <c r="AA50" s="905"/>
      <c r="AB50" t="str">
        <f t="shared" si="10"/>
        <v>BMGMTX-DCSYS07b</v>
      </c>
    </row>
    <row r="51" spans="1:28">
      <c r="A51" s="752" t="str">
        <f>'Plant loading'!A47</f>
        <v>Kings Cross</v>
      </c>
      <c r="B51" s="752" t="str">
        <f>'Plant loading'!B47</f>
        <v>PEAKS</v>
      </c>
      <c r="C51" s="753">
        <f>('Plant loading'!E47*54.5)/1000</f>
        <v>13.243499999999999</v>
      </c>
      <c r="D51" s="754" t="str">
        <f t="shared" ref="D51:D65" si="33">CHOOSE(T51,$C$130,$D$130,$E$130,$F$130,$G$130,$H$130,$I$130,$J$130,$K$130,$L$130,$M$130,$N$130,$O$130,$P$130,$Q$130,$R$130)</f>
        <v>8 hours</v>
      </c>
      <c r="E51" s="755">
        <v>44409</v>
      </c>
      <c r="F51" s="755">
        <v>44409</v>
      </c>
      <c r="G51" s="755">
        <v>44409</v>
      </c>
      <c r="H51" s="755">
        <v>44409</v>
      </c>
      <c r="I51" s="755">
        <v>44409</v>
      </c>
      <c r="J51" s="755">
        <v>44409</v>
      </c>
      <c r="K51" s="755">
        <v>44409</v>
      </c>
      <c r="L51" s="755">
        <v>44409</v>
      </c>
      <c r="M51" s="755">
        <v>44409</v>
      </c>
      <c r="N51" s="755"/>
      <c r="O51" s="755"/>
      <c r="P51" s="755" t="s">
        <v>620</v>
      </c>
      <c r="Q51"/>
      <c r="R51" s="5">
        <f t="shared" si="14"/>
        <v>9</v>
      </c>
      <c r="S51" s="5">
        <f t="shared" si="15"/>
        <v>1.4714999999999998</v>
      </c>
      <c r="T51" s="5">
        <f t="shared" ref="T51:T65" si="34">MATCH(S51,$C$134:$R$134,-1)</f>
        <v>16</v>
      </c>
      <c r="U51" s="5">
        <f t="shared" si="16"/>
        <v>0</v>
      </c>
      <c r="V51" s="5">
        <f t="shared" si="17"/>
        <v>0</v>
      </c>
      <c r="W51" s="201">
        <f t="shared" ref="W51:W65" si="35">MATCH($E51,$B$177:$Q$177,1)</f>
        <v>9</v>
      </c>
      <c r="X51" s="203" t="str">
        <f t="shared" ref="X51:X59" si="36">CHOOSE(ROUNDUP((W51/2),0),$B$179,$D$179,$F$179,$H$179,$J$179,$L$179,$N$179,$P$179)</f>
        <v>IR+HC</v>
      </c>
      <c r="Y51" s="201">
        <f t="shared" ref="Y51:Y65" si="37">MATCH($E51,$B$183:$S$183,1)</f>
        <v>9</v>
      </c>
      <c r="Z51" s="203" t="str">
        <f t="shared" ref="Z51:Z59" si="38">CHOOSE(ROUNDUP((Y51/2),0),$B$185,$D$185,$F$185,$H$185,$J$185,$L$185,$N$185,$P$185,$R$185)</f>
        <v>Discharge</v>
      </c>
      <c r="AA51" s="1389" t="str">
        <f>A51</f>
        <v>Kings Cross</v>
      </c>
      <c r="AB51" t="str">
        <f t="shared" si="10"/>
        <v>PEAKS</v>
      </c>
    </row>
    <row r="52" spans="1:28">
      <c r="A52" s="100" t="str">
        <f>'Plant loading'!A48</f>
        <v>Kings Cross</v>
      </c>
      <c r="B52" s="100" t="str">
        <f>'Plant loading'!B48</f>
        <v>PEBKS</v>
      </c>
      <c r="C52" s="101">
        <f>('Plant loading'!E48*54.5)/1000</f>
        <v>17.876000000000001</v>
      </c>
      <c r="D52" s="102" t="str">
        <f t="shared" si="33"/>
        <v>8 hours</v>
      </c>
      <c r="E52" s="351">
        <v>44409</v>
      </c>
      <c r="F52" s="351">
        <v>44409</v>
      </c>
      <c r="G52" s="351">
        <v>44409</v>
      </c>
      <c r="H52" s="351">
        <v>44409</v>
      </c>
      <c r="I52" s="351">
        <v>44409</v>
      </c>
      <c r="J52" s="351">
        <v>44409</v>
      </c>
      <c r="K52" s="351">
        <v>44409</v>
      </c>
      <c r="L52" s="351">
        <v>44409</v>
      </c>
      <c r="M52" s="351">
        <v>44409</v>
      </c>
      <c r="N52" s="351"/>
      <c r="O52" s="351"/>
      <c r="P52" s="351" t="s">
        <v>620</v>
      </c>
      <c r="Q52"/>
      <c r="R52" s="5">
        <f t="shared" si="14"/>
        <v>9</v>
      </c>
      <c r="S52" s="5">
        <f t="shared" si="15"/>
        <v>1.9862222222222223</v>
      </c>
      <c r="T52" s="5">
        <f t="shared" si="34"/>
        <v>16</v>
      </c>
      <c r="U52" s="5">
        <f t="shared" si="16"/>
        <v>0</v>
      </c>
      <c r="V52" s="5">
        <f t="shared" si="17"/>
        <v>0</v>
      </c>
      <c r="W52" s="201">
        <f t="shared" si="35"/>
        <v>9</v>
      </c>
      <c r="X52" s="203" t="str">
        <f t="shared" si="36"/>
        <v>IR+HC</v>
      </c>
      <c r="Y52" s="201">
        <f t="shared" si="37"/>
        <v>9</v>
      </c>
      <c r="Z52" s="203" t="str">
        <f t="shared" si="38"/>
        <v>Discharge</v>
      </c>
      <c r="AA52" s="1389"/>
      <c r="AB52" t="str">
        <f t="shared" si="10"/>
        <v>PEBKS</v>
      </c>
    </row>
    <row r="53" spans="1:28">
      <c r="A53" s="100" t="str">
        <f>'Plant loading'!A49</f>
        <v>Kings Cross</v>
      </c>
      <c r="B53" s="100" t="str">
        <f>'Plant loading'!B49</f>
        <v>PEEKS</v>
      </c>
      <c r="C53" s="101">
        <f>('Plant loading'!E49*54.5)/1000</f>
        <v>5.45</v>
      </c>
      <c r="D53" s="102" t="str">
        <f t="shared" si="33"/>
        <v>8 hours</v>
      </c>
      <c r="E53" s="351">
        <v>44409</v>
      </c>
      <c r="F53" s="351">
        <v>44409</v>
      </c>
      <c r="G53" s="351">
        <v>44409</v>
      </c>
      <c r="H53" s="351">
        <v>44409</v>
      </c>
      <c r="I53" s="351">
        <v>44409</v>
      </c>
      <c r="J53" s="351">
        <v>44409</v>
      </c>
      <c r="K53" s="351">
        <v>44409</v>
      </c>
      <c r="L53" s="351"/>
      <c r="M53" s="351"/>
      <c r="N53" s="351"/>
      <c r="O53" s="351"/>
      <c r="P53" s="351" t="s">
        <v>620</v>
      </c>
      <c r="Q53"/>
      <c r="R53" s="5">
        <f t="shared" si="14"/>
        <v>7</v>
      </c>
      <c r="S53" s="5">
        <f t="shared" si="15"/>
        <v>0.77857142857142858</v>
      </c>
      <c r="T53" s="5">
        <f t="shared" si="34"/>
        <v>16</v>
      </c>
      <c r="U53" s="5">
        <f t="shared" si="16"/>
        <v>0</v>
      </c>
      <c r="V53" s="5">
        <f t="shared" si="17"/>
        <v>0</v>
      </c>
      <c r="W53" s="201">
        <f t="shared" si="35"/>
        <v>9</v>
      </c>
      <c r="X53" s="203" t="str">
        <f t="shared" si="36"/>
        <v>IR+HC</v>
      </c>
      <c r="Y53" s="201">
        <f t="shared" si="37"/>
        <v>9</v>
      </c>
      <c r="Z53" s="203" t="str">
        <f t="shared" si="38"/>
        <v>Discharge</v>
      </c>
      <c r="AA53" s="1389"/>
      <c r="AB53" t="str">
        <f t="shared" si="10"/>
        <v>PEEKS</v>
      </c>
    </row>
    <row r="54" spans="1:28">
      <c r="A54" s="100" t="str">
        <f>'Plant loading'!A50</f>
        <v>Kings Cross</v>
      </c>
      <c r="B54" s="100" t="str">
        <f>'Plant loading'!B50</f>
        <v>PEIKS</v>
      </c>
      <c r="C54" s="101">
        <f>('Plant loading'!E50*54.5)/1000</f>
        <v>29.375499999999999</v>
      </c>
      <c r="D54" s="102" t="str">
        <f t="shared" si="33"/>
        <v>4 hours</v>
      </c>
      <c r="E54" s="351">
        <v>42917</v>
      </c>
      <c r="F54" s="351">
        <v>42917</v>
      </c>
      <c r="G54" s="351">
        <v>42917</v>
      </c>
      <c r="H54" s="351">
        <v>42917</v>
      </c>
      <c r="I54" s="351">
        <v>42917</v>
      </c>
      <c r="J54" s="351">
        <v>42917</v>
      </c>
      <c r="K54" s="351">
        <v>42917</v>
      </c>
      <c r="L54" s="351">
        <v>42917</v>
      </c>
      <c r="M54" s="351">
        <v>42917</v>
      </c>
      <c r="N54" s="351"/>
      <c r="O54" s="351"/>
      <c r="P54" s="351" t="s">
        <v>621</v>
      </c>
      <c r="Q54"/>
      <c r="R54" s="5">
        <f t="shared" si="14"/>
        <v>9</v>
      </c>
      <c r="S54" s="5">
        <f t="shared" si="15"/>
        <v>3.2639444444444443</v>
      </c>
      <c r="T54" s="5">
        <f t="shared" si="34"/>
        <v>12</v>
      </c>
      <c r="U54" s="5">
        <f t="shared" si="16"/>
        <v>0</v>
      </c>
      <c r="V54" s="5">
        <f t="shared" si="17"/>
        <v>9</v>
      </c>
      <c r="W54" s="201">
        <f t="shared" si="35"/>
        <v>1</v>
      </c>
      <c r="X54" s="203" t="str">
        <f t="shared" si="36"/>
        <v>Replacement Due</v>
      </c>
      <c r="Y54" s="201">
        <f t="shared" si="37"/>
        <v>1</v>
      </c>
      <c r="Z54" s="203" t="str">
        <f t="shared" si="38"/>
        <v>IR+HC</v>
      </c>
      <c r="AA54" s="1389"/>
      <c r="AB54" t="str">
        <f t="shared" si="10"/>
        <v>PEIKS</v>
      </c>
    </row>
    <row r="55" spans="1:28">
      <c r="A55" s="100" t="str">
        <f>'Plant loading'!A51</f>
        <v>Kings Cross</v>
      </c>
      <c r="B55" s="100" t="str">
        <f>'Plant loading'!B51</f>
        <v>PEJKS</v>
      </c>
      <c r="C55" s="101">
        <f>('Plant loading'!E51*54.5)/1000</f>
        <v>13.734</v>
      </c>
      <c r="D55" s="102" t="str">
        <f t="shared" si="33"/>
        <v>8 hours</v>
      </c>
      <c r="E55" s="351">
        <v>42917</v>
      </c>
      <c r="F55" s="351">
        <v>42917</v>
      </c>
      <c r="G55" s="351">
        <v>42917</v>
      </c>
      <c r="H55" s="351">
        <v>42917</v>
      </c>
      <c r="I55" s="351">
        <v>42917</v>
      </c>
      <c r="J55" s="351">
        <v>42917</v>
      </c>
      <c r="K55" s="351">
        <v>42917</v>
      </c>
      <c r="L55" s="351">
        <v>42917</v>
      </c>
      <c r="M55" s="351">
        <v>42917</v>
      </c>
      <c r="N55" s="351"/>
      <c r="O55" s="351"/>
      <c r="P55" s="351" t="s">
        <v>621</v>
      </c>
      <c r="Q55"/>
      <c r="R55" s="5">
        <f t="shared" si="14"/>
        <v>9</v>
      </c>
      <c r="S55" s="5">
        <f t="shared" si="15"/>
        <v>1.526</v>
      </c>
      <c r="T55" s="5">
        <f t="shared" si="34"/>
        <v>16</v>
      </c>
      <c r="U55" s="5">
        <f t="shared" si="16"/>
        <v>0</v>
      </c>
      <c r="V55" s="5">
        <f t="shared" si="17"/>
        <v>9</v>
      </c>
      <c r="W55" s="201">
        <f t="shared" si="35"/>
        <v>1</v>
      </c>
      <c r="X55" s="203" t="str">
        <f t="shared" si="36"/>
        <v>Replacement Due</v>
      </c>
      <c r="Y55" s="201">
        <f t="shared" si="37"/>
        <v>1</v>
      </c>
      <c r="Z55" s="203" t="str">
        <f t="shared" si="38"/>
        <v>IR+HC</v>
      </c>
      <c r="AA55" s="1389"/>
      <c r="AB55" t="str">
        <f t="shared" si="10"/>
        <v>PEJKS</v>
      </c>
    </row>
    <row r="56" spans="1:28">
      <c r="A56" s="100" t="str">
        <f>'Plant loading'!A52</f>
        <v>Kings Cross</v>
      </c>
      <c r="B56" s="100" t="str">
        <f>'Plant loading'!B52</f>
        <v>PEKKS</v>
      </c>
      <c r="C56" s="101">
        <f>('Plant loading'!E52*54.5)/1000</f>
        <v>25.07</v>
      </c>
      <c r="D56" s="102" t="str">
        <f t="shared" si="33"/>
        <v>5 hours</v>
      </c>
      <c r="E56" s="351">
        <v>42917</v>
      </c>
      <c r="F56" s="351">
        <v>42917</v>
      </c>
      <c r="G56" s="351">
        <v>42917</v>
      </c>
      <c r="H56" s="351">
        <v>42917</v>
      </c>
      <c r="I56" s="351">
        <v>42917</v>
      </c>
      <c r="J56" s="351">
        <v>42917</v>
      </c>
      <c r="K56" s="351">
        <v>42917</v>
      </c>
      <c r="L56" s="351">
        <v>42917</v>
      </c>
      <c r="M56" s="351">
        <v>42917</v>
      </c>
      <c r="N56" s="351"/>
      <c r="O56" s="351"/>
      <c r="P56" s="351" t="s">
        <v>621</v>
      </c>
      <c r="Q56"/>
      <c r="R56" s="5">
        <f t="shared" si="14"/>
        <v>9</v>
      </c>
      <c r="S56" s="5">
        <f t="shared" si="15"/>
        <v>2.7855555555555558</v>
      </c>
      <c r="T56" s="5">
        <f t="shared" si="34"/>
        <v>13</v>
      </c>
      <c r="U56" s="5">
        <f t="shared" si="16"/>
        <v>0</v>
      </c>
      <c r="V56" s="5">
        <f t="shared" si="17"/>
        <v>9</v>
      </c>
      <c r="W56" s="201">
        <f t="shared" si="35"/>
        <v>1</v>
      </c>
      <c r="X56" s="203" t="str">
        <f t="shared" si="36"/>
        <v>Replacement Due</v>
      </c>
      <c r="Y56" s="201">
        <f t="shared" si="37"/>
        <v>1</v>
      </c>
      <c r="Z56" s="203" t="str">
        <f t="shared" si="38"/>
        <v>IR+HC</v>
      </c>
      <c r="AA56" s="1389"/>
      <c r="AB56" t="str">
        <f t="shared" si="10"/>
        <v>PEKKS</v>
      </c>
    </row>
    <row r="57" spans="1:28">
      <c r="A57" s="100" t="str">
        <f>'Plant loading'!A53</f>
        <v>Kings Cross</v>
      </c>
      <c r="B57" s="100" t="str">
        <f>'Plant loading'!B53</f>
        <v>PELKS</v>
      </c>
      <c r="C57" s="101">
        <f>('Plant loading'!E53*54.5)/1000</f>
        <v>8.7744999999999997</v>
      </c>
      <c r="D57" s="102" t="str">
        <f t="shared" si="33"/>
        <v>8 hours</v>
      </c>
      <c r="E57" s="351">
        <v>42917</v>
      </c>
      <c r="F57" s="351">
        <v>42917</v>
      </c>
      <c r="G57" s="351">
        <v>42917</v>
      </c>
      <c r="H57" s="351">
        <v>42917</v>
      </c>
      <c r="I57" s="351">
        <v>42917</v>
      </c>
      <c r="J57" s="351">
        <v>42917</v>
      </c>
      <c r="K57" s="351"/>
      <c r="L57" s="351"/>
      <c r="M57" s="351"/>
      <c r="N57" s="351"/>
      <c r="O57" s="351"/>
      <c r="P57" s="351" t="s">
        <v>621</v>
      </c>
      <c r="Q57"/>
      <c r="R57" s="5">
        <f t="shared" si="14"/>
        <v>6</v>
      </c>
      <c r="S57" s="5">
        <f t="shared" si="15"/>
        <v>1.4624166666666667</v>
      </c>
      <c r="T57" s="5">
        <f t="shared" si="34"/>
        <v>16</v>
      </c>
      <c r="U57" s="5">
        <f t="shared" si="16"/>
        <v>0</v>
      </c>
      <c r="V57" s="5">
        <f t="shared" si="17"/>
        <v>6</v>
      </c>
      <c r="W57" s="201">
        <f t="shared" si="35"/>
        <v>1</v>
      </c>
      <c r="X57" s="203" t="str">
        <f t="shared" si="36"/>
        <v>Replacement Due</v>
      </c>
      <c r="Y57" s="201">
        <f t="shared" si="37"/>
        <v>1</v>
      </c>
      <c r="Z57" s="203" t="str">
        <f t="shared" si="38"/>
        <v>IR+HC</v>
      </c>
      <c r="AA57" s="1389"/>
      <c r="AB57" t="str">
        <f t="shared" si="10"/>
        <v>PELKS</v>
      </c>
    </row>
    <row r="58" spans="1:28">
      <c r="A58" s="100" t="str">
        <f>'Plant loading'!A54</f>
        <v>Kings Cross</v>
      </c>
      <c r="B58" s="100" t="str">
        <f>'Plant loading'!B54</f>
        <v>PEMKS</v>
      </c>
      <c r="C58" s="101">
        <f>('Plant loading'!E54*54.5)/1000</f>
        <v>7.9024999999999999</v>
      </c>
      <c r="D58" s="102" t="str">
        <f t="shared" si="33"/>
        <v>8 hours</v>
      </c>
      <c r="E58" s="351">
        <v>42917</v>
      </c>
      <c r="F58" s="351">
        <v>42917</v>
      </c>
      <c r="G58" s="351">
        <v>42917</v>
      </c>
      <c r="H58" s="351">
        <v>42917</v>
      </c>
      <c r="I58" s="351">
        <v>42917</v>
      </c>
      <c r="J58" s="351">
        <v>42917</v>
      </c>
      <c r="K58" s="351"/>
      <c r="L58" s="351"/>
      <c r="M58" s="351"/>
      <c r="N58" s="351"/>
      <c r="O58" s="351"/>
      <c r="P58" s="351" t="s">
        <v>621</v>
      </c>
      <c r="Q58"/>
      <c r="R58" s="5">
        <f t="shared" si="14"/>
        <v>6</v>
      </c>
      <c r="S58" s="5">
        <f t="shared" si="15"/>
        <v>1.3170833333333334</v>
      </c>
      <c r="T58" s="5">
        <f t="shared" si="34"/>
        <v>16</v>
      </c>
      <c r="U58" s="5">
        <f t="shared" si="16"/>
        <v>0</v>
      </c>
      <c r="V58" s="5">
        <f t="shared" si="17"/>
        <v>6</v>
      </c>
      <c r="W58" s="201">
        <f t="shared" si="35"/>
        <v>1</v>
      </c>
      <c r="X58" s="203" t="str">
        <f t="shared" si="36"/>
        <v>Replacement Due</v>
      </c>
      <c r="Y58" s="201">
        <f t="shared" si="37"/>
        <v>1</v>
      </c>
      <c r="Z58" s="203" t="str">
        <f t="shared" si="38"/>
        <v>IR+HC</v>
      </c>
      <c r="AA58" s="1389"/>
      <c r="AB58" t="str">
        <f t="shared" si="10"/>
        <v>PEMKS</v>
      </c>
    </row>
    <row r="59" spans="1:28">
      <c r="A59" s="100" t="str">
        <f>'Plant loading'!A55</f>
        <v>Kings Cross</v>
      </c>
      <c r="B59" s="100" t="str">
        <f>'Plant loading'!B55</f>
        <v>PENKS</v>
      </c>
      <c r="C59" s="101">
        <f>('Plant loading'!E55*54.5)/1000</f>
        <v>5.5590000000000002</v>
      </c>
      <c r="D59" s="102" t="str">
        <f t="shared" si="33"/>
        <v>8 hours</v>
      </c>
      <c r="E59" s="351">
        <v>42917</v>
      </c>
      <c r="F59" s="351">
        <v>42917</v>
      </c>
      <c r="G59" s="351">
        <v>42917</v>
      </c>
      <c r="H59" s="351">
        <v>42917</v>
      </c>
      <c r="I59" s="351">
        <v>42917</v>
      </c>
      <c r="J59" s="351">
        <v>42917</v>
      </c>
      <c r="K59" s="351"/>
      <c r="L59" s="351"/>
      <c r="M59" s="351"/>
      <c r="N59" s="351"/>
      <c r="O59" s="351"/>
      <c r="P59" s="351" t="s">
        <v>621</v>
      </c>
      <c r="Q59"/>
      <c r="R59" s="5">
        <f t="shared" si="14"/>
        <v>6</v>
      </c>
      <c r="S59" s="5">
        <f t="shared" si="15"/>
        <v>0.92649999999999999</v>
      </c>
      <c r="T59" s="5">
        <f t="shared" si="34"/>
        <v>16</v>
      </c>
      <c r="U59" s="5">
        <f t="shared" si="16"/>
        <v>0</v>
      </c>
      <c r="V59" s="5">
        <f t="shared" si="17"/>
        <v>6</v>
      </c>
      <c r="W59" s="201">
        <f t="shared" si="35"/>
        <v>1</v>
      </c>
      <c r="X59" s="203" t="str">
        <f t="shared" si="36"/>
        <v>Replacement Due</v>
      </c>
      <c r="Y59" s="201">
        <f t="shared" si="37"/>
        <v>1</v>
      </c>
      <c r="Z59" s="203" t="str">
        <f t="shared" si="38"/>
        <v>IR+HC</v>
      </c>
      <c r="AA59" s="1389"/>
      <c r="AB59" t="str">
        <f t="shared" si="10"/>
        <v>PENKS</v>
      </c>
    </row>
    <row r="60" spans="1:28">
      <c r="A60" s="760" t="str">
        <f>'Plant loading'!A56</f>
        <v>Leyland</v>
      </c>
      <c r="B60" s="760" t="str">
        <f>'Plant loading'!B56</f>
        <v>LLDMTX-DCSYS01</v>
      </c>
      <c r="C60" s="761">
        <f>('Plant loading'!E56*54.5)/1000</f>
        <v>49.704000000000001</v>
      </c>
      <c r="D60" s="762" t="str">
        <f t="shared" si="33"/>
        <v>2 hours</v>
      </c>
      <c r="E60" s="755">
        <v>44835</v>
      </c>
      <c r="F60" s="755">
        <v>44835</v>
      </c>
      <c r="G60" s="755">
        <v>44835</v>
      </c>
      <c r="H60" s="755">
        <v>44835</v>
      </c>
      <c r="I60" s="755">
        <v>44835</v>
      </c>
      <c r="J60" s="755">
        <v>44835</v>
      </c>
      <c r="K60" s="755">
        <v>44835</v>
      </c>
      <c r="L60" s="755">
        <v>44835</v>
      </c>
      <c r="M60" s="755">
        <v>44835</v>
      </c>
      <c r="N60" s="755"/>
      <c r="O60" s="755"/>
      <c r="P60" s="755" t="s">
        <v>620</v>
      </c>
      <c r="Q60"/>
      <c r="R60" s="5">
        <f t="shared" si="14"/>
        <v>9</v>
      </c>
      <c r="S60" s="5">
        <f t="shared" si="15"/>
        <v>5.5226666666666668</v>
      </c>
      <c r="T60" s="5">
        <f t="shared" si="34"/>
        <v>9</v>
      </c>
      <c r="U60" s="5">
        <f t="shared" si="16"/>
        <v>0</v>
      </c>
      <c r="V60" s="5">
        <f t="shared" si="17"/>
        <v>0</v>
      </c>
      <c r="W60" s="201">
        <f t="shared" si="35"/>
        <v>11</v>
      </c>
      <c r="X60" s="202"/>
      <c r="Y60" s="201">
        <f t="shared" si="37"/>
        <v>11</v>
      </c>
      <c r="Z60" s="202"/>
      <c r="AA60" s="1388" t="str">
        <f>A60</f>
        <v>Leyland</v>
      </c>
      <c r="AB60" t="str">
        <f t="shared" si="10"/>
        <v>LLDMTX-DCSYS01</v>
      </c>
    </row>
    <row r="61" spans="1:28">
      <c r="A61" s="97" t="str">
        <f>'Plant loading'!A57</f>
        <v>Leyland</v>
      </c>
      <c r="B61" s="97" t="str">
        <f>'Plant loading'!B57</f>
        <v>LLDMTX-DCSYS02</v>
      </c>
      <c r="C61" s="98">
        <f>('Plant loading'!E57*54.5)/1000</f>
        <v>45.0715</v>
      </c>
      <c r="D61" s="99" t="str">
        <f t="shared" si="33"/>
        <v>2.5 hours</v>
      </c>
      <c r="E61" s="351">
        <v>44835</v>
      </c>
      <c r="F61" s="351">
        <v>44835</v>
      </c>
      <c r="G61" s="351">
        <v>44835</v>
      </c>
      <c r="H61" s="351">
        <v>44835</v>
      </c>
      <c r="I61" s="351">
        <v>44835</v>
      </c>
      <c r="J61" s="351">
        <v>44835</v>
      </c>
      <c r="K61" s="351">
        <v>44835</v>
      </c>
      <c r="L61" s="351">
        <v>44835</v>
      </c>
      <c r="M61" s="351">
        <v>44835</v>
      </c>
      <c r="N61" s="351"/>
      <c r="O61" s="351"/>
      <c r="P61" s="351" t="s">
        <v>620</v>
      </c>
      <c r="Q61"/>
      <c r="R61" s="5">
        <f t="shared" si="14"/>
        <v>9</v>
      </c>
      <c r="S61" s="5">
        <f t="shared" si="15"/>
        <v>5.0079444444444441</v>
      </c>
      <c r="T61" s="5">
        <f t="shared" si="34"/>
        <v>10</v>
      </c>
      <c r="U61" s="5">
        <f t="shared" si="16"/>
        <v>0</v>
      </c>
      <c r="V61" s="5">
        <f t="shared" si="17"/>
        <v>0</v>
      </c>
      <c r="W61" s="201">
        <f t="shared" si="35"/>
        <v>11</v>
      </c>
      <c r="X61" s="202"/>
      <c r="Y61" s="201">
        <f t="shared" si="37"/>
        <v>11</v>
      </c>
      <c r="Z61" s="202"/>
      <c r="AA61" s="1388"/>
      <c r="AB61" t="str">
        <f t="shared" si="10"/>
        <v>LLDMTX-DCSYS02</v>
      </c>
    </row>
    <row r="62" spans="1:28">
      <c r="A62" s="97" t="str">
        <f>'Plant loading'!A58</f>
        <v>Leyland</v>
      </c>
      <c r="B62" s="97" t="str">
        <f>'Plant loading'!B58</f>
        <v>LLDMTX-DCSYS03</v>
      </c>
      <c r="C62" s="98">
        <f>('Plant loading'!E58*54.5)/1000</f>
        <v>51.774999999999999</v>
      </c>
      <c r="D62" s="99" t="str">
        <f t="shared" si="33"/>
        <v>2 hours</v>
      </c>
      <c r="E62" s="351">
        <v>44835</v>
      </c>
      <c r="F62" s="351">
        <v>44835</v>
      </c>
      <c r="G62" s="351">
        <v>44835</v>
      </c>
      <c r="H62" s="351">
        <v>44835</v>
      </c>
      <c r="I62" s="351">
        <v>44835</v>
      </c>
      <c r="J62" s="351">
        <v>44835</v>
      </c>
      <c r="K62" s="351">
        <v>44835</v>
      </c>
      <c r="L62" s="351">
        <v>44835</v>
      </c>
      <c r="M62" s="351">
        <v>44835</v>
      </c>
      <c r="N62" s="351"/>
      <c r="O62" s="351"/>
      <c r="P62" s="351" t="s">
        <v>620</v>
      </c>
      <c r="Q62"/>
      <c r="R62" s="5">
        <f t="shared" si="14"/>
        <v>9</v>
      </c>
      <c r="S62" s="5">
        <f t="shared" si="15"/>
        <v>5.7527777777777773</v>
      </c>
      <c r="T62" s="5">
        <f t="shared" si="34"/>
        <v>9</v>
      </c>
      <c r="U62" s="5">
        <f t="shared" si="16"/>
        <v>0</v>
      </c>
      <c r="V62" s="5">
        <f t="shared" si="17"/>
        <v>0</v>
      </c>
      <c r="W62" s="201">
        <f t="shared" si="35"/>
        <v>11</v>
      </c>
      <c r="X62" s="202"/>
      <c r="Y62" s="201">
        <f t="shared" si="37"/>
        <v>11</v>
      </c>
      <c r="Z62" s="202"/>
      <c r="AA62" s="1388"/>
      <c r="AB62" t="str">
        <f t="shared" si="10"/>
        <v>LLDMTX-DCSYS03</v>
      </c>
    </row>
    <row r="63" spans="1:28">
      <c r="A63" s="97" t="str">
        <f>'Plant loading'!A59</f>
        <v>Leyland</v>
      </c>
      <c r="B63" s="97" t="str">
        <f>'Plant loading'!B59</f>
        <v>LLDMTX-DCSYS04</v>
      </c>
      <c r="C63" s="98">
        <f>('Plant loading'!E59*54.5)/1000</f>
        <v>47.2515</v>
      </c>
      <c r="D63" s="99" t="str">
        <f t="shared" si="33"/>
        <v>2 hours</v>
      </c>
      <c r="E63" s="351">
        <v>44378</v>
      </c>
      <c r="F63" s="351">
        <v>44378</v>
      </c>
      <c r="G63" s="351">
        <v>44378</v>
      </c>
      <c r="H63" s="351">
        <v>44378</v>
      </c>
      <c r="I63" s="351">
        <v>44378</v>
      </c>
      <c r="J63" s="351">
        <v>44378</v>
      </c>
      <c r="K63" s="351">
        <v>44378</v>
      </c>
      <c r="L63" s="351">
        <v>44378</v>
      </c>
      <c r="M63" s="351">
        <v>44378</v>
      </c>
      <c r="N63" s="351"/>
      <c r="O63" s="351"/>
      <c r="P63" s="351" t="s">
        <v>620</v>
      </c>
      <c r="Q63"/>
      <c r="R63" s="5">
        <f t="shared" si="14"/>
        <v>9</v>
      </c>
      <c r="S63" s="5">
        <f t="shared" si="15"/>
        <v>5.2501666666666669</v>
      </c>
      <c r="T63" s="5">
        <f t="shared" si="34"/>
        <v>9</v>
      </c>
      <c r="U63" s="5">
        <f t="shared" si="16"/>
        <v>0</v>
      </c>
      <c r="V63" s="5">
        <f t="shared" si="17"/>
        <v>0</v>
      </c>
      <c r="W63" s="201">
        <f t="shared" si="35"/>
        <v>9</v>
      </c>
      <c r="X63" s="202"/>
      <c r="Y63" s="201">
        <f t="shared" si="37"/>
        <v>9</v>
      </c>
      <c r="Z63" s="202"/>
      <c r="AA63" s="1388"/>
      <c r="AB63" t="str">
        <f t="shared" si="10"/>
        <v>LLDMTX-DCSYS04</v>
      </c>
    </row>
    <row r="64" spans="1:28">
      <c r="A64" s="97" t="str">
        <f>'Plant loading'!A60</f>
        <v>Leyland</v>
      </c>
      <c r="B64" s="97" t="str">
        <f>'Plant loading'!B60</f>
        <v>LLDMTX-DCSYS05</v>
      </c>
      <c r="C64" s="98">
        <f>('Plant loading'!E60*54.5)/1000</f>
        <v>49.758499999999998</v>
      </c>
      <c r="D64" s="99" t="str">
        <f t="shared" si="33"/>
        <v>2 hours</v>
      </c>
      <c r="E64" s="351">
        <v>44835</v>
      </c>
      <c r="F64" s="351">
        <v>44835</v>
      </c>
      <c r="G64" s="351">
        <v>44835</v>
      </c>
      <c r="H64" s="351">
        <v>44835</v>
      </c>
      <c r="I64" s="351">
        <v>44835</v>
      </c>
      <c r="J64" s="351">
        <v>44835</v>
      </c>
      <c r="K64" s="351">
        <v>44835</v>
      </c>
      <c r="L64" s="351">
        <v>44835</v>
      </c>
      <c r="M64" s="351">
        <v>44835</v>
      </c>
      <c r="N64" s="351"/>
      <c r="O64" s="351"/>
      <c r="P64" s="351" t="s">
        <v>620</v>
      </c>
      <c r="Q64"/>
      <c r="R64" s="5">
        <f t="shared" si="14"/>
        <v>9</v>
      </c>
      <c r="S64" s="5">
        <f t="shared" si="15"/>
        <v>5.5287222222222221</v>
      </c>
      <c r="T64" s="5">
        <f t="shared" si="34"/>
        <v>9</v>
      </c>
      <c r="U64" s="5">
        <f t="shared" si="16"/>
        <v>0</v>
      </c>
      <c r="V64" s="5">
        <f t="shared" si="17"/>
        <v>0</v>
      </c>
      <c r="W64" s="201">
        <f t="shared" si="35"/>
        <v>11</v>
      </c>
      <c r="X64" s="202"/>
      <c r="Y64" s="201">
        <f t="shared" si="37"/>
        <v>11</v>
      </c>
      <c r="Z64" s="202"/>
      <c r="AA64" s="1388"/>
      <c r="AB64" t="str">
        <f t="shared" si="10"/>
        <v>LLDMTX-DCSYS05</v>
      </c>
    </row>
    <row r="65" spans="1:28">
      <c r="A65" s="97" t="str">
        <f>'Plant loading'!A61</f>
        <v>Leyland</v>
      </c>
      <c r="B65" s="97" t="str">
        <f>'Plant loading'!B61</f>
        <v>LLDMTX-DCSYS06</v>
      </c>
      <c r="C65" s="98">
        <f>('Plant loading'!E61*54.5)/1000</f>
        <v>48.9955</v>
      </c>
      <c r="D65" s="99" t="str">
        <f t="shared" si="33"/>
        <v>2 hours</v>
      </c>
      <c r="E65" s="351">
        <v>44835</v>
      </c>
      <c r="F65" s="351">
        <v>44835</v>
      </c>
      <c r="G65" s="351">
        <v>44835</v>
      </c>
      <c r="H65" s="351">
        <v>44835</v>
      </c>
      <c r="I65" s="351">
        <v>44835</v>
      </c>
      <c r="J65" s="351">
        <v>44835</v>
      </c>
      <c r="K65" s="351">
        <v>44835</v>
      </c>
      <c r="L65" s="351">
        <v>44835</v>
      </c>
      <c r="M65" s="351">
        <v>44835</v>
      </c>
      <c r="N65" s="351"/>
      <c r="O65" s="351"/>
      <c r="P65" s="351" t="s">
        <v>620</v>
      </c>
      <c r="Q65"/>
      <c r="R65" s="5">
        <f t="shared" si="14"/>
        <v>9</v>
      </c>
      <c r="S65" s="5">
        <f t="shared" si="15"/>
        <v>5.443944444444444</v>
      </c>
      <c r="T65" s="5">
        <f t="shared" si="34"/>
        <v>9</v>
      </c>
      <c r="U65" s="5">
        <f t="shared" si="16"/>
        <v>0</v>
      </c>
      <c r="V65" s="5">
        <f t="shared" si="17"/>
        <v>0</v>
      </c>
      <c r="W65" s="201">
        <f t="shared" si="35"/>
        <v>11</v>
      </c>
      <c r="X65" s="202"/>
      <c r="Y65" s="201">
        <f t="shared" si="37"/>
        <v>11</v>
      </c>
      <c r="Z65" s="202"/>
      <c r="AA65" s="1388"/>
      <c r="AB65" t="str">
        <f t="shared" si="10"/>
        <v>LLDMTX-DCSYS06</v>
      </c>
    </row>
    <row r="66" spans="1:28">
      <c r="A66" s="97" t="str">
        <f>'Plant loading'!A62</f>
        <v>Leyland</v>
      </c>
      <c r="B66" s="97" t="str">
        <f>'Plant loading'!B62</f>
        <v>LLDMTX-DCSYS07a</v>
      </c>
      <c r="C66" s="98">
        <f>('Plant loading'!E62*54.5)/1000</f>
        <v>21.5275</v>
      </c>
      <c r="D66" s="99" t="str">
        <f t="shared" ref="D66:D67" si="39">CHOOSE(T66,$C$130,$D$130,$E$130,$F$130,$G$130,$H$130,$I$130,$J$130,$K$130,$L$130,$M$130,$N$130,$O$130,$P$130,$Q$130,$R$130)</f>
        <v>3 hours</v>
      </c>
      <c r="E66" s="351">
        <v>44256</v>
      </c>
      <c r="F66" s="351">
        <v>44256</v>
      </c>
      <c r="G66" s="351">
        <v>44256</v>
      </c>
      <c r="H66" s="351">
        <v>44256</v>
      </c>
      <c r="I66" s="351">
        <v>44256</v>
      </c>
      <c r="J66" s="351"/>
      <c r="K66" s="351"/>
      <c r="L66" s="351"/>
      <c r="M66" s="351"/>
      <c r="N66" s="351"/>
      <c r="O66" s="351"/>
      <c r="P66" s="351" t="s">
        <v>620</v>
      </c>
      <c r="Q66"/>
      <c r="R66" s="5">
        <f t="shared" ref="R66:R67" si="40">COUNT(E66:P66)</f>
        <v>5</v>
      </c>
      <c r="S66" s="5">
        <f t="shared" ref="S66:S67" si="41">C66/R66</f>
        <v>4.3055000000000003</v>
      </c>
      <c r="T66" s="5">
        <f t="shared" ref="T66:T67" si="42">MATCH(S66,$C$134:$R$134,-1)</f>
        <v>11</v>
      </c>
      <c r="U66" s="5">
        <f t="shared" ref="U66:U67" si="43">COUNTIFS(E66:P66,"&gt;="&amp;$D$3,E66:P66,"&lt;="&amp;$E$3)</f>
        <v>0</v>
      </c>
      <c r="V66" s="5">
        <f t="shared" ref="V66:V67" si="44">COUNTIFS(E66:P66,"&lt;="&amp;$E$2)</f>
        <v>0</v>
      </c>
      <c r="W66" s="201"/>
      <c r="X66" s="202"/>
      <c r="Y66" s="201"/>
      <c r="Z66" s="202"/>
      <c r="AA66" s="905"/>
      <c r="AB66" t="str">
        <f t="shared" si="10"/>
        <v>LLDMTX-DCSYS07a</v>
      </c>
    </row>
    <row r="67" spans="1:28">
      <c r="A67" s="97" t="str">
        <f>'Plant loading'!A63</f>
        <v>Leyland</v>
      </c>
      <c r="B67" s="97" t="str">
        <f>'Plant loading'!B63</f>
        <v>LLDMTX-DCSYS07b</v>
      </c>
      <c r="C67" s="98">
        <f>('Plant loading'!E63*54.5)/1000</f>
        <v>21.472999999999999</v>
      </c>
      <c r="D67" s="99" t="str">
        <f t="shared" si="39"/>
        <v>3 hours</v>
      </c>
      <c r="E67" s="351">
        <v>44256</v>
      </c>
      <c r="F67" s="351">
        <v>44256</v>
      </c>
      <c r="G67" s="351">
        <v>44256</v>
      </c>
      <c r="H67" s="351">
        <v>44256</v>
      </c>
      <c r="I67" s="351">
        <v>44256</v>
      </c>
      <c r="J67" s="351"/>
      <c r="K67" s="351"/>
      <c r="L67" s="351"/>
      <c r="M67" s="351"/>
      <c r="N67" s="351"/>
      <c r="O67" s="351"/>
      <c r="P67" s="351" t="s">
        <v>620</v>
      </c>
      <c r="Q67"/>
      <c r="R67" s="5">
        <f t="shared" si="40"/>
        <v>5</v>
      </c>
      <c r="S67" s="5">
        <f t="shared" si="41"/>
        <v>4.2946</v>
      </c>
      <c r="T67" s="5">
        <f t="shared" si="42"/>
        <v>11</v>
      </c>
      <c r="U67" s="5">
        <f t="shared" si="43"/>
        <v>0</v>
      </c>
      <c r="V67" s="5">
        <f t="shared" si="44"/>
        <v>0</v>
      </c>
      <c r="W67" s="201"/>
      <c r="X67" s="202"/>
      <c r="Y67" s="201"/>
      <c r="Z67" s="202"/>
      <c r="AA67" s="905"/>
      <c r="AB67" t="str">
        <f t="shared" si="10"/>
        <v>LLDMTX-DCSYS07b</v>
      </c>
    </row>
    <row r="68" spans="1:28">
      <c r="A68" s="752" t="str">
        <f>'Plant loading'!A64</f>
        <v>Milton Keynes</v>
      </c>
      <c r="B68" s="752" t="str">
        <f>'Plant loading'!B64</f>
        <v>PEAMS</v>
      </c>
      <c r="C68" s="753">
        <f>('Plant loading'!E64*54.5)/1000</f>
        <v>57.225000000000001</v>
      </c>
      <c r="D68" s="754" t="str">
        <f t="shared" ref="D68:D73" si="45">CHOOSE(T68,$C$130,$D$130,$E$130,$F$130,$G$130,$H$130,$I$130,$J$130,$K$130,$L$130,$M$130,$N$130,$O$130,$P$130,$Q$130,$R$130)</f>
        <v>2 hours</v>
      </c>
      <c r="E68" s="755">
        <v>45139</v>
      </c>
      <c r="F68" s="755">
        <v>45139</v>
      </c>
      <c r="G68" s="755">
        <v>45139</v>
      </c>
      <c r="H68" s="755">
        <v>45139</v>
      </c>
      <c r="I68" s="755">
        <v>45139</v>
      </c>
      <c r="J68" s="755">
        <v>45139</v>
      </c>
      <c r="K68" s="755">
        <v>45139</v>
      </c>
      <c r="L68" s="755">
        <v>45139</v>
      </c>
      <c r="M68" s="755">
        <v>45139</v>
      </c>
      <c r="N68" s="755">
        <v>45139</v>
      </c>
      <c r="O68" s="755"/>
      <c r="P68" s="755" t="s">
        <v>620</v>
      </c>
      <c r="Q68"/>
      <c r="R68" s="5">
        <f t="shared" si="14"/>
        <v>10</v>
      </c>
      <c r="S68" s="5">
        <f t="shared" si="15"/>
        <v>5.7225000000000001</v>
      </c>
      <c r="T68" s="5">
        <f t="shared" ref="T68:T73" si="46">MATCH(S68,$C$134:$R$134,-1)</f>
        <v>9</v>
      </c>
      <c r="U68" s="5">
        <f t="shared" si="16"/>
        <v>0</v>
      </c>
      <c r="V68" s="5">
        <f t="shared" si="17"/>
        <v>0</v>
      </c>
      <c r="W68" s="201">
        <f t="shared" ref="W68:W73" si="47">MATCH($E68,$B$177:$Q$177,1)</f>
        <v>13</v>
      </c>
      <c r="X68" s="203" t="str">
        <f t="shared" ref="X68:X73" si="48">CHOOSE(ROUNDUP((W68/2),0),$B$179,$D$179,$F$179,$H$179,$J$179,$L$179,$N$179,$P$179)</f>
        <v>IR+HC</v>
      </c>
      <c r="Y68" s="201">
        <f t="shared" ref="Y68:Y73" si="49">MATCH($E68,$B$183:$S$183,1)</f>
        <v>13</v>
      </c>
      <c r="Z68" s="203" t="str">
        <f t="shared" ref="Z68:Z73" si="50">CHOOSE(ROUNDUP((Y68/2),0),$B$185,$D$185,$F$185,$H$185,$J$185,$L$185,$N$185,$P$185,$R$185)</f>
        <v>Discharge</v>
      </c>
      <c r="AA68" s="1389" t="str">
        <f>A68</f>
        <v>Milton Keynes</v>
      </c>
      <c r="AB68" t="str">
        <f t="shared" si="10"/>
        <v>PEAMS</v>
      </c>
    </row>
    <row r="69" spans="1:28">
      <c r="A69" s="100" t="str">
        <f>'Plant loading'!A65</f>
        <v>Milton Keynes</v>
      </c>
      <c r="B69" s="100" t="str">
        <f>'Plant loading'!B65</f>
        <v>PEBMS</v>
      </c>
      <c r="C69" s="101">
        <f>('Plant loading'!E65*54.5)/1000</f>
        <v>53.682499999999997</v>
      </c>
      <c r="D69" s="102" t="str">
        <f t="shared" si="45"/>
        <v>2 hours</v>
      </c>
      <c r="E69" s="351">
        <v>45139</v>
      </c>
      <c r="F69" s="351">
        <v>45139</v>
      </c>
      <c r="G69" s="351">
        <v>45139</v>
      </c>
      <c r="H69" s="351">
        <v>45139</v>
      </c>
      <c r="I69" s="351">
        <v>45139</v>
      </c>
      <c r="J69" s="351">
        <v>45139</v>
      </c>
      <c r="K69" s="351">
        <v>45139</v>
      </c>
      <c r="L69" s="351">
        <v>45139</v>
      </c>
      <c r="M69" s="351">
        <v>45139</v>
      </c>
      <c r="N69" s="351">
        <v>45139</v>
      </c>
      <c r="O69" s="351"/>
      <c r="P69" s="351" t="s">
        <v>620</v>
      </c>
      <c r="Q69"/>
      <c r="R69" s="5">
        <f t="shared" si="14"/>
        <v>10</v>
      </c>
      <c r="S69" s="5">
        <f t="shared" si="15"/>
        <v>5.3682499999999997</v>
      </c>
      <c r="T69" s="5">
        <f t="shared" si="46"/>
        <v>9</v>
      </c>
      <c r="U69" s="5">
        <f t="shared" si="16"/>
        <v>0</v>
      </c>
      <c r="V69" s="5">
        <f t="shared" si="17"/>
        <v>0</v>
      </c>
      <c r="W69" s="201">
        <f t="shared" si="47"/>
        <v>13</v>
      </c>
      <c r="X69" s="203" t="str">
        <f t="shared" si="48"/>
        <v>IR+HC</v>
      </c>
      <c r="Y69" s="201">
        <f t="shared" si="49"/>
        <v>13</v>
      </c>
      <c r="Z69" s="203" t="str">
        <f t="shared" si="50"/>
        <v>Discharge</v>
      </c>
      <c r="AA69" s="1389"/>
      <c r="AB69" t="str">
        <f t="shared" si="10"/>
        <v>PEBMS</v>
      </c>
    </row>
    <row r="70" spans="1:28">
      <c r="A70" s="100" t="str">
        <f>'Plant loading'!A66</f>
        <v>Milton Keynes</v>
      </c>
      <c r="B70" s="100" t="str">
        <f>'Plant loading'!B66</f>
        <v>PECMS</v>
      </c>
      <c r="C70" s="101">
        <f>('Plant loading'!E66*54.5)/1000</f>
        <v>53.301000000000002</v>
      </c>
      <c r="D70" s="102" t="str">
        <f t="shared" si="45"/>
        <v>2 hours</v>
      </c>
      <c r="E70" s="351">
        <v>45139</v>
      </c>
      <c r="F70" s="351">
        <v>45139</v>
      </c>
      <c r="G70" s="351">
        <v>45139</v>
      </c>
      <c r="H70" s="351">
        <v>45139</v>
      </c>
      <c r="I70" s="351">
        <v>45139</v>
      </c>
      <c r="J70" s="351">
        <v>45139</v>
      </c>
      <c r="K70" s="351">
        <v>45139</v>
      </c>
      <c r="L70" s="351">
        <v>45139</v>
      </c>
      <c r="M70" s="351">
        <v>45139</v>
      </c>
      <c r="N70" s="351">
        <v>45139</v>
      </c>
      <c r="O70" s="351"/>
      <c r="P70" s="351" t="s">
        <v>620</v>
      </c>
      <c r="Q70"/>
      <c r="R70" s="5">
        <f t="shared" si="14"/>
        <v>10</v>
      </c>
      <c r="S70" s="5">
        <f t="shared" si="15"/>
        <v>5.3300999999999998</v>
      </c>
      <c r="T70" s="5">
        <f t="shared" si="46"/>
        <v>9</v>
      </c>
      <c r="U70" s="5">
        <f t="shared" si="16"/>
        <v>0</v>
      </c>
      <c r="V70" s="5">
        <f t="shared" si="17"/>
        <v>0</v>
      </c>
      <c r="W70" s="201">
        <f t="shared" si="47"/>
        <v>13</v>
      </c>
      <c r="X70" s="203" t="str">
        <f t="shared" si="48"/>
        <v>IR+HC</v>
      </c>
      <c r="Y70" s="201">
        <f t="shared" si="49"/>
        <v>13</v>
      </c>
      <c r="Z70" s="203" t="str">
        <f t="shared" si="50"/>
        <v>Discharge</v>
      </c>
      <c r="AA70" s="1389"/>
      <c r="AB70" t="str">
        <f t="shared" si="10"/>
        <v>PECMS</v>
      </c>
    </row>
    <row r="71" spans="1:28">
      <c r="A71" s="100" t="str">
        <f>'Plant loading'!A67</f>
        <v>Milton Keynes</v>
      </c>
      <c r="B71" s="100" t="str">
        <f>'Plant loading'!B67</f>
        <v>PEDMS</v>
      </c>
      <c r="C71" s="101">
        <f>('Plant loading'!E67*54.5)/1000</f>
        <v>61.585000000000001</v>
      </c>
      <c r="D71" s="102" t="str">
        <f t="shared" si="45"/>
        <v>1.5 hours</v>
      </c>
      <c r="E71" s="351">
        <v>45139</v>
      </c>
      <c r="F71" s="351">
        <v>45139</v>
      </c>
      <c r="G71" s="351">
        <v>45139</v>
      </c>
      <c r="H71" s="351">
        <v>45139</v>
      </c>
      <c r="I71" s="351">
        <v>45139</v>
      </c>
      <c r="J71" s="351">
        <v>45139</v>
      </c>
      <c r="K71" s="351">
        <v>45139</v>
      </c>
      <c r="L71" s="351">
        <v>45139</v>
      </c>
      <c r="M71" s="351">
        <v>45139</v>
      </c>
      <c r="N71" s="351">
        <v>45139</v>
      </c>
      <c r="O71" s="351"/>
      <c r="P71" s="351" t="s">
        <v>620</v>
      </c>
      <c r="Q71"/>
      <c r="R71" s="5">
        <f t="shared" si="14"/>
        <v>10</v>
      </c>
      <c r="S71" s="5">
        <f t="shared" si="15"/>
        <v>6.1585000000000001</v>
      </c>
      <c r="T71" s="5">
        <f t="shared" si="46"/>
        <v>8</v>
      </c>
      <c r="U71" s="5">
        <f t="shared" si="16"/>
        <v>0</v>
      </c>
      <c r="V71" s="5">
        <f t="shared" si="17"/>
        <v>0</v>
      </c>
      <c r="W71" s="201">
        <f t="shared" si="47"/>
        <v>13</v>
      </c>
      <c r="X71" s="203" t="str">
        <f t="shared" si="48"/>
        <v>IR+HC</v>
      </c>
      <c r="Y71" s="201">
        <f t="shared" si="49"/>
        <v>13</v>
      </c>
      <c r="Z71" s="203" t="str">
        <f t="shared" si="50"/>
        <v>Discharge</v>
      </c>
      <c r="AA71" s="1389"/>
      <c r="AB71" t="str">
        <f t="shared" si="10"/>
        <v>PEDMS</v>
      </c>
    </row>
    <row r="72" spans="1:28">
      <c r="A72" s="100" t="str">
        <f>'Plant loading'!A68</f>
        <v>Milton Keynes</v>
      </c>
      <c r="B72" s="100" t="str">
        <f>'Plant loading'!B68</f>
        <v>PEEMS</v>
      </c>
      <c r="C72" s="101">
        <f>('Plant loading'!E68*54.5)/1000</f>
        <v>57.006999999999998</v>
      </c>
      <c r="D72" s="102" t="str">
        <f t="shared" si="45"/>
        <v>2 hours</v>
      </c>
      <c r="E72" s="351">
        <v>45139</v>
      </c>
      <c r="F72" s="351">
        <v>45139</v>
      </c>
      <c r="G72" s="351">
        <v>45139</v>
      </c>
      <c r="H72" s="351">
        <v>45139</v>
      </c>
      <c r="I72" s="351">
        <v>45139</v>
      </c>
      <c r="J72" s="351">
        <v>45139</v>
      </c>
      <c r="K72" s="351">
        <v>45139</v>
      </c>
      <c r="L72" s="351">
        <v>45139</v>
      </c>
      <c r="M72" s="351">
        <v>45139</v>
      </c>
      <c r="N72" s="351">
        <v>45139</v>
      </c>
      <c r="O72" s="351"/>
      <c r="P72" s="351" t="s">
        <v>620</v>
      </c>
      <c r="Q72"/>
      <c r="R72" s="5">
        <f t="shared" si="14"/>
        <v>10</v>
      </c>
      <c r="S72" s="5">
        <f t="shared" si="15"/>
        <v>5.7006999999999994</v>
      </c>
      <c r="T72" s="5">
        <f t="shared" si="46"/>
        <v>9</v>
      </c>
      <c r="U72" s="5">
        <f t="shared" si="16"/>
        <v>0</v>
      </c>
      <c r="V72" s="5">
        <f t="shared" si="17"/>
        <v>0</v>
      </c>
      <c r="W72" s="201">
        <f t="shared" si="47"/>
        <v>13</v>
      </c>
      <c r="X72" s="203" t="str">
        <f t="shared" si="48"/>
        <v>IR+HC</v>
      </c>
      <c r="Y72" s="201">
        <f t="shared" si="49"/>
        <v>13</v>
      </c>
      <c r="Z72" s="203" t="str">
        <f t="shared" si="50"/>
        <v>Discharge</v>
      </c>
      <c r="AA72" s="1389"/>
      <c r="AB72" t="str">
        <f t="shared" si="10"/>
        <v>PEEMS</v>
      </c>
    </row>
    <row r="73" spans="1:28">
      <c r="A73" s="100" t="str">
        <f>'Plant loading'!A69</f>
        <v>Milton Keynes</v>
      </c>
      <c r="B73" s="100" t="str">
        <f>'Plant loading'!B69</f>
        <v>PEFMS</v>
      </c>
      <c r="C73" s="101">
        <f>('Plant loading'!E69*54.5)/1000</f>
        <v>56.625500000000002</v>
      </c>
      <c r="D73" s="102" t="str">
        <f t="shared" si="45"/>
        <v>2 hours</v>
      </c>
      <c r="E73" s="351">
        <v>45139</v>
      </c>
      <c r="F73" s="351">
        <v>45139</v>
      </c>
      <c r="G73" s="351">
        <v>45139</v>
      </c>
      <c r="H73" s="351">
        <v>45139</v>
      </c>
      <c r="I73" s="351">
        <v>45139</v>
      </c>
      <c r="J73" s="351">
        <v>45139</v>
      </c>
      <c r="K73" s="351">
        <v>45139</v>
      </c>
      <c r="L73" s="351">
        <v>45139</v>
      </c>
      <c r="M73" s="351">
        <v>45139</v>
      </c>
      <c r="N73" s="351">
        <v>45139</v>
      </c>
      <c r="O73" s="351"/>
      <c r="P73" s="351" t="s">
        <v>620</v>
      </c>
      <c r="Q73"/>
      <c r="R73" s="5">
        <f t="shared" si="14"/>
        <v>10</v>
      </c>
      <c r="S73" s="5">
        <f t="shared" si="15"/>
        <v>5.6625500000000004</v>
      </c>
      <c r="T73" s="5">
        <f t="shared" si="46"/>
        <v>9</v>
      </c>
      <c r="U73" s="5">
        <f t="shared" si="16"/>
        <v>0</v>
      </c>
      <c r="V73" s="5">
        <f t="shared" si="17"/>
        <v>0</v>
      </c>
      <c r="W73" s="201">
        <f t="shared" si="47"/>
        <v>13</v>
      </c>
      <c r="X73" s="203" t="str">
        <f t="shared" si="48"/>
        <v>IR+HC</v>
      </c>
      <c r="Y73" s="201">
        <f t="shared" si="49"/>
        <v>13</v>
      </c>
      <c r="Z73" s="203" t="str">
        <f t="shared" si="50"/>
        <v>Discharge</v>
      </c>
      <c r="AA73" s="1389"/>
      <c r="AB73" t="str">
        <f t="shared" ref="AB73:AB122" si="51">B73</f>
        <v>PEFMS</v>
      </c>
    </row>
    <row r="74" spans="1:28">
      <c r="A74" s="100" t="str">
        <f>'Plant loading'!A70</f>
        <v>Milton Keynes</v>
      </c>
      <c r="B74" s="100" t="str">
        <f>'Plant loading'!B70</f>
        <v>MKSMTX-DCSYS07a</v>
      </c>
      <c r="C74" s="101">
        <f>('Plant loading'!E70*54.5)/1000</f>
        <v>14.224500000000001</v>
      </c>
      <c r="D74" s="102" t="str">
        <f t="shared" ref="D74:D75" si="52">CHOOSE(T74,$C$130,$D$130,$E$130,$F$130,$G$130,$H$130,$I$130,$J$130,$K$130,$L$130,$M$130,$N$130,$O$130,$P$130,$Q$130,$R$130)</f>
        <v>5 hours</v>
      </c>
      <c r="E74" s="351">
        <v>44256</v>
      </c>
      <c r="F74" s="351">
        <v>44256</v>
      </c>
      <c r="G74" s="351">
        <v>44256</v>
      </c>
      <c r="H74" s="351">
        <v>44256</v>
      </c>
      <c r="I74" s="351">
        <v>44256</v>
      </c>
      <c r="J74" s="351"/>
      <c r="K74" s="351"/>
      <c r="L74" s="351"/>
      <c r="M74" s="351"/>
      <c r="N74" s="351"/>
      <c r="O74" s="351"/>
      <c r="P74" s="351" t="s">
        <v>620</v>
      </c>
      <c r="Q74"/>
      <c r="R74" s="5">
        <f t="shared" ref="R74:R75" si="53">COUNT(E74:P74)</f>
        <v>5</v>
      </c>
      <c r="S74" s="5">
        <f t="shared" ref="S74:S75" si="54">C74/R74</f>
        <v>2.8449</v>
      </c>
      <c r="T74" s="5">
        <f t="shared" ref="T74:T75" si="55">MATCH(S74,$C$134:$R$134,-1)</f>
        <v>13</v>
      </c>
      <c r="U74" s="5">
        <f t="shared" ref="U74:U75" si="56">COUNTIFS(E74:P74,"&gt;="&amp;$D$3,E74:P74,"&lt;="&amp;$E$3)</f>
        <v>0</v>
      </c>
      <c r="V74" s="5">
        <f t="shared" ref="V74:V75" si="57">COUNTIFS(E74:P74,"&lt;="&amp;$E$2)</f>
        <v>0</v>
      </c>
      <c r="W74" s="201"/>
      <c r="X74" s="203"/>
      <c r="Y74" s="201"/>
      <c r="Z74" s="203"/>
      <c r="AA74" s="810"/>
      <c r="AB74" t="str">
        <f t="shared" si="51"/>
        <v>MKSMTX-DCSYS07a</v>
      </c>
    </row>
    <row r="75" spans="1:28">
      <c r="A75" s="100" t="str">
        <f>'Plant loading'!A71</f>
        <v>Milton Keynes</v>
      </c>
      <c r="B75" s="100" t="str">
        <f>'Plant loading'!B71</f>
        <v>MKSMTX-DCSYS07b</v>
      </c>
      <c r="C75" s="101">
        <f>('Plant loading'!E71*54.5)/1000</f>
        <v>14.497</v>
      </c>
      <c r="D75" s="102" t="str">
        <f t="shared" si="52"/>
        <v>5 hours</v>
      </c>
      <c r="E75" s="351">
        <v>44256</v>
      </c>
      <c r="F75" s="351">
        <v>44256</v>
      </c>
      <c r="G75" s="351">
        <v>44256</v>
      </c>
      <c r="H75" s="351">
        <v>44256</v>
      </c>
      <c r="I75" s="351">
        <v>44256</v>
      </c>
      <c r="J75" s="351"/>
      <c r="K75" s="351"/>
      <c r="L75" s="351"/>
      <c r="M75" s="351"/>
      <c r="N75" s="351"/>
      <c r="O75" s="351"/>
      <c r="P75" s="351" t="s">
        <v>620</v>
      </c>
      <c r="Q75"/>
      <c r="R75" s="5">
        <f t="shared" si="53"/>
        <v>5</v>
      </c>
      <c r="S75" s="5">
        <f t="shared" si="54"/>
        <v>2.8994</v>
      </c>
      <c r="T75" s="5">
        <f t="shared" si="55"/>
        <v>13</v>
      </c>
      <c r="U75" s="5">
        <f t="shared" si="56"/>
        <v>0</v>
      </c>
      <c r="V75" s="5">
        <f t="shared" si="57"/>
        <v>0</v>
      </c>
      <c r="W75" s="201"/>
      <c r="X75" s="203"/>
      <c r="Y75" s="201"/>
      <c r="Z75" s="203"/>
      <c r="AA75" s="810"/>
      <c r="AB75" t="str">
        <f t="shared" si="51"/>
        <v>MKSMTX-DCSYS07b</v>
      </c>
    </row>
    <row r="76" spans="1:28">
      <c r="A76" s="760" t="str">
        <f>'Plant loading'!A72</f>
        <v>Oldham</v>
      </c>
      <c r="B76" s="760" t="str">
        <f>'Plant loading'!B72</f>
        <v>OLDMTX-DCSYS01</v>
      </c>
      <c r="C76" s="761">
        <f>('Plant loading'!E72*54.5)/1000</f>
        <v>48.5595</v>
      </c>
      <c r="D76" s="762" t="str">
        <f t="shared" ref="D76:D81" si="58">CHOOSE(T76,$C$130,$D$130,$E$130,$F$130,$G$130,$H$130,$I$130,$J$130,$K$130,$L$130,$M$130,$N$130,$O$130,$P$130,$Q$130,$R$130)</f>
        <v>2 hours</v>
      </c>
      <c r="E76" s="755">
        <v>43891</v>
      </c>
      <c r="F76" s="755">
        <v>43891</v>
      </c>
      <c r="G76" s="755">
        <v>43891</v>
      </c>
      <c r="H76" s="755">
        <v>43891</v>
      </c>
      <c r="I76" s="755">
        <v>43891</v>
      </c>
      <c r="J76" s="755">
        <v>43891</v>
      </c>
      <c r="K76" s="755">
        <v>43891</v>
      </c>
      <c r="L76" s="755">
        <v>43891</v>
      </c>
      <c r="M76" s="755">
        <v>43891</v>
      </c>
      <c r="N76" s="755"/>
      <c r="O76" s="755"/>
      <c r="P76" s="755" t="s">
        <v>620</v>
      </c>
      <c r="Q76"/>
      <c r="R76" s="5">
        <f t="shared" si="14"/>
        <v>9</v>
      </c>
      <c r="S76" s="5">
        <f t="shared" si="15"/>
        <v>5.3955000000000002</v>
      </c>
      <c r="T76" s="5">
        <f t="shared" ref="T76:T81" si="59">MATCH(S76,$C$134:$R$134,-1)</f>
        <v>9</v>
      </c>
      <c r="U76" s="5">
        <f t="shared" si="16"/>
        <v>0</v>
      </c>
      <c r="V76" s="5">
        <f t="shared" si="17"/>
        <v>0</v>
      </c>
      <c r="W76" s="201">
        <f t="shared" ref="W76:W81" si="60">MATCH($E76,$B$177:$Q$177,1)</f>
        <v>5</v>
      </c>
      <c r="X76" s="202" t="str">
        <f t="shared" ref="X76:X81" si="61">CHOOSE(ROUNDUP((W76/2),0),$B$179,$D$179,$F$179,$H$179,$J$179,$L$179,$N$179,$P$179)</f>
        <v>IR+HC</v>
      </c>
      <c r="Y76" s="201">
        <f t="shared" ref="Y76:Y81" si="62">MATCH($E76,$B$183:$S$183,1)</f>
        <v>5</v>
      </c>
      <c r="Z76" s="202"/>
      <c r="AA76" s="1388" t="str">
        <f>A76</f>
        <v>Oldham</v>
      </c>
      <c r="AB76" t="str">
        <f t="shared" si="51"/>
        <v>OLDMTX-DCSYS01</v>
      </c>
    </row>
    <row r="77" spans="1:28">
      <c r="A77" s="97" t="str">
        <f>'Plant loading'!A73</f>
        <v>Oldham</v>
      </c>
      <c r="B77" s="97" t="str">
        <f>'Plant loading'!B73</f>
        <v>OLDMTX-DCSYS02</v>
      </c>
      <c r="C77" s="98">
        <f>('Plant loading'!E73*54.5)/1000</f>
        <v>44.962499999999999</v>
      </c>
      <c r="D77" s="99" t="str">
        <f t="shared" si="58"/>
        <v>2.5 hours</v>
      </c>
      <c r="E77" s="351">
        <v>43891</v>
      </c>
      <c r="F77" s="351">
        <v>43891</v>
      </c>
      <c r="G77" s="351">
        <v>43891</v>
      </c>
      <c r="H77" s="351">
        <v>43891</v>
      </c>
      <c r="I77" s="351">
        <v>43891</v>
      </c>
      <c r="J77" s="351">
        <v>43891</v>
      </c>
      <c r="K77" s="351">
        <v>43891</v>
      </c>
      <c r="L77" s="351">
        <v>43891</v>
      </c>
      <c r="M77" s="351">
        <v>43891</v>
      </c>
      <c r="N77" s="351"/>
      <c r="O77" s="351"/>
      <c r="P77" s="351" t="s">
        <v>620</v>
      </c>
      <c r="Q77"/>
      <c r="R77" s="5">
        <f t="shared" si="14"/>
        <v>9</v>
      </c>
      <c r="S77" s="5">
        <f t="shared" si="15"/>
        <v>4.9958333333333336</v>
      </c>
      <c r="T77" s="5">
        <f t="shared" si="59"/>
        <v>10</v>
      </c>
      <c r="U77" s="5">
        <f t="shared" si="16"/>
        <v>0</v>
      </c>
      <c r="V77" s="5">
        <f t="shared" si="17"/>
        <v>0</v>
      </c>
      <c r="W77" s="201">
        <f t="shared" si="60"/>
        <v>5</v>
      </c>
      <c r="X77" s="202" t="str">
        <f t="shared" si="61"/>
        <v>IR+HC</v>
      </c>
      <c r="Y77" s="201">
        <f t="shared" si="62"/>
        <v>5</v>
      </c>
      <c r="Z77" s="202"/>
      <c r="AA77" s="1388"/>
      <c r="AB77" t="str">
        <f t="shared" si="51"/>
        <v>OLDMTX-DCSYS02</v>
      </c>
    </row>
    <row r="78" spans="1:28">
      <c r="A78" s="97" t="str">
        <f>'Plant loading'!A74</f>
        <v>Oldham</v>
      </c>
      <c r="B78" s="97" t="str">
        <f>'Plant loading'!B74</f>
        <v>OLDMTX-DCSYS03</v>
      </c>
      <c r="C78" s="98">
        <f>('Plant loading'!E74*54.5)/1000</f>
        <v>44.526499999999999</v>
      </c>
      <c r="D78" s="99" t="str">
        <f t="shared" si="58"/>
        <v>2.5 hours</v>
      </c>
      <c r="E78" s="351">
        <v>44835</v>
      </c>
      <c r="F78" s="351">
        <v>44835</v>
      </c>
      <c r="G78" s="351">
        <v>44835</v>
      </c>
      <c r="H78" s="351">
        <v>44835</v>
      </c>
      <c r="I78" s="351">
        <v>44835</v>
      </c>
      <c r="J78" s="351">
        <v>44835</v>
      </c>
      <c r="K78" s="351">
        <v>44835</v>
      </c>
      <c r="L78" s="351">
        <v>44835</v>
      </c>
      <c r="M78" s="351">
        <v>44835</v>
      </c>
      <c r="N78" s="351"/>
      <c r="O78" s="351"/>
      <c r="P78" s="351" t="s">
        <v>620</v>
      </c>
      <c r="Q78"/>
      <c r="R78" s="5">
        <f t="shared" si="14"/>
        <v>9</v>
      </c>
      <c r="S78" s="5">
        <f t="shared" si="15"/>
        <v>4.9473888888888888</v>
      </c>
      <c r="T78" s="5">
        <f t="shared" si="59"/>
        <v>10</v>
      </c>
      <c r="U78" s="5">
        <f t="shared" si="16"/>
        <v>0</v>
      </c>
      <c r="V78" s="5">
        <f t="shared" si="17"/>
        <v>0</v>
      </c>
      <c r="W78" s="201">
        <f t="shared" si="60"/>
        <v>11</v>
      </c>
      <c r="X78" s="202" t="str">
        <f t="shared" si="61"/>
        <v>Discharge</v>
      </c>
      <c r="Y78" s="201">
        <f t="shared" si="62"/>
        <v>11</v>
      </c>
      <c r="Z78" s="202"/>
      <c r="AA78" s="1388"/>
      <c r="AB78" t="str">
        <f t="shared" si="51"/>
        <v>OLDMTX-DCSYS03</v>
      </c>
    </row>
    <row r="79" spans="1:28">
      <c r="A79" s="97" t="str">
        <f>'Plant loading'!A75</f>
        <v>Oldham</v>
      </c>
      <c r="B79" s="97" t="str">
        <f>'Plant loading'!B75</f>
        <v>OLDMTX-DCSYS04</v>
      </c>
      <c r="C79" s="98">
        <f>('Plant loading'!E75*54.5)/1000</f>
        <v>33.899000000000001</v>
      </c>
      <c r="D79" s="99" t="str">
        <f t="shared" si="58"/>
        <v>3 hours</v>
      </c>
      <c r="E79" s="351">
        <v>44835</v>
      </c>
      <c r="F79" s="351">
        <v>44835</v>
      </c>
      <c r="G79" s="351">
        <v>44835</v>
      </c>
      <c r="H79" s="351">
        <v>44835</v>
      </c>
      <c r="I79" s="351">
        <v>44835</v>
      </c>
      <c r="J79" s="351">
        <v>44835</v>
      </c>
      <c r="K79" s="351">
        <v>44835</v>
      </c>
      <c r="L79" s="351">
        <v>44835</v>
      </c>
      <c r="M79" s="351">
        <v>44835</v>
      </c>
      <c r="N79" s="351"/>
      <c r="O79" s="351"/>
      <c r="P79" s="351" t="s">
        <v>620</v>
      </c>
      <c r="Q79"/>
      <c r="R79" s="5">
        <f t="shared" si="14"/>
        <v>9</v>
      </c>
      <c r="S79" s="5">
        <f t="shared" si="15"/>
        <v>3.7665555555555557</v>
      </c>
      <c r="T79" s="5">
        <f t="shared" si="59"/>
        <v>11</v>
      </c>
      <c r="U79" s="5">
        <f t="shared" si="16"/>
        <v>0</v>
      </c>
      <c r="V79" s="5">
        <f t="shared" si="17"/>
        <v>0</v>
      </c>
      <c r="W79" s="201">
        <f t="shared" si="60"/>
        <v>11</v>
      </c>
      <c r="X79" s="202" t="str">
        <f t="shared" si="61"/>
        <v>Discharge</v>
      </c>
      <c r="Y79" s="201">
        <f t="shared" si="62"/>
        <v>11</v>
      </c>
      <c r="Z79" s="202"/>
      <c r="AA79" s="1388"/>
      <c r="AB79" t="str">
        <f t="shared" si="51"/>
        <v>OLDMTX-DCSYS04</v>
      </c>
    </row>
    <row r="80" spans="1:28">
      <c r="A80" s="97" t="str">
        <f>'Plant loading'!A76</f>
        <v>Oldham</v>
      </c>
      <c r="B80" s="97" t="str">
        <f>'Plant loading'!B76</f>
        <v>OLDMTX-DCSYS05</v>
      </c>
      <c r="C80" s="98">
        <f>('Plant loading'!E76*54.5)/1000</f>
        <v>35.316000000000003</v>
      </c>
      <c r="D80" s="99" t="str">
        <f t="shared" si="58"/>
        <v>3 hours</v>
      </c>
      <c r="E80" s="351">
        <v>44835</v>
      </c>
      <c r="F80" s="351">
        <v>44835</v>
      </c>
      <c r="G80" s="351">
        <v>44835</v>
      </c>
      <c r="H80" s="351">
        <v>44835</v>
      </c>
      <c r="I80" s="351">
        <v>44835</v>
      </c>
      <c r="J80" s="351">
        <v>44835</v>
      </c>
      <c r="K80" s="351">
        <v>44835</v>
      </c>
      <c r="L80" s="351">
        <v>44835</v>
      </c>
      <c r="M80" s="351">
        <v>44835</v>
      </c>
      <c r="N80" s="351"/>
      <c r="O80" s="351"/>
      <c r="P80" s="351" t="s">
        <v>620</v>
      </c>
      <c r="Q80"/>
      <c r="R80" s="5">
        <f t="shared" ref="R80:R100" si="63">COUNT(E80:P80)</f>
        <v>9</v>
      </c>
      <c r="S80" s="5">
        <f t="shared" ref="S80:S112" si="64">C80/R80</f>
        <v>3.9240000000000004</v>
      </c>
      <c r="T80" s="5">
        <f t="shared" si="59"/>
        <v>11</v>
      </c>
      <c r="U80" s="5">
        <f t="shared" ref="U80:U100" si="65">COUNTIFS(E80:P80,"&gt;="&amp;$D$3,E80:P80,"&lt;="&amp;$E$3)</f>
        <v>0</v>
      </c>
      <c r="V80" s="5">
        <f t="shared" ref="V80:V100" si="66">COUNTIFS(E80:P80,"&lt;="&amp;$E$2)</f>
        <v>0</v>
      </c>
      <c r="W80" s="201">
        <f t="shared" si="60"/>
        <v>11</v>
      </c>
      <c r="X80" s="202" t="str">
        <f t="shared" si="61"/>
        <v>Discharge</v>
      </c>
      <c r="Y80" s="201">
        <f t="shared" si="62"/>
        <v>11</v>
      </c>
      <c r="Z80" s="202"/>
      <c r="AA80" s="1388"/>
      <c r="AB80" t="str">
        <f t="shared" si="51"/>
        <v>OLDMTX-DCSYS05</v>
      </c>
    </row>
    <row r="81" spans="1:28">
      <c r="A81" s="97" t="str">
        <f>'Plant loading'!A77</f>
        <v>Oldham</v>
      </c>
      <c r="B81" s="97" t="str">
        <f>'Plant loading'!B77</f>
        <v>OLDMTX-DCSYS06</v>
      </c>
      <c r="C81" s="98">
        <f>('Plant loading'!E77*54.5)/1000</f>
        <v>35.152500000000003</v>
      </c>
      <c r="D81" s="99" t="str">
        <f t="shared" si="58"/>
        <v>3 hours</v>
      </c>
      <c r="E81" s="351">
        <v>44835</v>
      </c>
      <c r="F81" s="351">
        <v>44835</v>
      </c>
      <c r="G81" s="351">
        <v>44835</v>
      </c>
      <c r="H81" s="351">
        <v>44835</v>
      </c>
      <c r="I81" s="351">
        <v>44835</v>
      </c>
      <c r="J81" s="351">
        <v>44835</v>
      </c>
      <c r="K81" s="351">
        <v>44835</v>
      </c>
      <c r="L81" s="351">
        <v>44835</v>
      </c>
      <c r="M81" s="351">
        <v>44835</v>
      </c>
      <c r="N81" s="351"/>
      <c r="O81" s="351"/>
      <c r="P81" s="351" t="s">
        <v>620</v>
      </c>
      <c r="Q81"/>
      <c r="R81" s="5">
        <f t="shared" si="63"/>
        <v>9</v>
      </c>
      <c r="S81" s="5">
        <f t="shared" si="64"/>
        <v>3.9058333333333337</v>
      </c>
      <c r="T81" s="5">
        <f t="shared" si="59"/>
        <v>11</v>
      </c>
      <c r="U81" s="5">
        <f t="shared" si="65"/>
        <v>0</v>
      </c>
      <c r="V81" s="5">
        <f t="shared" si="66"/>
        <v>0</v>
      </c>
      <c r="W81" s="201">
        <f t="shared" si="60"/>
        <v>11</v>
      </c>
      <c r="X81" s="202" t="str">
        <f t="shared" si="61"/>
        <v>Discharge</v>
      </c>
      <c r="Y81" s="201">
        <f t="shared" si="62"/>
        <v>11</v>
      </c>
      <c r="Z81" s="202"/>
      <c r="AA81" s="1388"/>
      <c r="AB81" t="str">
        <f t="shared" si="51"/>
        <v>OLDMTX-DCSYS06</v>
      </c>
    </row>
    <row r="82" spans="1:28">
      <c r="A82" s="97" t="str">
        <f>'Plant loading'!A78</f>
        <v>Oldham</v>
      </c>
      <c r="B82" s="97" t="str">
        <f>'Plant loading'!B78</f>
        <v>OLDMTX-DCSYS07a</v>
      </c>
      <c r="C82" s="98">
        <f>('Plant loading'!E78*54.5)/1000</f>
        <v>26.323499999999999</v>
      </c>
      <c r="D82" s="99" t="str">
        <f t="shared" ref="D82:D83" si="67">CHOOSE(T82,$C$130,$D$130,$E$130,$F$130,$G$130,$H$130,$I$130,$J$130,$K$130,$L$130,$M$130,$N$130,$O$130,$P$130,$Q$130,$R$130)</f>
        <v>2 hours</v>
      </c>
      <c r="E82" s="351">
        <v>44501</v>
      </c>
      <c r="F82" s="351">
        <v>44501</v>
      </c>
      <c r="G82" s="351">
        <v>44501</v>
      </c>
      <c r="H82" s="351">
        <v>44501</v>
      </c>
      <c r="I82" s="351">
        <v>44501</v>
      </c>
      <c r="J82" s="351"/>
      <c r="K82" s="351"/>
      <c r="L82" s="351"/>
      <c r="M82" s="351"/>
      <c r="N82" s="351"/>
      <c r="O82" s="351"/>
      <c r="P82" s="351" t="s">
        <v>620</v>
      </c>
      <c r="Q82"/>
      <c r="R82" s="5">
        <f t="shared" ref="R82:R83" si="68">COUNT(E82:P82)</f>
        <v>5</v>
      </c>
      <c r="S82" s="5">
        <f t="shared" ref="S82:S83" si="69">C82/R82</f>
        <v>5.2646999999999995</v>
      </c>
      <c r="T82" s="5">
        <f t="shared" ref="T82:T83" si="70">MATCH(S82,$C$134:$R$134,-1)</f>
        <v>9</v>
      </c>
      <c r="U82" s="5">
        <f t="shared" ref="U82:U83" si="71">COUNTIFS(E82:P82,"&gt;="&amp;$D$3,E82:P82,"&lt;="&amp;$E$3)</f>
        <v>0</v>
      </c>
      <c r="V82" s="5">
        <f t="shared" ref="V82:V83" si="72">COUNTIFS(E82:P82,"&lt;="&amp;$E$2)</f>
        <v>0</v>
      </c>
      <c r="W82" s="201"/>
      <c r="X82" s="202"/>
      <c r="Y82" s="201"/>
      <c r="Z82" s="202"/>
      <c r="AA82" s="905"/>
      <c r="AB82" t="str">
        <f t="shared" si="51"/>
        <v>OLDMTX-DCSYS07a</v>
      </c>
    </row>
    <row r="83" spans="1:28">
      <c r="A83" s="97" t="str">
        <f>'Plant loading'!A79</f>
        <v>Oldham</v>
      </c>
      <c r="B83" s="97" t="str">
        <f>'Plant loading'!B79</f>
        <v>OLDMTX-DCSYS07b</v>
      </c>
      <c r="C83" s="98">
        <f>('Plant loading'!E79*54.5)/1000</f>
        <v>25.832999999999998</v>
      </c>
      <c r="D83" s="99" t="str">
        <f t="shared" si="67"/>
        <v>2 hours</v>
      </c>
      <c r="E83" s="351">
        <v>44501</v>
      </c>
      <c r="F83" s="351">
        <v>44501</v>
      </c>
      <c r="G83" s="351">
        <v>44501</v>
      </c>
      <c r="H83" s="351">
        <v>44501</v>
      </c>
      <c r="I83" s="351">
        <v>44501</v>
      </c>
      <c r="J83" s="351"/>
      <c r="K83" s="351"/>
      <c r="L83" s="351"/>
      <c r="M83" s="351"/>
      <c r="N83" s="351"/>
      <c r="O83" s="351"/>
      <c r="P83" s="351" t="s">
        <v>620</v>
      </c>
      <c r="Q83"/>
      <c r="R83" s="5">
        <f t="shared" si="68"/>
        <v>5</v>
      </c>
      <c r="S83" s="5">
        <f t="shared" si="69"/>
        <v>5.1665999999999999</v>
      </c>
      <c r="T83" s="5">
        <f t="shared" si="70"/>
        <v>9</v>
      </c>
      <c r="U83" s="5">
        <f t="shared" si="71"/>
        <v>0</v>
      </c>
      <c r="V83" s="5">
        <f t="shared" si="72"/>
        <v>0</v>
      </c>
      <c r="W83" s="201"/>
      <c r="X83" s="202"/>
      <c r="Y83" s="201"/>
      <c r="Z83" s="202"/>
      <c r="AA83" s="905"/>
      <c r="AB83" t="str">
        <f t="shared" si="51"/>
        <v>OLDMTX-DCSYS07b</v>
      </c>
    </row>
    <row r="84" spans="1:28">
      <c r="A84" s="752" t="str">
        <f>'Plant loading'!A80</f>
        <v>Rotherham</v>
      </c>
      <c r="B84" s="752" t="str">
        <f>'Plant loading'!B80</f>
        <v>PEARM</v>
      </c>
      <c r="C84" s="753">
        <f>('Plant loading'!E80*54.5)/1000</f>
        <v>21.582000000000001</v>
      </c>
      <c r="D84" s="754" t="str">
        <f t="shared" ref="D84" si="73">CHOOSE(T84,$C$130,$D$130,$E$130,$F$130,$G$130,$H$130,$I$130,$J$130,$K$130,$L$130,$M$130,$N$130,$O$130,$P$130,$Q$130,$R$130)</f>
        <v>6 hours</v>
      </c>
      <c r="E84" s="755">
        <v>44409</v>
      </c>
      <c r="F84" s="755">
        <v>44409</v>
      </c>
      <c r="G84" s="755">
        <v>44409</v>
      </c>
      <c r="H84" s="755">
        <v>44440</v>
      </c>
      <c r="I84" s="755">
        <v>44440</v>
      </c>
      <c r="J84" s="755">
        <v>44440</v>
      </c>
      <c r="K84" s="755">
        <v>44440</v>
      </c>
      <c r="L84" s="755">
        <v>43891</v>
      </c>
      <c r="M84" s="755">
        <v>43891</v>
      </c>
      <c r="N84" s="755"/>
      <c r="O84" s="755"/>
      <c r="P84" s="755" t="s">
        <v>620</v>
      </c>
      <c r="Q84"/>
      <c r="R84" s="5">
        <f t="shared" si="63"/>
        <v>9</v>
      </c>
      <c r="S84" s="5">
        <f t="shared" si="64"/>
        <v>2.3980000000000001</v>
      </c>
      <c r="T84" s="5">
        <f t="shared" ref="T84" si="74">MATCH(S84,$C$134:$R$134,-1)</f>
        <v>14</v>
      </c>
      <c r="U84" s="5">
        <f t="shared" si="65"/>
        <v>0</v>
      </c>
      <c r="V84" s="5">
        <f t="shared" si="66"/>
        <v>0</v>
      </c>
      <c r="W84" s="201">
        <f t="shared" ref="W84" si="75">MATCH($E84,$B$177:$Q$177,1)</f>
        <v>9</v>
      </c>
      <c r="X84" s="203" t="str">
        <f t="shared" ref="X84" si="76">CHOOSE(ROUNDUP((W84/2),0),$B$179,$D$179,$F$179,$H$179,$J$179,$L$179,$N$179,$P$179)</f>
        <v>IR+HC</v>
      </c>
      <c r="Y84" s="201">
        <f t="shared" ref="Y84" si="77">MATCH($E84,$B$183:$S$183,1)</f>
        <v>9</v>
      </c>
      <c r="Z84" s="203" t="str">
        <f t="shared" ref="Z84" si="78">CHOOSE(ROUNDUP((Y84/2),0),$B$185,$D$185,$F$185,$H$185,$J$185,$L$185,$N$185,$P$185,$R$185)</f>
        <v>Discharge</v>
      </c>
      <c r="AA84" s="1389" t="str">
        <f>A84</f>
        <v>Rotherham</v>
      </c>
      <c r="AB84" t="str">
        <f t="shared" si="51"/>
        <v>PEARM</v>
      </c>
    </row>
    <row r="85" spans="1:28">
      <c r="A85" s="100" t="str">
        <f>'Plant loading'!A81</f>
        <v>Rotherham</v>
      </c>
      <c r="B85" s="100" t="str">
        <f>'Plant loading'!B81</f>
        <v>PEBRM</v>
      </c>
      <c r="C85" s="101">
        <f>('Plant loading'!E81*54.5)/1000</f>
        <v>23.598500000000001</v>
      </c>
      <c r="D85" s="102" t="str">
        <f t="shared" ref="D85:D113" si="79">CHOOSE(T85,$C$130,$D$130,$E$130,$F$130,$G$130,$H$130,$I$130,$J$130,$K$130,$L$130,$M$130,$N$130,$O$130,$P$130,$Q$130,$R$130)</f>
        <v>5 hours</v>
      </c>
      <c r="E85" s="351">
        <v>44440</v>
      </c>
      <c r="F85" s="351">
        <v>44440</v>
      </c>
      <c r="G85" s="351">
        <v>44440</v>
      </c>
      <c r="H85" s="351">
        <v>44440</v>
      </c>
      <c r="I85" s="351">
        <v>44440</v>
      </c>
      <c r="J85" s="351">
        <v>44440</v>
      </c>
      <c r="K85" s="351">
        <v>44440</v>
      </c>
      <c r="L85" s="351">
        <v>44440</v>
      </c>
      <c r="M85" s="351">
        <v>44440</v>
      </c>
      <c r="N85" s="351"/>
      <c r="O85" s="351"/>
      <c r="P85" s="351" t="s">
        <v>620</v>
      </c>
      <c r="Q85"/>
      <c r="R85" s="5">
        <f t="shared" si="63"/>
        <v>9</v>
      </c>
      <c r="S85" s="5">
        <f t="shared" si="64"/>
        <v>2.6220555555555558</v>
      </c>
      <c r="T85" s="5">
        <f t="shared" ref="T85:T113" si="80">MATCH(S85,$C$134:$R$134,-1)</f>
        <v>13</v>
      </c>
      <c r="U85" s="5">
        <f t="shared" si="65"/>
        <v>0</v>
      </c>
      <c r="V85" s="5">
        <f t="shared" si="66"/>
        <v>0</v>
      </c>
      <c r="W85" s="201">
        <f t="shared" ref="W85:W106" si="81">MATCH($E85,$B$177:$Q$177,1)</f>
        <v>9</v>
      </c>
      <c r="X85" s="203" t="str">
        <f t="shared" ref="X85:X113" si="82">CHOOSE(ROUNDUP((W85/2),0),$B$179,$D$179,$F$179,$H$179,$J$179,$L$179,$N$179,$P$179)</f>
        <v>IR+HC</v>
      </c>
      <c r="Y85" s="201">
        <f t="shared" ref="Y85:Y106" si="83">MATCH($E85,$B$183:$S$183,1)</f>
        <v>9</v>
      </c>
      <c r="Z85" s="203" t="str">
        <f t="shared" ref="Z85:Z113" si="84">CHOOSE(ROUNDUP((Y85/2),0),$B$185,$D$185,$F$185,$H$185,$J$185,$L$185,$N$185,$P$185,$R$185)</f>
        <v>Discharge</v>
      </c>
      <c r="AA85" s="1389"/>
      <c r="AB85" t="str">
        <f t="shared" si="51"/>
        <v>PEBRM</v>
      </c>
    </row>
    <row r="86" spans="1:28">
      <c r="A86" s="100" t="str">
        <f>'Plant loading'!A82</f>
        <v>Rotherham</v>
      </c>
      <c r="B86" s="100" t="str">
        <f>'Plant loading'!B82</f>
        <v>PECRM</v>
      </c>
      <c r="C86" s="101">
        <f>('Plant loading'!E82*54.5)/1000</f>
        <v>28.721499999999999</v>
      </c>
      <c r="D86" s="102" t="str">
        <f t="shared" si="79"/>
        <v>4 hours</v>
      </c>
      <c r="E86" s="351">
        <v>44440</v>
      </c>
      <c r="F86" s="351">
        <v>44440</v>
      </c>
      <c r="G86" s="351">
        <v>44440</v>
      </c>
      <c r="H86" s="351">
        <v>44440</v>
      </c>
      <c r="I86" s="351">
        <v>44440</v>
      </c>
      <c r="J86" s="351">
        <v>44440</v>
      </c>
      <c r="K86" s="351">
        <v>44440</v>
      </c>
      <c r="L86" s="351">
        <v>44440</v>
      </c>
      <c r="M86" s="351">
        <v>44440</v>
      </c>
      <c r="N86" s="351"/>
      <c r="O86" s="351"/>
      <c r="P86" s="351" t="s">
        <v>620</v>
      </c>
      <c r="Q86"/>
      <c r="R86" s="5">
        <f t="shared" si="63"/>
        <v>9</v>
      </c>
      <c r="S86" s="5">
        <f t="shared" si="64"/>
        <v>3.1912777777777777</v>
      </c>
      <c r="T86" s="5">
        <f t="shared" si="80"/>
        <v>12</v>
      </c>
      <c r="U86" s="5">
        <f t="shared" si="65"/>
        <v>0</v>
      </c>
      <c r="V86" s="5">
        <f t="shared" si="66"/>
        <v>0</v>
      </c>
      <c r="W86" s="201">
        <f t="shared" si="81"/>
        <v>9</v>
      </c>
      <c r="X86" s="203" t="str">
        <f t="shared" si="82"/>
        <v>IR+HC</v>
      </c>
      <c r="Y86" s="201">
        <f t="shared" si="83"/>
        <v>9</v>
      </c>
      <c r="Z86" s="203" t="str">
        <f t="shared" si="84"/>
        <v>Discharge</v>
      </c>
      <c r="AA86" s="1389"/>
      <c r="AB86" t="str">
        <f t="shared" si="51"/>
        <v>PECRM</v>
      </c>
    </row>
    <row r="87" spans="1:28">
      <c r="A87" s="100" t="str">
        <f>'Plant loading'!A83</f>
        <v>Rotherham</v>
      </c>
      <c r="B87" s="100" t="str">
        <f>'Plant loading'!B83</f>
        <v>PEDRM</v>
      </c>
      <c r="C87" s="101">
        <f>('Plant loading'!E83*54.5)/1000</f>
        <v>13.952</v>
      </c>
      <c r="D87" s="102" t="str">
        <f t="shared" si="79"/>
        <v>8 hours</v>
      </c>
      <c r="E87" s="351">
        <v>44409</v>
      </c>
      <c r="F87" s="351">
        <v>44409</v>
      </c>
      <c r="G87" s="351">
        <v>44409</v>
      </c>
      <c r="H87" s="351">
        <v>44440</v>
      </c>
      <c r="I87" s="351">
        <v>44440</v>
      </c>
      <c r="J87" s="351">
        <v>44440</v>
      </c>
      <c r="K87" s="351">
        <v>44440</v>
      </c>
      <c r="L87" s="351">
        <v>44440</v>
      </c>
      <c r="M87" s="351">
        <v>44440</v>
      </c>
      <c r="N87" s="351"/>
      <c r="O87" s="351"/>
      <c r="P87" s="351" t="s">
        <v>620</v>
      </c>
      <c r="Q87"/>
      <c r="R87" s="5">
        <f t="shared" si="63"/>
        <v>9</v>
      </c>
      <c r="S87" s="5">
        <f t="shared" si="64"/>
        <v>1.5502222222222222</v>
      </c>
      <c r="T87" s="5">
        <f t="shared" si="80"/>
        <v>16</v>
      </c>
      <c r="U87" s="5">
        <f t="shared" si="65"/>
        <v>0</v>
      </c>
      <c r="V87" s="5">
        <f t="shared" si="66"/>
        <v>0</v>
      </c>
      <c r="W87" s="201">
        <f t="shared" si="81"/>
        <v>9</v>
      </c>
      <c r="X87" s="203" t="str">
        <f t="shared" si="82"/>
        <v>IR+HC</v>
      </c>
      <c r="Y87" s="201">
        <f t="shared" si="83"/>
        <v>9</v>
      </c>
      <c r="Z87" s="203" t="str">
        <f t="shared" si="84"/>
        <v>Discharge</v>
      </c>
      <c r="AA87" s="1389"/>
      <c r="AB87" t="str">
        <f t="shared" si="51"/>
        <v>PEDRM</v>
      </c>
    </row>
    <row r="88" spans="1:28">
      <c r="A88" s="100" t="str">
        <f>'Plant loading'!A84</f>
        <v>Rotherham</v>
      </c>
      <c r="B88" s="100" t="str">
        <f>'Plant loading'!B84</f>
        <v>PEERM</v>
      </c>
      <c r="C88" s="101">
        <f>('Plant loading'!E84*54.5)/1000</f>
        <v>11.608499999999999</v>
      </c>
      <c r="D88" s="102" t="str">
        <f t="shared" si="79"/>
        <v>8 hours</v>
      </c>
      <c r="E88" s="351">
        <v>44440</v>
      </c>
      <c r="F88" s="351">
        <v>44440</v>
      </c>
      <c r="G88" s="351">
        <v>44440</v>
      </c>
      <c r="H88" s="351">
        <v>44440</v>
      </c>
      <c r="I88" s="351">
        <v>44440</v>
      </c>
      <c r="J88" s="351">
        <v>44440</v>
      </c>
      <c r="K88" s="351">
        <v>44440</v>
      </c>
      <c r="L88" s="351">
        <v>44440</v>
      </c>
      <c r="M88" s="351">
        <v>44440</v>
      </c>
      <c r="N88" s="351"/>
      <c r="O88" s="351"/>
      <c r="P88" s="351" t="s">
        <v>620</v>
      </c>
      <c r="Q88"/>
      <c r="R88" s="5">
        <f t="shared" si="63"/>
        <v>9</v>
      </c>
      <c r="S88" s="5">
        <f t="shared" si="64"/>
        <v>1.2898333333333332</v>
      </c>
      <c r="T88" s="5">
        <f t="shared" si="80"/>
        <v>16</v>
      </c>
      <c r="U88" s="5">
        <f t="shared" si="65"/>
        <v>0</v>
      </c>
      <c r="V88" s="5">
        <f t="shared" si="66"/>
        <v>0</v>
      </c>
      <c r="W88" s="201">
        <f t="shared" si="81"/>
        <v>9</v>
      </c>
      <c r="X88" s="203" t="str">
        <f t="shared" si="82"/>
        <v>IR+HC</v>
      </c>
      <c r="Y88" s="201">
        <f t="shared" si="83"/>
        <v>9</v>
      </c>
      <c r="Z88" s="203" t="str">
        <f t="shared" si="84"/>
        <v>Discharge</v>
      </c>
      <c r="AA88" s="1389"/>
      <c r="AB88" t="str">
        <f t="shared" si="51"/>
        <v>PEERM</v>
      </c>
    </row>
    <row r="89" spans="1:28">
      <c r="A89" s="760" t="str">
        <f>'Plant loading'!A85</f>
        <v>Southampton</v>
      </c>
      <c r="B89" s="760" t="str">
        <f>'Plant loading'!B85</f>
        <v>PEASN</v>
      </c>
      <c r="C89" s="761">
        <f>('Plant loading'!E85*54.5)/1000</f>
        <v>19.62</v>
      </c>
      <c r="D89" s="762" t="str">
        <f t="shared" si="79"/>
        <v>6 hours</v>
      </c>
      <c r="E89" s="755">
        <v>44136</v>
      </c>
      <c r="F89" s="755">
        <v>44136</v>
      </c>
      <c r="G89" s="755">
        <v>44136</v>
      </c>
      <c r="H89" s="755">
        <v>44136</v>
      </c>
      <c r="I89" s="755">
        <v>44136</v>
      </c>
      <c r="J89" s="755">
        <v>44136</v>
      </c>
      <c r="K89" s="755">
        <v>44136</v>
      </c>
      <c r="L89" s="755">
        <v>44136</v>
      </c>
      <c r="M89" s="755">
        <v>44136</v>
      </c>
      <c r="N89" s="755"/>
      <c r="O89" s="755"/>
      <c r="P89" s="755" t="s">
        <v>620</v>
      </c>
      <c r="Q89"/>
      <c r="R89" s="5">
        <f t="shared" si="63"/>
        <v>9</v>
      </c>
      <c r="S89" s="5">
        <f t="shared" si="64"/>
        <v>2.1800000000000002</v>
      </c>
      <c r="T89" s="5">
        <f t="shared" si="80"/>
        <v>14</v>
      </c>
      <c r="U89" s="5">
        <f t="shared" si="65"/>
        <v>0</v>
      </c>
      <c r="V89" s="5">
        <f t="shared" si="66"/>
        <v>0</v>
      </c>
      <c r="W89" s="201">
        <f t="shared" si="81"/>
        <v>7</v>
      </c>
      <c r="X89" s="202" t="str">
        <f t="shared" si="82"/>
        <v>Discharge</v>
      </c>
      <c r="Y89" s="201">
        <f t="shared" si="83"/>
        <v>7</v>
      </c>
      <c r="Z89" s="202" t="str">
        <f t="shared" si="84"/>
        <v>IR+HC</v>
      </c>
      <c r="AA89" s="1388" t="str">
        <f>A89</f>
        <v>Southampton</v>
      </c>
      <c r="AB89" t="str">
        <f t="shared" si="51"/>
        <v>PEASN</v>
      </c>
    </row>
    <row r="90" spans="1:28">
      <c r="A90" s="97" t="str">
        <f>'Plant loading'!A86</f>
        <v>Southampton</v>
      </c>
      <c r="B90" s="97" t="str">
        <f>'Plant loading'!B86</f>
        <v>PEBSN</v>
      </c>
      <c r="C90" s="98">
        <f>('Plant loading'!E86*54.5)/1000</f>
        <v>28.394500000000001</v>
      </c>
      <c r="D90" s="99" t="str">
        <f t="shared" si="79"/>
        <v>4 hours</v>
      </c>
      <c r="E90" s="351">
        <v>44136</v>
      </c>
      <c r="F90" s="351">
        <v>44136</v>
      </c>
      <c r="G90" s="351">
        <v>44136</v>
      </c>
      <c r="H90" s="351">
        <v>44136</v>
      </c>
      <c r="I90" s="351">
        <v>44136</v>
      </c>
      <c r="J90" s="351">
        <v>44136</v>
      </c>
      <c r="K90" s="351">
        <v>44136</v>
      </c>
      <c r="L90" s="351">
        <v>44136</v>
      </c>
      <c r="M90" s="351">
        <v>44136</v>
      </c>
      <c r="N90" s="351"/>
      <c r="O90" s="351"/>
      <c r="P90" s="351" t="s">
        <v>620</v>
      </c>
      <c r="Q90"/>
      <c r="R90" s="5">
        <f t="shared" si="63"/>
        <v>9</v>
      </c>
      <c r="S90" s="5">
        <f t="shared" si="64"/>
        <v>3.1549444444444443</v>
      </c>
      <c r="T90" s="5">
        <f t="shared" si="80"/>
        <v>12</v>
      </c>
      <c r="U90" s="5">
        <f t="shared" si="65"/>
        <v>0</v>
      </c>
      <c r="V90" s="5">
        <f t="shared" si="66"/>
        <v>0</v>
      </c>
      <c r="W90" s="201">
        <f t="shared" si="81"/>
        <v>7</v>
      </c>
      <c r="X90" s="202" t="str">
        <f t="shared" si="82"/>
        <v>Discharge</v>
      </c>
      <c r="Y90" s="201">
        <f t="shared" si="83"/>
        <v>7</v>
      </c>
      <c r="Z90" s="202" t="str">
        <f t="shared" si="84"/>
        <v>IR+HC</v>
      </c>
      <c r="AA90" s="1388"/>
      <c r="AB90" t="str">
        <f t="shared" si="51"/>
        <v>PEBSN</v>
      </c>
    </row>
    <row r="91" spans="1:28">
      <c r="A91" s="97" t="str">
        <f>'Plant loading'!A87</f>
        <v>Southampton</v>
      </c>
      <c r="B91" s="97" t="str">
        <f>'Plant loading'!B87</f>
        <v>PECSN</v>
      </c>
      <c r="C91" s="98">
        <f>('Plant loading'!E87*54.5)/1000</f>
        <v>25.942</v>
      </c>
      <c r="D91" s="99" t="str">
        <f t="shared" si="79"/>
        <v>5 hours</v>
      </c>
      <c r="E91" s="351">
        <v>44136</v>
      </c>
      <c r="F91" s="351">
        <v>44136</v>
      </c>
      <c r="G91" s="351">
        <v>44136</v>
      </c>
      <c r="H91" s="351">
        <v>44136</v>
      </c>
      <c r="I91" s="351">
        <v>44136</v>
      </c>
      <c r="J91" s="351">
        <v>44136</v>
      </c>
      <c r="K91" s="351">
        <v>44136</v>
      </c>
      <c r="L91" s="351">
        <v>44136</v>
      </c>
      <c r="M91" s="351">
        <v>44136</v>
      </c>
      <c r="N91" s="351"/>
      <c r="O91" s="351"/>
      <c r="P91" s="351" t="s">
        <v>620</v>
      </c>
      <c r="Q91"/>
      <c r="R91" s="5">
        <f t="shared" si="63"/>
        <v>9</v>
      </c>
      <c r="S91" s="5">
        <f t="shared" si="64"/>
        <v>2.8824444444444444</v>
      </c>
      <c r="T91" s="5">
        <f t="shared" si="80"/>
        <v>13</v>
      </c>
      <c r="U91" s="5">
        <f t="shared" si="65"/>
        <v>0</v>
      </c>
      <c r="V91" s="5">
        <f t="shared" si="66"/>
        <v>0</v>
      </c>
      <c r="W91" s="201">
        <f t="shared" si="81"/>
        <v>7</v>
      </c>
      <c r="X91" s="202" t="str">
        <f t="shared" si="82"/>
        <v>Discharge</v>
      </c>
      <c r="Y91" s="201">
        <f t="shared" si="83"/>
        <v>7</v>
      </c>
      <c r="Z91" s="202" t="str">
        <f t="shared" si="84"/>
        <v>IR+HC</v>
      </c>
      <c r="AA91" s="1388"/>
      <c r="AB91" t="str">
        <f t="shared" si="51"/>
        <v>PECSN</v>
      </c>
    </row>
    <row r="92" spans="1:28">
      <c r="A92" s="97" t="str">
        <f>'Plant loading'!A88</f>
        <v>Southampton</v>
      </c>
      <c r="B92" s="97" t="str">
        <f>'Plant loading'!B88</f>
        <v>PEESN</v>
      </c>
      <c r="C92" s="98">
        <f>('Plant loading'!E88*54.5)/1000</f>
        <v>18.748000000000001</v>
      </c>
      <c r="D92" s="99" t="str">
        <f t="shared" si="79"/>
        <v>7 hours</v>
      </c>
      <c r="E92" s="351">
        <v>44136</v>
      </c>
      <c r="F92" s="351">
        <v>44136</v>
      </c>
      <c r="G92" s="351">
        <v>44136</v>
      </c>
      <c r="H92" s="351">
        <v>44136</v>
      </c>
      <c r="I92" s="351">
        <v>44136</v>
      </c>
      <c r="J92" s="351">
        <v>44136</v>
      </c>
      <c r="K92" s="351">
        <v>44136</v>
      </c>
      <c r="L92" s="351">
        <v>44136</v>
      </c>
      <c r="M92" s="351">
        <v>44136</v>
      </c>
      <c r="N92" s="351"/>
      <c r="O92" s="351"/>
      <c r="P92" s="351" t="s">
        <v>620</v>
      </c>
      <c r="Q92"/>
      <c r="R92" s="5">
        <f t="shared" si="63"/>
        <v>9</v>
      </c>
      <c r="S92" s="5">
        <f t="shared" si="64"/>
        <v>2.0831111111111111</v>
      </c>
      <c r="T92" s="5">
        <f t="shared" si="80"/>
        <v>15</v>
      </c>
      <c r="U92" s="5">
        <f t="shared" si="65"/>
        <v>0</v>
      </c>
      <c r="V92" s="5">
        <f t="shared" si="66"/>
        <v>0</v>
      </c>
      <c r="W92" s="201">
        <f t="shared" si="81"/>
        <v>7</v>
      </c>
      <c r="X92" s="202" t="str">
        <f t="shared" si="82"/>
        <v>Discharge</v>
      </c>
      <c r="Y92" s="201">
        <f t="shared" si="83"/>
        <v>7</v>
      </c>
      <c r="Z92" s="202" t="str">
        <f t="shared" si="84"/>
        <v>IR+HC</v>
      </c>
      <c r="AA92" s="1388"/>
      <c r="AB92" t="str">
        <f t="shared" si="51"/>
        <v>PEESN</v>
      </c>
    </row>
    <row r="93" spans="1:28">
      <c r="A93" s="752" t="str">
        <f>'Plant loading'!A89</f>
        <v>Swanley</v>
      </c>
      <c r="B93" s="752" t="str">
        <f>'Plant loading'!B89</f>
        <v>PEASY</v>
      </c>
      <c r="C93" s="753">
        <f>('Plant loading'!E89*54.5)/1000</f>
        <v>29.811499999999999</v>
      </c>
      <c r="D93" s="754" t="str">
        <f t="shared" si="79"/>
        <v>4 hours</v>
      </c>
      <c r="E93" s="755">
        <v>44562</v>
      </c>
      <c r="F93" s="755">
        <v>44562</v>
      </c>
      <c r="G93" s="755">
        <v>44562</v>
      </c>
      <c r="H93" s="755">
        <v>44562</v>
      </c>
      <c r="I93" s="755">
        <v>44562</v>
      </c>
      <c r="J93" s="755">
        <v>44562</v>
      </c>
      <c r="K93" s="755">
        <v>44562</v>
      </c>
      <c r="L93" s="755">
        <v>44562</v>
      </c>
      <c r="M93" s="755">
        <v>44562</v>
      </c>
      <c r="N93" s="755"/>
      <c r="O93" s="755"/>
      <c r="P93" s="755" t="s">
        <v>620</v>
      </c>
      <c r="Q93"/>
      <c r="R93" s="5">
        <f t="shared" si="63"/>
        <v>9</v>
      </c>
      <c r="S93" s="5">
        <f t="shared" si="64"/>
        <v>3.3123888888888886</v>
      </c>
      <c r="T93" s="5">
        <f t="shared" si="80"/>
        <v>12</v>
      </c>
      <c r="U93" s="5">
        <f t="shared" si="65"/>
        <v>0</v>
      </c>
      <c r="V93" s="5">
        <f t="shared" si="66"/>
        <v>0</v>
      </c>
      <c r="W93" s="201">
        <f t="shared" si="81"/>
        <v>9</v>
      </c>
      <c r="X93" s="203" t="str">
        <f t="shared" si="82"/>
        <v>IR+HC</v>
      </c>
      <c r="Y93" s="201">
        <f t="shared" si="83"/>
        <v>9</v>
      </c>
      <c r="Z93" s="203" t="str">
        <f t="shared" si="84"/>
        <v>Discharge</v>
      </c>
      <c r="AA93" s="1389" t="str">
        <f>A93</f>
        <v>Swanley</v>
      </c>
      <c r="AB93" t="str">
        <f t="shared" si="51"/>
        <v>PEASY</v>
      </c>
    </row>
    <row r="94" spans="1:28">
      <c r="A94" s="100" t="str">
        <f>'Plant loading'!A90</f>
        <v>Swanley</v>
      </c>
      <c r="B94" s="100" t="str">
        <f>'Plant loading'!B90</f>
        <v>PEBSY</v>
      </c>
      <c r="C94" s="101">
        <f>('Plant loading'!E90*54.5)/1000</f>
        <v>25.614999999999998</v>
      </c>
      <c r="D94" s="102" t="str">
        <f t="shared" si="79"/>
        <v>5 hours</v>
      </c>
      <c r="E94" s="351">
        <v>44562</v>
      </c>
      <c r="F94" s="351">
        <v>44562</v>
      </c>
      <c r="G94" s="351">
        <v>44562</v>
      </c>
      <c r="H94" s="351">
        <v>44562</v>
      </c>
      <c r="I94" s="351">
        <v>44562</v>
      </c>
      <c r="J94" s="351">
        <v>44562</v>
      </c>
      <c r="K94" s="351">
        <v>44562</v>
      </c>
      <c r="L94" s="351">
        <v>44562</v>
      </c>
      <c r="M94" s="351">
        <v>44562</v>
      </c>
      <c r="N94" s="351"/>
      <c r="O94" s="351"/>
      <c r="P94" s="351" t="s">
        <v>620</v>
      </c>
      <c r="Q94"/>
      <c r="R94" s="5">
        <f t="shared" si="63"/>
        <v>9</v>
      </c>
      <c r="S94" s="5">
        <f t="shared" si="64"/>
        <v>2.846111111111111</v>
      </c>
      <c r="T94" s="5">
        <f t="shared" si="80"/>
        <v>13</v>
      </c>
      <c r="U94" s="5">
        <f t="shared" si="65"/>
        <v>0</v>
      </c>
      <c r="V94" s="5">
        <f t="shared" si="66"/>
        <v>0</v>
      </c>
      <c r="W94" s="201">
        <f t="shared" si="81"/>
        <v>9</v>
      </c>
      <c r="X94" s="203" t="str">
        <f t="shared" si="82"/>
        <v>IR+HC</v>
      </c>
      <c r="Y94" s="201">
        <f t="shared" si="83"/>
        <v>9</v>
      </c>
      <c r="Z94" s="203" t="str">
        <f t="shared" si="84"/>
        <v>Discharge</v>
      </c>
      <c r="AA94" s="1389"/>
      <c r="AB94" t="str">
        <f t="shared" si="51"/>
        <v>PEBSY</v>
      </c>
    </row>
    <row r="95" spans="1:28">
      <c r="A95" s="100" t="str">
        <f>'Plant loading'!A91</f>
        <v>Swanley</v>
      </c>
      <c r="B95" s="100" t="str">
        <f>'Plant loading'!B91</f>
        <v>PECSY</v>
      </c>
      <c r="C95" s="101">
        <f>('Plant loading'!E91*54.5)/1000</f>
        <v>21.908999999999999</v>
      </c>
      <c r="D95" s="102" t="str">
        <f t="shared" si="79"/>
        <v>6 hours</v>
      </c>
      <c r="E95" s="351">
        <v>44562</v>
      </c>
      <c r="F95" s="351">
        <v>44562</v>
      </c>
      <c r="G95" s="351">
        <v>44562</v>
      </c>
      <c r="H95" s="351">
        <v>44562</v>
      </c>
      <c r="I95" s="351">
        <v>44562</v>
      </c>
      <c r="J95" s="351">
        <v>44562</v>
      </c>
      <c r="K95" s="351">
        <v>44562</v>
      </c>
      <c r="L95" s="351">
        <v>44562</v>
      </c>
      <c r="M95" s="351">
        <v>44562</v>
      </c>
      <c r="N95" s="351"/>
      <c r="O95" s="351"/>
      <c r="P95" s="351" t="s">
        <v>620</v>
      </c>
      <c r="Q95"/>
      <c r="R95" s="5">
        <f t="shared" si="63"/>
        <v>9</v>
      </c>
      <c r="S95" s="5">
        <f t="shared" si="64"/>
        <v>2.434333333333333</v>
      </c>
      <c r="T95" s="5">
        <f t="shared" si="80"/>
        <v>14</v>
      </c>
      <c r="U95" s="5">
        <f t="shared" si="65"/>
        <v>0</v>
      </c>
      <c r="V95" s="5">
        <f t="shared" si="66"/>
        <v>0</v>
      </c>
      <c r="W95" s="201">
        <f t="shared" si="81"/>
        <v>9</v>
      </c>
      <c r="X95" s="203" t="str">
        <f t="shared" si="82"/>
        <v>IR+HC</v>
      </c>
      <c r="Y95" s="201">
        <f t="shared" si="83"/>
        <v>9</v>
      </c>
      <c r="Z95" s="203" t="str">
        <f t="shared" si="84"/>
        <v>Discharge</v>
      </c>
      <c r="AA95" s="1389"/>
      <c r="AB95" t="str">
        <f t="shared" si="51"/>
        <v>PECSY</v>
      </c>
    </row>
    <row r="96" spans="1:28">
      <c r="A96" s="100" t="str">
        <f>'Plant loading'!A92</f>
        <v>Swanley</v>
      </c>
      <c r="B96" s="100" t="str">
        <f>'Plant loading'!B92</f>
        <v>PEDSY</v>
      </c>
      <c r="C96" s="101">
        <f>('Plant loading'!E92*54.5)/1000</f>
        <v>15.314500000000001</v>
      </c>
      <c r="D96" s="102" t="str">
        <f t="shared" si="79"/>
        <v>8 hours</v>
      </c>
      <c r="E96" s="351">
        <v>44562</v>
      </c>
      <c r="F96" s="351">
        <v>44562</v>
      </c>
      <c r="G96" s="351">
        <v>44562</v>
      </c>
      <c r="H96" s="351">
        <v>44562</v>
      </c>
      <c r="I96" s="351">
        <v>44562</v>
      </c>
      <c r="J96" s="351">
        <v>44562</v>
      </c>
      <c r="K96" s="351">
        <v>44562</v>
      </c>
      <c r="L96" s="351">
        <v>44562</v>
      </c>
      <c r="M96" s="351">
        <v>44562</v>
      </c>
      <c r="N96" s="351"/>
      <c r="O96" s="351"/>
      <c r="P96" s="351" t="s">
        <v>620</v>
      </c>
      <c r="Q96"/>
      <c r="R96" s="5">
        <f t="shared" si="63"/>
        <v>9</v>
      </c>
      <c r="S96" s="5">
        <f t="shared" si="64"/>
        <v>1.7016111111111112</v>
      </c>
      <c r="T96" s="5">
        <f t="shared" si="80"/>
        <v>16</v>
      </c>
      <c r="U96" s="5">
        <f t="shared" si="65"/>
        <v>0</v>
      </c>
      <c r="V96" s="5">
        <f t="shared" si="66"/>
        <v>0</v>
      </c>
      <c r="W96" s="201">
        <f t="shared" si="81"/>
        <v>9</v>
      </c>
      <c r="X96" s="203" t="str">
        <f t="shared" si="82"/>
        <v>IR+HC</v>
      </c>
      <c r="Y96" s="201">
        <f t="shared" si="83"/>
        <v>9</v>
      </c>
      <c r="Z96" s="203" t="str">
        <f t="shared" si="84"/>
        <v>Discharge</v>
      </c>
      <c r="AA96" s="1389"/>
      <c r="AB96" t="str">
        <f t="shared" si="51"/>
        <v>PEDSY</v>
      </c>
    </row>
    <row r="97" spans="1:28">
      <c r="A97" s="100" t="str">
        <f>'Plant loading'!A93</f>
        <v>Swanley</v>
      </c>
      <c r="B97" s="100" t="str">
        <f>'Plant loading'!B93</f>
        <v>PEESY</v>
      </c>
      <c r="C97" s="101">
        <f>('Plant loading'!E93*54.5)/1000</f>
        <v>17.222000000000001</v>
      </c>
      <c r="D97" s="102" t="str">
        <f t="shared" si="79"/>
        <v>6 hours</v>
      </c>
      <c r="E97" s="351">
        <v>44562</v>
      </c>
      <c r="F97" s="351">
        <v>44562</v>
      </c>
      <c r="G97" s="351">
        <v>44562</v>
      </c>
      <c r="H97" s="351">
        <v>44562</v>
      </c>
      <c r="I97" s="351">
        <v>44562</v>
      </c>
      <c r="J97" s="351">
        <v>44562</v>
      </c>
      <c r="K97" s="351">
        <v>44562</v>
      </c>
      <c r="L97" s="351"/>
      <c r="M97" s="351"/>
      <c r="N97" s="351"/>
      <c r="O97" s="351"/>
      <c r="P97" s="351" t="s">
        <v>620</v>
      </c>
      <c r="Q97"/>
      <c r="R97" s="5">
        <f t="shared" si="63"/>
        <v>7</v>
      </c>
      <c r="S97" s="5">
        <f t="shared" si="64"/>
        <v>2.4602857142857144</v>
      </c>
      <c r="T97" s="5">
        <f t="shared" si="80"/>
        <v>14</v>
      </c>
      <c r="U97" s="5">
        <f t="shared" si="65"/>
        <v>0</v>
      </c>
      <c r="V97" s="5">
        <f t="shared" si="66"/>
        <v>0</v>
      </c>
      <c r="W97" s="201">
        <f t="shared" si="81"/>
        <v>9</v>
      </c>
      <c r="X97" s="203" t="str">
        <f t="shared" si="82"/>
        <v>IR+HC</v>
      </c>
      <c r="Y97" s="201">
        <f t="shared" si="83"/>
        <v>9</v>
      </c>
      <c r="Z97" s="203" t="str">
        <f t="shared" si="84"/>
        <v>Discharge</v>
      </c>
      <c r="AA97" s="1389"/>
      <c r="AB97" t="str">
        <f t="shared" si="51"/>
        <v>PEESY</v>
      </c>
    </row>
    <row r="98" spans="1:28">
      <c r="A98" s="760" t="str">
        <f>'Plant loading'!A94</f>
        <v>Bristol</v>
      </c>
      <c r="B98" s="760" t="str">
        <f>'Plant loading'!B94</f>
        <v>PEFBL</v>
      </c>
      <c r="C98" s="761">
        <f>('Plant loading'!E94*54.5)/1000</f>
        <v>25.669499999999999</v>
      </c>
      <c r="D98" s="762" t="str">
        <f t="shared" si="79"/>
        <v>5 hours</v>
      </c>
      <c r="E98" s="755">
        <v>44501</v>
      </c>
      <c r="F98" s="755">
        <v>44501</v>
      </c>
      <c r="G98" s="755">
        <v>44501</v>
      </c>
      <c r="H98" s="755">
        <v>44501</v>
      </c>
      <c r="I98" s="755">
        <v>44501</v>
      </c>
      <c r="J98" s="755">
        <v>44501</v>
      </c>
      <c r="K98" s="755">
        <v>44501</v>
      </c>
      <c r="L98" s="755">
        <v>44501</v>
      </c>
      <c r="M98" s="755">
        <v>44501</v>
      </c>
      <c r="N98" s="755"/>
      <c r="O98" s="755"/>
      <c r="P98" s="755" t="s">
        <v>620</v>
      </c>
      <c r="Q98"/>
      <c r="R98" s="5">
        <f t="shared" si="63"/>
        <v>9</v>
      </c>
      <c r="S98" s="5">
        <f t="shared" si="64"/>
        <v>2.8521666666666667</v>
      </c>
      <c r="T98" s="5">
        <f t="shared" si="80"/>
        <v>13</v>
      </c>
      <c r="U98" s="5">
        <f t="shared" si="65"/>
        <v>0</v>
      </c>
      <c r="V98" s="5">
        <f t="shared" si="66"/>
        <v>0</v>
      </c>
      <c r="W98" s="201">
        <f t="shared" si="81"/>
        <v>9</v>
      </c>
      <c r="X98" s="202" t="str">
        <f t="shared" si="82"/>
        <v>IR+HC</v>
      </c>
      <c r="Y98" s="201">
        <f t="shared" si="83"/>
        <v>9</v>
      </c>
      <c r="Z98" s="202" t="str">
        <f t="shared" si="84"/>
        <v>Discharge</v>
      </c>
      <c r="AA98" s="1390" t="str">
        <f>A98</f>
        <v>Bristol</v>
      </c>
      <c r="AB98" t="str">
        <f t="shared" si="51"/>
        <v>PEFBL</v>
      </c>
    </row>
    <row r="99" spans="1:28">
      <c r="A99" s="97" t="str">
        <f>'Plant loading'!A95</f>
        <v>Bristol</v>
      </c>
      <c r="B99" s="97" t="str">
        <f>'Plant loading'!B95</f>
        <v>PEHBL</v>
      </c>
      <c r="C99" s="98">
        <f>('Plant loading'!E95*54.5)/1000</f>
        <v>18.148499999999999</v>
      </c>
      <c r="D99" s="99" t="str">
        <f t="shared" si="79"/>
        <v>7 hours</v>
      </c>
      <c r="E99" s="351">
        <v>44531</v>
      </c>
      <c r="F99" s="351">
        <v>44531</v>
      </c>
      <c r="G99" s="351">
        <v>44531</v>
      </c>
      <c r="H99" s="351">
        <v>44531</v>
      </c>
      <c r="I99" s="351">
        <v>44531</v>
      </c>
      <c r="J99" s="351">
        <v>44531</v>
      </c>
      <c r="K99" s="351">
        <v>44531</v>
      </c>
      <c r="L99" s="351">
        <v>44531</v>
      </c>
      <c r="M99" s="351">
        <v>44531</v>
      </c>
      <c r="N99" s="351"/>
      <c r="O99" s="351"/>
      <c r="P99" s="351" t="s">
        <v>620</v>
      </c>
      <c r="Q99"/>
      <c r="R99" s="5">
        <f t="shared" si="63"/>
        <v>9</v>
      </c>
      <c r="S99" s="5">
        <f t="shared" si="64"/>
        <v>2.0164999999999997</v>
      </c>
      <c r="T99" s="5">
        <f t="shared" si="80"/>
        <v>15</v>
      </c>
      <c r="U99" s="5">
        <f t="shared" si="65"/>
        <v>0</v>
      </c>
      <c r="V99" s="5">
        <f t="shared" si="66"/>
        <v>0</v>
      </c>
      <c r="W99" s="201">
        <f t="shared" si="81"/>
        <v>9</v>
      </c>
      <c r="X99" s="202" t="str">
        <f t="shared" si="82"/>
        <v>IR+HC</v>
      </c>
      <c r="Y99" s="201">
        <f t="shared" si="83"/>
        <v>9</v>
      </c>
      <c r="Z99" s="202" t="str">
        <f t="shared" si="84"/>
        <v>Discharge</v>
      </c>
      <c r="AA99" s="1390"/>
      <c r="AB99" t="str">
        <f t="shared" si="51"/>
        <v>PEHBL</v>
      </c>
    </row>
    <row r="100" spans="1:28">
      <c r="A100" s="752" t="str">
        <f>'Plant loading'!A96</f>
        <v>Cardiff</v>
      </c>
      <c r="B100" s="752" t="str">
        <f>'Plant loading'!B96</f>
        <v>PECCF</v>
      </c>
      <c r="C100" s="753">
        <f>('Plant loading'!E96*54.5)/1000</f>
        <v>19.456499999999998</v>
      </c>
      <c r="D100" s="754" t="str">
        <f t="shared" si="79"/>
        <v>3 hours</v>
      </c>
      <c r="E100" s="755">
        <v>43435</v>
      </c>
      <c r="F100" s="755">
        <v>43435</v>
      </c>
      <c r="G100" s="755">
        <v>43435</v>
      </c>
      <c r="H100" s="755">
        <v>42826</v>
      </c>
      <c r="I100" s="755">
        <v>42826</v>
      </c>
      <c r="J100" s="755"/>
      <c r="K100" s="755"/>
      <c r="L100" s="755"/>
      <c r="M100" s="755"/>
      <c r="N100" s="755"/>
      <c r="O100" s="755"/>
      <c r="P100" s="755" t="s">
        <v>621</v>
      </c>
      <c r="Q100"/>
      <c r="R100" s="5">
        <f t="shared" si="63"/>
        <v>5</v>
      </c>
      <c r="S100" s="5">
        <f t="shared" si="64"/>
        <v>3.8912999999999998</v>
      </c>
      <c r="T100" s="5">
        <f t="shared" si="80"/>
        <v>11</v>
      </c>
      <c r="U100" s="5">
        <f t="shared" si="65"/>
        <v>3</v>
      </c>
      <c r="V100" s="5">
        <f t="shared" si="66"/>
        <v>2</v>
      </c>
      <c r="W100" s="201">
        <f t="shared" si="81"/>
        <v>3</v>
      </c>
      <c r="X100" s="203" t="str">
        <f t="shared" si="82"/>
        <v>Discharge</v>
      </c>
      <c r="Y100" s="201">
        <f t="shared" si="83"/>
        <v>3</v>
      </c>
      <c r="Z100" s="203" t="str">
        <f t="shared" si="84"/>
        <v>Replacement Due</v>
      </c>
      <c r="AA100" s="1389" t="str">
        <f>A100</f>
        <v>Cardiff</v>
      </c>
      <c r="AB100" t="str">
        <f t="shared" si="51"/>
        <v>PECCF</v>
      </c>
    </row>
    <row r="101" spans="1:28">
      <c r="A101" s="100" t="str">
        <f>'Plant loading'!A97</f>
        <v>Cardiff</v>
      </c>
      <c r="B101" s="100" t="str">
        <f>'Plant loading'!B97</f>
        <v>PEDCF</v>
      </c>
      <c r="C101" s="101">
        <f>('Plant loading'!E97*54.5)/1000</f>
        <v>9.0470000000000006</v>
      </c>
      <c r="D101" s="102" t="str">
        <f t="shared" si="79"/>
        <v>8 hours</v>
      </c>
      <c r="E101" s="351">
        <v>44896</v>
      </c>
      <c r="F101" s="351">
        <v>44896</v>
      </c>
      <c r="G101" s="351">
        <v>44896</v>
      </c>
      <c r="H101" s="351">
        <v>44896</v>
      </c>
      <c r="I101" s="351">
        <v>44896</v>
      </c>
      <c r="J101" s="351"/>
      <c r="K101" s="351"/>
      <c r="L101" s="351"/>
      <c r="M101" s="351"/>
      <c r="N101" s="351"/>
      <c r="O101" s="351"/>
      <c r="P101" s="351" t="s">
        <v>620</v>
      </c>
      <c r="Q101"/>
      <c r="R101" s="5">
        <f>COUNT(E101:J101)</f>
        <v>5</v>
      </c>
      <c r="S101" s="5">
        <f t="shared" si="64"/>
        <v>1.8094000000000001</v>
      </c>
      <c r="T101" s="5">
        <f t="shared" si="80"/>
        <v>16</v>
      </c>
      <c r="U101" s="5">
        <f>COUNTIFS(E101:J101,"&gt;="&amp;$D$3,E101:J101,"&lt;="&amp;$E$3)</f>
        <v>0</v>
      </c>
      <c r="V101" s="5">
        <f>COUNTIFS(E101:J101,"&lt;="&amp;$E$2)</f>
        <v>0</v>
      </c>
      <c r="W101" s="201">
        <f t="shared" si="81"/>
        <v>11</v>
      </c>
      <c r="X101" s="203" t="str">
        <f t="shared" si="82"/>
        <v>Discharge</v>
      </c>
      <c r="Y101" s="201">
        <f t="shared" si="83"/>
        <v>11</v>
      </c>
      <c r="Z101" s="203" t="str">
        <f t="shared" si="84"/>
        <v>IR+HC</v>
      </c>
      <c r="AA101" s="1389"/>
      <c r="AB101" t="str">
        <f t="shared" si="51"/>
        <v>PEDCF</v>
      </c>
    </row>
    <row r="102" spans="1:28">
      <c r="A102" s="100" t="str">
        <f>'Plant loading'!A98</f>
        <v>Cardiff</v>
      </c>
      <c r="B102" s="100" t="str">
        <f>'Plant loading'!B98</f>
        <v>PEECF</v>
      </c>
      <c r="C102" s="101">
        <f>('Plant loading'!E98*54.5)/1000</f>
        <v>11.390499999999999</v>
      </c>
      <c r="D102" s="102" t="str">
        <f t="shared" si="79"/>
        <v>6 hours</v>
      </c>
      <c r="E102" s="351">
        <v>44896</v>
      </c>
      <c r="F102" s="351">
        <v>44896</v>
      </c>
      <c r="G102" s="351">
        <v>44896</v>
      </c>
      <c r="H102" s="351">
        <v>44896</v>
      </c>
      <c r="I102" s="351">
        <v>44896</v>
      </c>
      <c r="J102" s="351"/>
      <c r="K102" s="351"/>
      <c r="L102" s="351"/>
      <c r="M102" s="351"/>
      <c r="N102" s="351"/>
      <c r="O102" s="351"/>
      <c r="P102" s="351" t="s">
        <v>620</v>
      </c>
      <c r="Q102"/>
      <c r="R102" s="5">
        <f t="shared" ref="R102:R122" si="85">COUNT(E102:P102)</f>
        <v>5</v>
      </c>
      <c r="S102" s="5">
        <f t="shared" si="64"/>
        <v>2.2780999999999998</v>
      </c>
      <c r="T102" s="5">
        <f t="shared" si="80"/>
        <v>14</v>
      </c>
      <c r="U102" s="5">
        <f t="shared" ref="U102:U122" si="86">COUNTIFS(E102:P102,"&gt;="&amp;$D$3,E102:P102,"&lt;="&amp;$E$3)</f>
        <v>0</v>
      </c>
      <c r="V102" s="5">
        <f t="shared" ref="V102:V122" si="87">COUNTIFS(E102:P102,"&lt;="&amp;$E$2)</f>
        <v>0</v>
      </c>
      <c r="W102" s="201">
        <f t="shared" si="81"/>
        <v>11</v>
      </c>
      <c r="X102" s="203" t="str">
        <f t="shared" si="82"/>
        <v>Discharge</v>
      </c>
      <c r="Y102" s="201">
        <f t="shared" si="83"/>
        <v>11</v>
      </c>
      <c r="Z102" s="203" t="str">
        <f t="shared" si="84"/>
        <v>IR+HC</v>
      </c>
      <c r="AA102" s="1389"/>
      <c r="AB102" t="str">
        <f t="shared" si="51"/>
        <v>PEECF</v>
      </c>
    </row>
    <row r="103" spans="1:28">
      <c r="A103" s="760" t="str">
        <f>'Plant loading'!A99</f>
        <v>Carlisle</v>
      </c>
      <c r="B103" s="760" t="str">
        <f>'Plant loading'!B99</f>
        <v>PEACE</v>
      </c>
      <c r="C103" s="761">
        <f>('Plant loading'!E99*54.5)/1000</f>
        <v>21.7455</v>
      </c>
      <c r="D103" s="762" t="str">
        <f t="shared" si="79"/>
        <v>6 hours</v>
      </c>
      <c r="E103" s="755">
        <v>45108</v>
      </c>
      <c r="F103" s="755">
        <v>45108</v>
      </c>
      <c r="G103" s="755">
        <v>45108</v>
      </c>
      <c r="H103" s="755">
        <v>45108</v>
      </c>
      <c r="I103" s="755">
        <v>45108</v>
      </c>
      <c r="J103" s="755">
        <v>45108</v>
      </c>
      <c r="K103" s="755">
        <v>45108</v>
      </c>
      <c r="L103" s="755">
        <v>45108</v>
      </c>
      <c r="M103" s="755">
        <v>45108</v>
      </c>
      <c r="N103" s="755"/>
      <c r="O103" s="755"/>
      <c r="P103" s="755" t="s">
        <v>620</v>
      </c>
      <c r="Q103"/>
      <c r="R103" s="5">
        <f t="shared" si="85"/>
        <v>9</v>
      </c>
      <c r="S103" s="5">
        <f t="shared" si="64"/>
        <v>2.4161666666666668</v>
      </c>
      <c r="T103" s="5">
        <f t="shared" si="80"/>
        <v>14</v>
      </c>
      <c r="U103" s="5">
        <f t="shared" si="86"/>
        <v>0</v>
      </c>
      <c r="V103" s="5">
        <f t="shared" si="87"/>
        <v>0</v>
      </c>
      <c r="W103" s="201">
        <f t="shared" si="81"/>
        <v>13</v>
      </c>
      <c r="X103" s="202" t="str">
        <f t="shared" si="82"/>
        <v>IR+HC</v>
      </c>
      <c r="Y103" s="201">
        <f t="shared" si="83"/>
        <v>13</v>
      </c>
      <c r="Z103" s="202" t="str">
        <f t="shared" si="84"/>
        <v>Discharge</v>
      </c>
      <c r="AA103" s="1388" t="str">
        <f>A103</f>
        <v>Carlisle</v>
      </c>
      <c r="AB103" t="str">
        <f t="shared" si="51"/>
        <v>PEACE</v>
      </c>
    </row>
    <row r="104" spans="1:28">
      <c r="A104" s="97" t="str">
        <f>'Plant loading'!A100</f>
        <v>Carlisle</v>
      </c>
      <c r="B104" s="97" t="str">
        <f>'Plant loading'!B100</f>
        <v>PEBCE</v>
      </c>
      <c r="C104" s="98">
        <f>('Plant loading'!E100*54.5)/1000</f>
        <v>24.470500000000001</v>
      </c>
      <c r="D104" s="99" t="str">
        <f t="shared" si="79"/>
        <v>5 hours</v>
      </c>
      <c r="E104" s="351">
        <v>45108</v>
      </c>
      <c r="F104" s="351">
        <v>45108</v>
      </c>
      <c r="G104" s="351">
        <v>45108</v>
      </c>
      <c r="H104" s="351">
        <v>45108</v>
      </c>
      <c r="I104" s="351">
        <v>45108</v>
      </c>
      <c r="J104" s="351">
        <v>45108</v>
      </c>
      <c r="K104" s="351">
        <v>45108</v>
      </c>
      <c r="L104" s="351">
        <v>45108</v>
      </c>
      <c r="M104" s="351">
        <v>45108</v>
      </c>
      <c r="N104" s="351"/>
      <c r="O104" s="351"/>
      <c r="P104" s="351" t="s">
        <v>620</v>
      </c>
      <c r="Q104"/>
      <c r="R104" s="5">
        <f t="shared" si="85"/>
        <v>9</v>
      </c>
      <c r="S104" s="5">
        <f t="shared" si="64"/>
        <v>2.7189444444444444</v>
      </c>
      <c r="T104" s="5">
        <f t="shared" si="80"/>
        <v>13</v>
      </c>
      <c r="U104" s="5">
        <f t="shared" si="86"/>
        <v>0</v>
      </c>
      <c r="V104" s="5">
        <f t="shared" si="87"/>
        <v>0</v>
      </c>
      <c r="W104" s="201">
        <f t="shared" si="81"/>
        <v>13</v>
      </c>
      <c r="X104" s="202" t="str">
        <f t="shared" si="82"/>
        <v>IR+HC</v>
      </c>
      <c r="Y104" s="201">
        <f t="shared" si="83"/>
        <v>13</v>
      </c>
      <c r="Z104" s="202" t="str">
        <f t="shared" si="84"/>
        <v>Discharge</v>
      </c>
      <c r="AA104" s="1388"/>
      <c r="AB104" t="str">
        <f t="shared" si="51"/>
        <v>PEBCE</v>
      </c>
    </row>
    <row r="105" spans="1:28">
      <c r="A105" s="752" t="str">
        <f>'Plant loading'!A101</f>
        <v>Croydon</v>
      </c>
      <c r="B105" s="752" t="str">
        <f>'Plant loading'!B101</f>
        <v>PEFCN</v>
      </c>
      <c r="C105" s="753">
        <f>('Plant loading'!E101*54.5)/1000</f>
        <v>16.513500000000001</v>
      </c>
      <c r="D105" s="754" t="str">
        <f t="shared" si="79"/>
        <v>8 hours</v>
      </c>
      <c r="E105" s="755">
        <v>44896</v>
      </c>
      <c r="F105" s="755">
        <v>44896</v>
      </c>
      <c r="G105" s="755">
        <v>44896</v>
      </c>
      <c r="H105" s="755">
        <v>44896</v>
      </c>
      <c r="I105" s="755">
        <v>44896</v>
      </c>
      <c r="J105" s="755">
        <v>44896</v>
      </c>
      <c r="K105" s="755">
        <v>44896</v>
      </c>
      <c r="L105" s="755">
        <v>44896</v>
      </c>
      <c r="M105" s="755">
        <v>44896</v>
      </c>
      <c r="N105" s="755"/>
      <c r="O105" s="755"/>
      <c r="P105" s="755" t="s">
        <v>620</v>
      </c>
      <c r="Q105"/>
      <c r="R105" s="5">
        <f t="shared" si="85"/>
        <v>9</v>
      </c>
      <c r="S105" s="5">
        <f t="shared" si="64"/>
        <v>1.8348333333333333</v>
      </c>
      <c r="T105" s="5">
        <f t="shared" si="80"/>
        <v>16</v>
      </c>
      <c r="U105" s="5">
        <f t="shared" si="86"/>
        <v>0</v>
      </c>
      <c r="V105" s="5">
        <f t="shared" si="87"/>
        <v>0</v>
      </c>
      <c r="W105" s="201">
        <f t="shared" si="81"/>
        <v>11</v>
      </c>
      <c r="X105" s="203" t="str">
        <f t="shared" si="82"/>
        <v>Discharge</v>
      </c>
      <c r="Y105" s="201">
        <f t="shared" si="83"/>
        <v>11</v>
      </c>
      <c r="Z105" s="203" t="str">
        <f t="shared" si="84"/>
        <v>IR+HC</v>
      </c>
      <c r="AA105" s="1389" t="str">
        <f>A105</f>
        <v>Croydon</v>
      </c>
      <c r="AB105" t="str">
        <f t="shared" si="51"/>
        <v>PEFCN</v>
      </c>
    </row>
    <row r="106" spans="1:28">
      <c r="A106" s="100" t="str">
        <f>'Plant loading'!A102</f>
        <v>Croydon</v>
      </c>
      <c r="B106" s="100" t="str">
        <f>'Plant loading'!B102</f>
        <v>PEGCN</v>
      </c>
      <c r="C106" s="101">
        <f>('Plant loading'!E102*54.5)/1000</f>
        <v>21.5275</v>
      </c>
      <c r="D106" s="102" t="str">
        <f t="shared" si="79"/>
        <v>6 hours</v>
      </c>
      <c r="E106" s="351">
        <v>44896</v>
      </c>
      <c r="F106" s="351">
        <v>44896</v>
      </c>
      <c r="G106" s="351">
        <v>44896</v>
      </c>
      <c r="H106" s="351">
        <v>44896</v>
      </c>
      <c r="I106" s="351">
        <v>44896</v>
      </c>
      <c r="J106" s="351">
        <v>44896</v>
      </c>
      <c r="K106" s="351">
        <v>44896</v>
      </c>
      <c r="L106" s="351">
        <v>44896</v>
      </c>
      <c r="M106" s="351">
        <v>44896</v>
      </c>
      <c r="N106" s="351"/>
      <c r="O106" s="351"/>
      <c r="P106" s="351" t="s">
        <v>620</v>
      </c>
      <c r="Q106"/>
      <c r="R106" s="5">
        <f t="shared" si="85"/>
        <v>9</v>
      </c>
      <c r="S106" s="5">
        <f t="shared" si="64"/>
        <v>2.3919444444444444</v>
      </c>
      <c r="T106" s="5">
        <f t="shared" si="80"/>
        <v>14</v>
      </c>
      <c r="U106" s="5">
        <f t="shared" si="86"/>
        <v>0</v>
      </c>
      <c r="V106" s="5">
        <f t="shared" si="87"/>
        <v>0</v>
      </c>
      <c r="W106" s="201">
        <f t="shared" si="81"/>
        <v>11</v>
      </c>
      <c r="X106" s="203" t="str">
        <f t="shared" si="82"/>
        <v>Discharge</v>
      </c>
      <c r="Y106" s="201">
        <f t="shared" si="83"/>
        <v>11</v>
      </c>
      <c r="Z106" s="203" t="str">
        <f t="shared" si="84"/>
        <v>IR+HC</v>
      </c>
      <c r="AA106" s="1389"/>
      <c r="AB106" t="str">
        <f t="shared" si="51"/>
        <v>PEGCN</v>
      </c>
    </row>
    <row r="107" spans="1:28">
      <c r="A107" s="760" t="str">
        <f>'Plant loading'!A103</f>
        <v>Glasgow TXO</v>
      </c>
      <c r="B107" s="760" t="str">
        <f>'Plant loading'!B103</f>
        <v>PEJGW</v>
      </c>
      <c r="C107" s="761">
        <f>('Plant loading'!E103*54.5)/1000</f>
        <v>4.9050000000000002</v>
      </c>
      <c r="D107" s="762" t="str">
        <f t="shared" si="79"/>
        <v>6 hours</v>
      </c>
      <c r="E107" s="755">
        <v>44440</v>
      </c>
      <c r="F107" s="755">
        <v>44440</v>
      </c>
      <c r="G107" s="755"/>
      <c r="H107" s="755"/>
      <c r="I107" s="755"/>
      <c r="J107" s="755"/>
      <c r="K107" s="755"/>
      <c r="L107" s="755"/>
      <c r="M107" s="755"/>
      <c r="N107" s="755"/>
      <c r="O107" s="755"/>
      <c r="P107" s="755" t="s">
        <v>620</v>
      </c>
      <c r="Q107"/>
      <c r="R107" s="5">
        <f t="shared" si="85"/>
        <v>2</v>
      </c>
      <c r="S107" s="5">
        <f t="shared" si="64"/>
        <v>2.4525000000000001</v>
      </c>
      <c r="T107" s="5">
        <f t="shared" si="80"/>
        <v>14</v>
      </c>
      <c r="U107" s="5">
        <f t="shared" si="86"/>
        <v>0</v>
      </c>
      <c r="V107" s="5">
        <f t="shared" si="87"/>
        <v>0</v>
      </c>
      <c r="W107" s="201">
        <f t="shared" ref="W107:W122" si="88">MATCH($E107,$B$177:$Q$177,1)</f>
        <v>9</v>
      </c>
      <c r="X107" s="202" t="str">
        <f t="shared" si="82"/>
        <v>IR+HC</v>
      </c>
      <c r="Y107" s="201">
        <f t="shared" ref="Y107:Y122" si="89">MATCH($E107,$B$183:$S$183,1)</f>
        <v>9</v>
      </c>
      <c r="Z107" s="202" t="str">
        <f t="shared" si="84"/>
        <v>Discharge</v>
      </c>
      <c r="AA107" s="1388" t="str">
        <f>A107</f>
        <v>Glasgow TXO</v>
      </c>
      <c r="AB107" t="str">
        <f t="shared" si="51"/>
        <v>PEJGW</v>
      </c>
    </row>
    <row r="108" spans="1:28">
      <c r="A108" s="97" t="str">
        <f>'Plant loading'!A104</f>
        <v>Glasgow TXO</v>
      </c>
      <c r="B108" s="97" t="str">
        <f>'Plant loading'!B104</f>
        <v>PEKGW</v>
      </c>
      <c r="C108" s="98">
        <f>('Plant loading'!E104*54.5)/1000</f>
        <v>4.6325000000000003</v>
      </c>
      <c r="D108" s="99" t="str">
        <f t="shared" si="79"/>
        <v>6 hours</v>
      </c>
      <c r="E108" s="351">
        <v>44440</v>
      </c>
      <c r="F108" s="351">
        <v>44440</v>
      </c>
      <c r="G108" s="351"/>
      <c r="H108" s="351"/>
      <c r="I108" s="351"/>
      <c r="J108" s="351"/>
      <c r="K108" s="351"/>
      <c r="L108" s="351"/>
      <c r="M108" s="351"/>
      <c r="N108" s="351"/>
      <c r="O108" s="351"/>
      <c r="P108" s="351" t="s">
        <v>620</v>
      </c>
      <c r="Q108"/>
      <c r="R108" s="5">
        <f t="shared" si="85"/>
        <v>2</v>
      </c>
      <c r="S108" s="5">
        <f t="shared" si="64"/>
        <v>2.3162500000000001</v>
      </c>
      <c r="T108" s="5">
        <f t="shared" si="80"/>
        <v>14</v>
      </c>
      <c r="U108" s="5">
        <f t="shared" si="86"/>
        <v>0</v>
      </c>
      <c r="V108" s="5">
        <f t="shared" si="87"/>
        <v>0</v>
      </c>
      <c r="W108" s="201">
        <f t="shared" si="88"/>
        <v>9</v>
      </c>
      <c r="X108" s="202" t="str">
        <f t="shared" si="82"/>
        <v>IR+HC</v>
      </c>
      <c r="Y108" s="201">
        <f t="shared" si="89"/>
        <v>9</v>
      </c>
      <c r="Z108" s="202" t="str">
        <f t="shared" si="84"/>
        <v>Discharge</v>
      </c>
      <c r="AA108" s="1388"/>
      <c r="AB108" t="str">
        <f t="shared" si="51"/>
        <v>PEKGW</v>
      </c>
    </row>
    <row r="109" spans="1:28">
      <c r="A109" s="752" t="str">
        <f>'Plant loading'!A105</f>
        <v>Leicester</v>
      </c>
      <c r="B109" s="752" t="str">
        <f>'Plant loading'!B105</f>
        <v>PEFLR</v>
      </c>
      <c r="C109" s="753">
        <f>('Plant loading'!E105*54.5)/1000</f>
        <v>33.899000000000001</v>
      </c>
      <c r="D109" s="754" t="str">
        <f t="shared" si="79"/>
        <v>3 hours</v>
      </c>
      <c r="E109" s="755">
        <v>44531</v>
      </c>
      <c r="F109" s="755">
        <v>44531</v>
      </c>
      <c r="G109" s="755">
        <v>44531</v>
      </c>
      <c r="H109" s="755">
        <v>44531</v>
      </c>
      <c r="I109" s="755">
        <v>44531</v>
      </c>
      <c r="J109" s="755">
        <v>44531</v>
      </c>
      <c r="K109" s="755">
        <v>44531</v>
      </c>
      <c r="L109" s="755">
        <v>44531</v>
      </c>
      <c r="M109" s="755">
        <v>44531</v>
      </c>
      <c r="N109" s="755"/>
      <c r="O109" s="755"/>
      <c r="P109" s="755" t="s">
        <v>620</v>
      </c>
      <c r="Q109"/>
      <c r="R109" s="5">
        <f t="shared" si="85"/>
        <v>9</v>
      </c>
      <c r="S109" s="5">
        <f t="shared" si="64"/>
        <v>3.7665555555555557</v>
      </c>
      <c r="T109" s="5">
        <f t="shared" si="80"/>
        <v>11</v>
      </c>
      <c r="U109" s="5">
        <f t="shared" si="86"/>
        <v>0</v>
      </c>
      <c r="V109" s="5">
        <f t="shared" si="87"/>
        <v>0</v>
      </c>
      <c r="W109" s="201">
        <f t="shared" si="88"/>
        <v>9</v>
      </c>
      <c r="X109" s="203" t="str">
        <f t="shared" si="82"/>
        <v>IR+HC</v>
      </c>
      <c r="Y109" s="201">
        <f t="shared" si="89"/>
        <v>9</v>
      </c>
      <c r="Z109" s="203" t="str">
        <f t="shared" si="84"/>
        <v>Discharge</v>
      </c>
      <c r="AA109" s="1389" t="str">
        <f>A109</f>
        <v>Leicester</v>
      </c>
      <c r="AB109" t="str">
        <f t="shared" si="51"/>
        <v>PEFLR</v>
      </c>
    </row>
    <row r="110" spans="1:28">
      <c r="A110" s="100" t="str">
        <f>'Plant loading'!A106</f>
        <v>Leicester</v>
      </c>
      <c r="B110" s="100" t="str">
        <f>'Plant loading'!B106</f>
        <v>PEGLR</v>
      </c>
      <c r="C110" s="101">
        <f>('Plant loading'!E106*54.5)/1000</f>
        <v>28.449000000000002</v>
      </c>
      <c r="D110" s="102" t="str">
        <f t="shared" si="79"/>
        <v>4 hours</v>
      </c>
      <c r="E110" s="351">
        <v>44866</v>
      </c>
      <c r="F110" s="351">
        <v>44866</v>
      </c>
      <c r="G110" s="351">
        <v>44866</v>
      </c>
      <c r="H110" s="351">
        <v>44866</v>
      </c>
      <c r="I110" s="351">
        <v>44866</v>
      </c>
      <c r="J110" s="351">
        <v>44866</v>
      </c>
      <c r="K110" s="351">
        <v>44866</v>
      </c>
      <c r="L110" s="351">
        <v>44866</v>
      </c>
      <c r="M110" s="351">
        <v>44866</v>
      </c>
      <c r="N110" s="351"/>
      <c r="O110" s="351"/>
      <c r="P110" s="351" t="s">
        <v>620</v>
      </c>
      <c r="Q110"/>
      <c r="R110" s="5">
        <f t="shared" si="85"/>
        <v>9</v>
      </c>
      <c r="S110" s="5">
        <f t="shared" si="64"/>
        <v>3.161</v>
      </c>
      <c r="T110" s="5">
        <f t="shared" si="80"/>
        <v>12</v>
      </c>
      <c r="U110" s="5">
        <f t="shared" si="86"/>
        <v>0</v>
      </c>
      <c r="V110" s="5">
        <f t="shared" si="87"/>
        <v>0</v>
      </c>
      <c r="W110" s="201">
        <f t="shared" si="88"/>
        <v>11</v>
      </c>
      <c r="X110" s="203" t="str">
        <f t="shared" si="82"/>
        <v>Discharge</v>
      </c>
      <c r="Y110" s="201">
        <f t="shared" si="89"/>
        <v>11</v>
      </c>
      <c r="Z110" s="203" t="str">
        <f t="shared" si="84"/>
        <v>IR+HC</v>
      </c>
      <c r="AA110" s="1389"/>
      <c r="AB110" t="str">
        <f t="shared" si="51"/>
        <v>PEGLR</v>
      </c>
    </row>
    <row r="111" spans="1:28">
      <c r="A111" s="760" t="str">
        <f>'Plant loading'!A107</f>
        <v>Newbury</v>
      </c>
      <c r="B111" s="760" t="str">
        <f>'Plant loading'!B107</f>
        <v>PEGNY</v>
      </c>
      <c r="C111" s="761">
        <f>('Plant loading'!E107*54.5)/1000</f>
        <v>17.658000000000001</v>
      </c>
      <c r="D111" s="762" t="str">
        <f t="shared" si="79"/>
        <v>8 hours</v>
      </c>
      <c r="E111" s="755">
        <v>44531</v>
      </c>
      <c r="F111" s="755">
        <v>44531</v>
      </c>
      <c r="G111" s="755">
        <v>44531</v>
      </c>
      <c r="H111" s="755">
        <v>44531</v>
      </c>
      <c r="I111" s="755">
        <v>44531</v>
      </c>
      <c r="J111" s="755">
        <v>44531</v>
      </c>
      <c r="K111" s="755">
        <v>44531</v>
      </c>
      <c r="L111" s="755">
        <v>44531</v>
      </c>
      <c r="M111" s="755">
        <v>44531</v>
      </c>
      <c r="N111" s="755"/>
      <c r="O111" s="755"/>
      <c r="P111" s="755" t="s">
        <v>620</v>
      </c>
      <c r="Q111"/>
      <c r="R111" s="5">
        <f t="shared" si="85"/>
        <v>9</v>
      </c>
      <c r="S111" s="5">
        <f t="shared" si="64"/>
        <v>1.9620000000000002</v>
      </c>
      <c r="T111" s="5">
        <f t="shared" si="80"/>
        <v>16</v>
      </c>
      <c r="U111" s="5">
        <f t="shared" si="86"/>
        <v>0</v>
      </c>
      <c r="V111" s="5">
        <f t="shared" si="87"/>
        <v>0</v>
      </c>
      <c r="W111" s="201">
        <f t="shared" si="88"/>
        <v>9</v>
      </c>
      <c r="X111" s="202" t="str">
        <f t="shared" si="82"/>
        <v>IR+HC</v>
      </c>
      <c r="Y111" s="201">
        <f t="shared" si="89"/>
        <v>9</v>
      </c>
      <c r="Z111" s="202" t="str">
        <f t="shared" si="84"/>
        <v>Discharge</v>
      </c>
      <c r="AA111" s="1388" t="str">
        <f>A111</f>
        <v>Newbury</v>
      </c>
      <c r="AB111" t="str">
        <f t="shared" si="51"/>
        <v>PEGNY</v>
      </c>
    </row>
    <row r="112" spans="1:28">
      <c r="A112" s="97" t="str">
        <f>'Plant loading'!A108</f>
        <v>Newbury</v>
      </c>
      <c r="B112" s="97" t="str">
        <f>'Plant loading'!B108</f>
        <v>PEHNY</v>
      </c>
      <c r="C112" s="98">
        <f>('Plant loading'!E108*54.5)/1000</f>
        <v>16.077500000000001</v>
      </c>
      <c r="D112" s="99" t="str">
        <f t="shared" si="79"/>
        <v>8 hours</v>
      </c>
      <c r="E112" s="351">
        <v>44531</v>
      </c>
      <c r="F112" s="351">
        <v>44531</v>
      </c>
      <c r="G112" s="351">
        <v>44531</v>
      </c>
      <c r="H112" s="351">
        <v>44531</v>
      </c>
      <c r="I112" s="351">
        <v>44531</v>
      </c>
      <c r="J112" s="351">
        <v>44531</v>
      </c>
      <c r="K112" s="351">
        <v>44531</v>
      </c>
      <c r="L112" s="351">
        <v>44531</v>
      </c>
      <c r="M112" s="351">
        <v>44531</v>
      </c>
      <c r="N112" s="351"/>
      <c r="O112" s="351"/>
      <c r="P112" s="351" t="s">
        <v>620</v>
      </c>
      <c r="Q112"/>
      <c r="R112" s="5">
        <f t="shared" si="85"/>
        <v>9</v>
      </c>
      <c r="S112" s="5">
        <f t="shared" si="64"/>
        <v>1.786388888888889</v>
      </c>
      <c r="T112" s="5">
        <f t="shared" si="80"/>
        <v>16</v>
      </c>
      <c r="U112" s="5">
        <f t="shared" si="86"/>
        <v>0</v>
      </c>
      <c r="V112" s="5">
        <f t="shared" si="87"/>
        <v>0</v>
      </c>
      <c r="W112" s="201">
        <f t="shared" si="88"/>
        <v>9</v>
      </c>
      <c r="X112" s="202" t="str">
        <f t="shared" si="82"/>
        <v>IR+HC</v>
      </c>
      <c r="Y112" s="201">
        <f t="shared" si="89"/>
        <v>9</v>
      </c>
      <c r="Z112" s="202" t="str">
        <f t="shared" si="84"/>
        <v>Discharge</v>
      </c>
      <c r="AA112" s="1388"/>
      <c r="AB112" t="str">
        <f t="shared" si="51"/>
        <v>PEHNY</v>
      </c>
    </row>
    <row r="113" spans="1:28">
      <c r="A113" s="752" t="str">
        <f>'Plant loading'!A109</f>
        <v>Newcastle</v>
      </c>
      <c r="B113" s="752" t="str">
        <f>'Plant loading'!B109</f>
        <v>PEENE</v>
      </c>
      <c r="C113" s="753">
        <f>('Plant loading'!E109*54.5)/1000</f>
        <v>16.677</v>
      </c>
      <c r="D113" s="754" t="str">
        <f t="shared" si="79"/>
        <v>8 hours</v>
      </c>
      <c r="E113" s="755">
        <v>44440</v>
      </c>
      <c r="F113" s="755">
        <v>44440</v>
      </c>
      <c r="G113" s="755">
        <v>44440</v>
      </c>
      <c r="H113" s="755">
        <v>44440</v>
      </c>
      <c r="I113" s="755">
        <v>44440</v>
      </c>
      <c r="J113" s="755">
        <v>44440</v>
      </c>
      <c r="K113" s="755">
        <v>44440</v>
      </c>
      <c r="L113" s="755">
        <v>43891</v>
      </c>
      <c r="M113" s="755">
        <v>43891</v>
      </c>
      <c r="N113" s="755"/>
      <c r="O113" s="755"/>
      <c r="P113" s="755" t="s">
        <v>620</v>
      </c>
      <c r="Q113"/>
      <c r="R113" s="5">
        <f t="shared" si="85"/>
        <v>9</v>
      </c>
      <c r="S113" s="5">
        <f t="shared" ref="S113:S122" si="90">C113/R113</f>
        <v>1.853</v>
      </c>
      <c r="T113" s="5">
        <f t="shared" si="80"/>
        <v>16</v>
      </c>
      <c r="U113" s="5">
        <f t="shared" si="86"/>
        <v>0</v>
      </c>
      <c r="V113" s="5">
        <f t="shared" si="87"/>
        <v>0</v>
      </c>
      <c r="W113" s="201">
        <f t="shared" si="88"/>
        <v>9</v>
      </c>
      <c r="X113" s="203" t="str">
        <f t="shared" si="82"/>
        <v>IR+HC</v>
      </c>
      <c r="Y113" s="201">
        <f t="shared" si="89"/>
        <v>9</v>
      </c>
      <c r="Z113" s="203" t="str">
        <f t="shared" si="84"/>
        <v>Discharge</v>
      </c>
      <c r="AA113" s="1389" t="str">
        <f>A113</f>
        <v>Newcastle</v>
      </c>
      <c r="AB113" t="str">
        <f t="shared" si="51"/>
        <v>PEENE</v>
      </c>
    </row>
    <row r="114" spans="1:28">
      <c r="A114" s="100" t="str">
        <f>'Plant loading'!A110</f>
        <v>Newcastle</v>
      </c>
      <c r="B114" s="100" t="str">
        <f>'Plant loading'!B110</f>
        <v>PEFNE</v>
      </c>
      <c r="C114" s="101">
        <f>('Plant loading'!E110*54.5)/1000</f>
        <v>19.62</v>
      </c>
      <c r="D114" s="102" t="str">
        <f t="shared" ref="D114:D122" si="91">CHOOSE(T114,$C$130,$D$130,$E$130,$F$130,$G$130,$H$130,$I$130,$J$130,$K$130,$L$130,$M$130,$N$130,$O$130,$P$130,$Q$130,$R$130)</f>
        <v>5 hours</v>
      </c>
      <c r="E114" s="351">
        <v>44440</v>
      </c>
      <c r="F114" s="351">
        <v>44440</v>
      </c>
      <c r="G114" s="351">
        <v>44440</v>
      </c>
      <c r="H114" s="351">
        <v>44440</v>
      </c>
      <c r="I114" s="351">
        <v>44440</v>
      </c>
      <c r="J114" s="351">
        <v>44440</v>
      </c>
      <c r="K114" s="351">
        <v>44440</v>
      </c>
      <c r="L114" s="351"/>
      <c r="M114" s="351"/>
      <c r="N114" s="351"/>
      <c r="O114" s="351"/>
      <c r="P114" s="351" t="s">
        <v>620</v>
      </c>
      <c r="Q114"/>
      <c r="R114" s="5">
        <f t="shared" si="85"/>
        <v>7</v>
      </c>
      <c r="S114" s="5">
        <f t="shared" si="90"/>
        <v>2.8028571428571429</v>
      </c>
      <c r="T114" s="5">
        <f t="shared" ref="T114:T122" si="92">MATCH(S114,$C$134:$R$134,-1)</f>
        <v>13</v>
      </c>
      <c r="U114" s="5">
        <f t="shared" si="86"/>
        <v>0</v>
      </c>
      <c r="V114" s="5">
        <f t="shared" si="87"/>
        <v>0</v>
      </c>
      <c r="W114" s="201">
        <f t="shared" si="88"/>
        <v>9</v>
      </c>
      <c r="X114" s="203" t="str">
        <f t="shared" ref="X114:X122" si="93">CHOOSE(ROUNDUP((W114/2),0),$B$179,$D$179,$F$179,$H$179,$J$179,$L$179,$N$179,$P$179)</f>
        <v>IR+HC</v>
      </c>
      <c r="Y114" s="201">
        <f t="shared" si="89"/>
        <v>9</v>
      </c>
      <c r="Z114" s="203" t="str">
        <f t="shared" ref="Z114:Z122" si="94">CHOOSE(ROUNDUP((Y114/2),0),$B$185,$D$185,$F$185,$H$185,$J$185,$L$185,$N$185,$P$185,$R$185)</f>
        <v>Discharge</v>
      </c>
      <c r="AA114" s="1389"/>
      <c r="AB114" t="str">
        <f t="shared" si="51"/>
        <v>PEFNE</v>
      </c>
    </row>
    <row r="115" spans="1:28">
      <c r="A115" s="100" t="str">
        <f>'Plant loading'!A111</f>
        <v>Newcastle</v>
      </c>
      <c r="B115" s="100" t="str">
        <f>'Plant loading'!B111</f>
        <v>PEGNE</v>
      </c>
      <c r="C115" s="101">
        <f>('Plant loading'!E111*54.5)/1000</f>
        <v>8.2840000000000007</v>
      </c>
      <c r="D115" s="102" t="str">
        <f t="shared" si="91"/>
        <v>8 hours</v>
      </c>
      <c r="E115" s="351">
        <v>44440</v>
      </c>
      <c r="F115" s="351">
        <v>44440</v>
      </c>
      <c r="G115" s="351">
        <v>44440</v>
      </c>
      <c r="H115" s="351">
        <v>44440</v>
      </c>
      <c r="I115" s="351">
        <v>44440</v>
      </c>
      <c r="J115" s="351">
        <v>44440</v>
      </c>
      <c r="K115" s="351">
        <v>44440</v>
      </c>
      <c r="L115" s="351"/>
      <c r="M115" s="351"/>
      <c r="N115" s="351"/>
      <c r="O115" s="351"/>
      <c r="P115" s="351" t="s">
        <v>620</v>
      </c>
      <c r="Q115"/>
      <c r="R115" s="5">
        <f t="shared" si="85"/>
        <v>7</v>
      </c>
      <c r="S115" s="5">
        <f t="shared" si="90"/>
        <v>1.1834285714285715</v>
      </c>
      <c r="T115" s="5">
        <f t="shared" si="92"/>
        <v>16</v>
      </c>
      <c r="U115" s="5">
        <f t="shared" si="86"/>
        <v>0</v>
      </c>
      <c r="V115" s="5">
        <f t="shared" si="87"/>
        <v>0</v>
      </c>
      <c r="W115" s="201">
        <f t="shared" si="88"/>
        <v>9</v>
      </c>
      <c r="X115" s="203" t="str">
        <f t="shared" si="93"/>
        <v>IR+HC</v>
      </c>
      <c r="Y115" s="201">
        <f t="shared" si="89"/>
        <v>9</v>
      </c>
      <c r="Z115" s="203" t="str">
        <f t="shared" si="94"/>
        <v>Discharge</v>
      </c>
      <c r="AA115" s="1389"/>
      <c r="AB115" t="str">
        <f t="shared" si="51"/>
        <v>PEGNE</v>
      </c>
    </row>
    <row r="116" spans="1:28">
      <c r="A116" s="760" t="str">
        <f>'Plant loading'!A112</f>
        <v>Oxford</v>
      </c>
      <c r="B116" s="760" t="str">
        <f>'Plant loading'!B112</f>
        <v>PECOD</v>
      </c>
      <c r="C116" s="761">
        <f>('Plant loading'!E112*54.5)/1000</f>
        <v>11.663</v>
      </c>
      <c r="D116" s="762" t="str">
        <f t="shared" si="91"/>
        <v>8 hours</v>
      </c>
      <c r="E116" s="755">
        <v>44075</v>
      </c>
      <c r="F116" s="755">
        <v>44075</v>
      </c>
      <c r="G116" s="755">
        <v>44075</v>
      </c>
      <c r="H116" s="755">
        <v>44075</v>
      </c>
      <c r="I116" s="755">
        <v>44075</v>
      </c>
      <c r="J116" s="755">
        <v>44075</v>
      </c>
      <c r="K116" s="755"/>
      <c r="L116" s="755"/>
      <c r="M116" s="755"/>
      <c r="N116" s="755"/>
      <c r="O116" s="755"/>
      <c r="P116" s="755" t="s">
        <v>620</v>
      </c>
      <c r="Q116">
        <v>1500700866</v>
      </c>
      <c r="R116" s="5">
        <f t="shared" si="85"/>
        <v>6</v>
      </c>
      <c r="S116" s="5">
        <f t="shared" si="90"/>
        <v>1.9438333333333333</v>
      </c>
      <c r="T116" s="5">
        <f t="shared" si="92"/>
        <v>16</v>
      </c>
      <c r="U116" s="5">
        <f t="shared" si="86"/>
        <v>0</v>
      </c>
      <c r="V116" s="5">
        <f t="shared" si="87"/>
        <v>0</v>
      </c>
      <c r="W116" s="201">
        <f t="shared" si="88"/>
        <v>7</v>
      </c>
      <c r="X116" s="202" t="str">
        <f t="shared" si="93"/>
        <v>Discharge</v>
      </c>
      <c r="Y116" s="201">
        <f t="shared" si="89"/>
        <v>7</v>
      </c>
      <c r="Z116" s="202" t="str">
        <f t="shared" si="94"/>
        <v>IR+HC</v>
      </c>
      <c r="AA116" s="1388" t="str">
        <f>A116</f>
        <v>Oxford</v>
      </c>
      <c r="AB116" t="str">
        <f t="shared" si="51"/>
        <v>PECOD</v>
      </c>
    </row>
    <row r="117" spans="1:28">
      <c r="A117" s="97" t="str">
        <f>'Plant loading'!A113</f>
        <v>Oxford</v>
      </c>
      <c r="B117" s="97" t="str">
        <f>'Plant loading'!B113</f>
        <v>PEFOD</v>
      </c>
      <c r="C117" s="98">
        <f>('Plant loading'!E113*54.5)/1000</f>
        <v>7.63</v>
      </c>
      <c r="D117" s="99" t="str">
        <f t="shared" si="91"/>
        <v>8 hours</v>
      </c>
      <c r="E117" s="351">
        <v>44075</v>
      </c>
      <c r="F117" s="351">
        <v>44075</v>
      </c>
      <c r="G117" s="351">
        <v>44075</v>
      </c>
      <c r="H117" s="351">
        <v>44075</v>
      </c>
      <c r="I117" s="351">
        <v>44075</v>
      </c>
      <c r="J117" s="351">
        <v>44075</v>
      </c>
      <c r="K117" s="351"/>
      <c r="L117" s="351"/>
      <c r="M117" s="351"/>
      <c r="N117" s="351"/>
      <c r="O117" s="351"/>
      <c r="P117" s="351" t="s">
        <v>620</v>
      </c>
      <c r="Q117">
        <v>1500700866</v>
      </c>
      <c r="R117" s="5">
        <f t="shared" si="85"/>
        <v>6</v>
      </c>
      <c r="S117" s="5">
        <f t="shared" si="90"/>
        <v>1.2716666666666667</v>
      </c>
      <c r="T117" s="5">
        <f t="shared" si="92"/>
        <v>16</v>
      </c>
      <c r="U117" s="5">
        <f t="shared" si="86"/>
        <v>0</v>
      </c>
      <c r="V117" s="5">
        <f t="shared" si="87"/>
        <v>0</v>
      </c>
      <c r="W117" s="201">
        <f t="shared" si="88"/>
        <v>7</v>
      </c>
      <c r="X117" s="202" t="str">
        <f t="shared" si="93"/>
        <v>Discharge</v>
      </c>
      <c r="Y117" s="201">
        <f t="shared" si="89"/>
        <v>7</v>
      </c>
      <c r="Z117" s="202" t="str">
        <f t="shared" si="94"/>
        <v>IR+HC</v>
      </c>
      <c r="AA117" s="1388"/>
      <c r="AB117" t="str">
        <f t="shared" si="51"/>
        <v>PEFOD</v>
      </c>
    </row>
    <row r="118" spans="1:28">
      <c r="A118" s="752" t="str">
        <f>'Plant loading'!A114</f>
        <v>Stafford</v>
      </c>
      <c r="B118" s="752" t="str">
        <f>'Plant loading'!B114</f>
        <v>PEESD</v>
      </c>
      <c r="C118" s="753">
        <f>('Plant loading'!E114*54.5)/1000</f>
        <v>21.418500000000002</v>
      </c>
      <c r="D118" s="754" t="str">
        <f t="shared" si="91"/>
        <v>6 hours</v>
      </c>
      <c r="E118" s="755">
        <v>42887</v>
      </c>
      <c r="F118" s="755">
        <v>42887</v>
      </c>
      <c r="G118" s="755">
        <v>42887</v>
      </c>
      <c r="H118" s="755">
        <v>42887</v>
      </c>
      <c r="I118" s="755">
        <v>42887</v>
      </c>
      <c r="J118" s="755">
        <v>42887</v>
      </c>
      <c r="K118" s="755">
        <v>42887</v>
      </c>
      <c r="L118" s="755">
        <v>42887</v>
      </c>
      <c r="M118" s="755">
        <v>42887</v>
      </c>
      <c r="N118" s="755"/>
      <c r="O118" s="755"/>
      <c r="P118" s="755" t="s">
        <v>621</v>
      </c>
      <c r="Q118">
        <v>1500700866</v>
      </c>
      <c r="R118" s="5">
        <f t="shared" si="85"/>
        <v>9</v>
      </c>
      <c r="S118" s="5">
        <f t="shared" si="90"/>
        <v>2.3798333333333335</v>
      </c>
      <c r="T118" s="5">
        <f t="shared" si="92"/>
        <v>14</v>
      </c>
      <c r="U118" s="5">
        <f t="shared" si="86"/>
        <v>0</v>
      </c>
      <c r="V118" s="5">
        <f t="shared" si="87"/>
        <v>9</v>
      </c>
      <c r="W118" s="201">
        <f t="shared" si="88"/>
        <v>1</v>
      </c>
      <c r="X118" s="203" t="str">
        <f t="shared" si="93"/>
        <v>Replacement Due</v>
      </c>
      <c r="Y118" s="201">
        <f t="shared" si="89"/>
        <v>1</v>
      </c>
      <c r="Z118" s="203" t="str">
        <f t="shared" si="94"/>
        <v>IR+HC</v>
      </c>
      <c r="AA118" s="1389" t="str">
        <f>A118</f>
        <v>Stafford</v>
      </c>
      <c r="AB118" t="str">
        <f t="shared" si="51"/>
        <v>PEESD</v>
      </c>
    </row>
    <row r="119" spans="1:28">
      <c r="A119" s="100" t="str">
        <f>'Plant loading'!A115</f>
        <v>Stafford</v>
      </c>
      <c r="B119" s="100" t="str">
        <f>'Plant loading'!B115</f>
        <v>PEGSD</v>
      </c>
      <c r="C119" s="101">
        <f>('Plant loading'!E115*54.5)/1000</f>
        <v>22.8355</v>
      </c>
      <c r="D119" s="102" t="str">
        <f t="shared" si="91"/>
        <v>5 hours</v>
      </c>
      <c r="E119" s="351">
        <v>42887</v>
      </c>
      <c r="F119" s="351">
        <v>42887</v>
      </c>
      <c r="G119" s="351">
        <v>42887</v>
      </c>
      <c r="H119" s="351">
        <v>42887</v>
      </c>
      <c r="I119" s="351">
        <v>42887</v>
      </c>
      <c r="J119" s="351">
        <v>42887</v>
      </c>
      <c r="K119" s="351">
        <v>42887</v>
      </c>
      <c r="L119" s="351">
        <v>42887</v>
      </c>
      <c r="M119" s="351">
        <v>42887</v>
      </c>
      <c r="N119" s="351"/>
      <c r="O119" s="351"/>
      <c r="P119" s="351" t="s">
        <v>621</v>
      </c>
      <c r="Q119">
        <v>1500700866</v>
      </c>
      <c r="R119" s="5">
        <f t="shared" si="85"/>
        <v>9</v>
      </c>
      <c r="S119" s="5">
        <f t="shared" si="90"/>
        <v>2.5372777777777777</v>
      </c>
      <c r="T119" s="5">
        <f t="shared" si="92"/>
        <v>13</v>
      </c>
      <c r="U119" s="5">
        <f t="shared" si="86"/>
        <v>0</v>
      </c>
      <c r="V119" s="5">
        <f t="shared" si="87"/>
        <v>9</v>
      </c>
      <c r="W119" s="201">
        <f t="shared" si="88"/>
        <v>1</v>
      </c>
      <c r="X119" s="203" t="str">
        <f t="shared" si="93"/>
        <v>Replacement Due</v>
      </c>
      <c r="Y119" s="201">
        <f t="shared" si="89"/>
        <v>1</v>
      </c>
      <c r="Z119" s="203" t="str">
        <f t="shared" si="94"/>
        <v>IR+HC</v>
      </c>
      <c r="AA119" s="1389"/>
      <c r="AB119" t="str">
        <f t="shared" si="51"/>
        <v>PEGSD</v>
      </c>
    </row>
    <row r="120" spans="1:28">
      <c r="A120" s="760" t="str">
        <f>'Plant loading'!A116</f>
        <v>Warrington TXO</v>
      </c>
      <c r="B120" s="760" t="str">
        <f>'Plant loading'!B116</f>
        <v>PELWN</v>
      </c>
      <c r="C120" s="761">
        <f>('Plant loading'!E116*54.5)/1000</f>
        <v>11.390499999999999</v>
      </c>
      <c r="D120" s="762" t="str">
        <f t="shared" si="91"/>
        <v>6 hours</v>
      </c>
      <c r="E120" s="755">
        <v>42887</v>
      </c>
      <c r="F120" s="755">
        <v>42887</v>
      </c>
      <c r="G120" s="755">
        <v>42887</v>
      </c>
      <c r="H120" s="755">
        <v>42887</v>
      </c>
      <c r="I120" s="755">
        <v>42887</v>
      </c>
      <c r="J120" s="755"/>
      <c r="K120" s="755"/>
      <c r="L120" s="755"/>
      <c r="M120" s="755"/>
      <c r="N120" s="755"/>
      <c r="O120" s="755"/>
      <c r="P120" s="755" t="s">
        <v>621</v>
      </c>
      <c r="Q120"/>
      <c r="R120" s="5">
        <f t="shared" si="85"/>
        <v>5</v>
      </c>
      <c r="S120" s="5">
        <f t="shared" si="90"/>
        <v>2.2780999999999998</v>
      </c>
      <c r="T120" s="5">
        <f t="shared" si="92"/>
        <v>14</v>
      </c>
      <c r="U120" s="5">
        <f t="shared" si="86"/>
        <v>0</v>
      </c>
      <c r="V120" s="5">
        <f t="shared" si="87"/>
        <v>5</v>
      </c>
      <c r="W120" s="201">
        <f t="shared" si="88"/>
        <v>1</v>
      </c>
      <c r="X120" s="202" t="str">
        <f t="shared" si="93"/>
        <v>Replacement Due</v>
      </c>
      <c r="Y120" s="201">
        <f t="shared" si="89"/>
        <v>1</v>
      </c>
      <c r="Z120" s="202" t="str">
        <f t="shared" si="94"/>
        <v>IR+HC</v>
      </c>
      <c r="AA120" s="1388" t="str">
        <f>A120</f>
        <v>Warrington TXO</v>
      </c>
      <c r="AB120" t="str">
        <f t="shared" si="51"/>
        <v>PELWN</v>
      </c>
    </row>
    <row r="121" spans="1:28">
      <c r="A121" s="97" t="str">
        <f>'Plant loading'!A117</f>
        <v>Warrington TXO</v>
      </c>
      <c r="B121" s="97" t="str">
        <f>'Plant loading'!B117</f>
        <v>PEMWN</v>
      </c>
      <c r="C121" s="98">
        <f>('Plant loading'!E117*54.5)/1000</f>
        <v>8.5020000000000007</v>
      </c>
      <c r="D121" s="99" t="str">
        <f t="shared" si="91"/>
        <v>8 hours</v>
      </c>
      <c r="E121" s="351">
        <v>42887</v>
      </c>
      <c r="F121" s="351">
        <v>42887</v>
      </c>
      <c r="G121" s="351">
        <v>42887</v>
      </c>
      <c r="H121" s="351">
        <v>42887</v>
      </c>
      <c r="I121" s="351">
        <v>42887</v>
      </c>
      <c r="J121" s="351"/>
      <c r="K121" s="351"/>
      <c r="L121" s="351"/>
      <c r="M121" s="351"/>
      <c r="N121" s="351"/>
      <c r="O121" s="351"/>
      <c r="P121" s="351" t="s">
        <v>621</v>
      </c>
      <c r="Q121"/>
      <c r="R121" s="5">
        <f t="shared" si="85"/>
        <v>5</v>
      </c>
      <c r="S121" s="5">
        <f t="shared" si="90"/>
        <v>1.7004000000000001</v>
      </c>
      <c r="T121" s="5">
        <f t="shared" si="92"/>
        <v>16</v>
      </c>
      <c r="U121" s="5">
        <f t="shared" si="86"/>
        <v>0</v>
      </c>
      <c r="V121" s="5">
        <f t="shared" si="87"/>
        <v>5</v>
      </c>
      <c r="W121" s="201">
        <f t="shared" si="88"/>
        <v>1</v>
      </c>
      <c r="X121" s="202" t="str">
        <f t="shared" si="93"/>
        <v>Replacement Due</v>
      </c>
      <c r="Y121" s="201">
        <f t="shared" si="89"/>
        <v>1</v>
      </c>
      <c r="Z121" s="202" t="str">
        <f t="shared" si="94"/>
        <v>IR+HC</v>
      </c>
      <c r="AA121" s="1388"/>
      <c r="AB121" t="str">
        <f t="shared" si="51"/>
        <v>PEMWN</v>
      </c>
    </row>
    <row r="122" spans="1:28">
      <c r="A122" s="765" t="str">
        <f>'Plant loading'!A118</f>
        <v>Warrington TXO</v>
      </c>
      <c r="B122" s="765" t="str">
        <f>'Plant loading'!B118</f>
        <v>PENWN</v>
      </c>
      <c r="C122" s="766">
        <f>('Plant loading'!E118*54.5)/1000</f>
        <v>19.62</v>
      </c>
      <c r="D122" s="767" t="str">
        <f t="shared" si="91"/>
        <v>3 hours</v>
      </c>
      <c r="E122" s="759">
        <v>42917</v>
      </c>
      <c r="F122" s="759">
        <v>42917</v>
      </c>
      <c r="G122" s="759">
        <v>42917</v>
      </c>
      <c r="H122" s="759">
        <v>42917</v>
      </c>
      <c r="I122" s="759">
        <v>42917</v>
      </c>
      <c r="J122" s="759"/>
      <c r="K122" s="759"/>
      <c r="L122" s="759"/>
      <c r="M122" s="759"/>
      <c r="N122" s="759"/>
      <c r="O122" s="759"/>
      <c r="P122" s="759" t="s">
        <v>621</v>
      </c>
      <c r="Q122">
        <v>1500547536</v>
      </c>
      <c r="R122" s="5">
        <f t="shared" si="85"/>
        <v>5</v>
      </c>
      <c r="S122" s="5">
        <f t="shared" si="90"/>
        <v>3.9240000000000004</v>
      </c>
      <c r="T122" s="5">
        <f t="shared" si="92"/>
        <v>11</v>
      </c>
      <c r="U122" s="5">
        <f t="shared" si="86"/>
        <v>0</v>
      </c>
      <c r="V122" s="5">
        <f t="shared" si="87"/>
        <v>5</v>
      </c>
      <c r="W122" s="201">
        <f t="shared" si="88"/>
        <v>1</v>
      </c>
      <c r="X122" s="202" t="str">
        <f t="shared" si="93"/>
        <v>Replacement Due</v>
      </c>
      <c r="Y122" s="201">
        <f t="shared" si="89"/>
        <v>1</v>
      </c>
      <c r="Z122" s="202" t="str">
        <f t="shared" si="94"/>
        <v>IR+HC</v>
      </c>
      <c r="AA122" s="1388"/>
      <c r="AB122" t="str">
        <f t="shared" si="51"/>
        <v>PENWN</v>
      </c>
    </row>
    <row r="123" spans="1:28">
      <c r="R123" s="808">
        <f>SUM(R8:R122)</f>
        <v>939</v>
      </c>
      <c r="S123" s="808">
        <f>SUM(S8:S122)</f>
        <v>413.29525674603167</v>
      </c>
      <c r="T123" s="808">
        <f>SUM(T8:T122)</f>
        <v>1381</v>
      </c>
      <c r="U123" s="808">
        <f>SUM(U8:U122)</f>
        <v>3</v>
      </c>
      <c r="V123" s="808">
        <f>SUM(V8:V122)</f>
        <v>80</v>
      </c>
    </row>
    <row r="125" spans="1:28">
      <c r="AA125" s="347" t="s">
        <v>622</v>
      </c>
    </row>
    <row r="126" spans="1:28">
      <c r="AA126" s="347" t="s">
        <v>623</v>
      </c>
    </row>
    <row r="128" spans="1:28">
      <c r="A128" s="1354" t="s">
        <v>624</v>
      </c>
      <c r="B128" s="1354"/>
    </row>
    <row r="130" spans="1:24" ht="14.45">
      <c r="A130" s="1377" t="s">
        <v>625</v>
      </c>
      <c r="B130" s="1378"/>
      <c r="C130" s="811" t="s">
        <v>626</v>
      </c>
      <c r="D130" s="811" t="s">
        <v>627</v>
      </c>
      <c r="E130" s="811" t="s">
        <v>628</v>
      </c>
      <c r="F130" s="811" t="s">
        <v>629</v>
      </c>
      <c r="G130" s="811" t="s">
        <v>630</v>
      </c>
      <c r="H130" s="811" t="s">
        <v>631</v>
      </c>
      <c r="I130" s="811" t="s">
        <v>632</v>
      </c>
      <c r="J130" s="811" t="s">
        <v>633</v>
      </c>
      <c r="K130" s="811" t="s">
        <v>634</v>
      </c>
      <c r="L130" s="811" t="s">
        <v>635</v>
      </c>
      <c r="M130" s="811" t="s">
        <v>636</v>
      </c>
      <c r="N130" s="811" t="s">
        <v>637</v>
      </c>
      <c r="O130" s="811" t="s">
        <v>638</v>
      </c>
      <c r="P130" s="811" t="s">
        <v>639</v>
      </c>
      <c r="Q130" s="811" t="s">
        <v>640</v>
      </c>
      <c r="R130" s="33" t="s">
        <v>641</v>
      </c>
      <c r="S130"/>
      <c r="T130"/>
      <c r="U130" s="5"/>
      <c r="V130" s="5"/>
      <c r="W130" s="5"/>
      <c r="X130" s="5"/>
    </row>
    <row r="131" spans="1:24" ht="26.25" customHeight="1">
      <c r="A131" s="1379" t="s">
        <v>642</v>
      </c>
      <c r="B131" s="1380"/>
      <c r="C131" s="5">
        <v>327</v>
      </c>
      <c r="D131" s="5">
        <v>298</v>
      </c>
      <c r="E131" s="5">
        <v>275</v>
      </c>
      <c r="F131" s="5">
        <v>253</v>
      </c>
      <c r="G131" s="5">
        <v>238.7</v>
      </c>
      <c r="H131" s="5">
        <v>224.3</v>
      </c>
      <c r="I131" s="5">
        <v>210</v>
      </c>
      <c r="J131" s="5">
        <v>150</v>
      </c>
      <c r="K131" s="5">
        <v>120</v>
      </c>
      <c r="L131" s="5">
        <v>102</v>
      </c>
      <c r="M131" s="5">
        <v>89.6</v>
      </c>
      <c r="N131" s="5">
        <v>71.3</v>
      </c>
      <c r="O131" s="5">
        <v>59.4</v>
      </c>
      <c r="P131" s="5">
        <v>50</v>
      </c>
      <c r="Q131" s="5">
        <v>43.8</v>
      </c>
      <c r="R131" s="31">
        <v>40.299999999999997</v>
      </c>
      <c r="S131"/>
      <c r="T131"/>
      <c r="U131" s="5"/>
      <c r="V131" s="5"/>
      <c r="W131" s="5"/>
      <c r="X131" s="5"/>
    </row>
    <row r="132" spans="1:24" ht="30.75" customHeight="1">
      <c r="A132" s="1379" t="s">
        <v>643</v>
      </c>
      <c r="B132" s="1380"/>
      <c r="C132" s="5">
        <v>336.2</v>
      </c>
      <c r="D132" s="5">
        <v>306.3</v>
      </c>
      <c r="E132" s="5">
        <v>282.7</v>
      </c>
      <c r="F132" s="5">
        <v>260.10000000000002</v>
      </c>
      <c r="G132" s="5">
        <v>245.4</v>
      </c>
      <c r="H132" s="5">
        <v>230.6</v>
      </c>
      <c r="I132" s="5">
        <v>215.9</v>
      </c>
      <c r="J132" s="5">
        <v>154.19999999999999</v>
      </c>
      <c r="K132" s="5">
        <v>123.4</v>
      </c>
      <c r="L132" s="5">
        <v>104.9</v>
      </c>
      <c r="M132" s="5">
        <v>92.1</v>
      </c>
      <c r="N132" s="5">
        <v>73.3</v>
      </c>
      <c r="O132" s="5">
        <v>61.1</v>
      </c>
      <c r="P132" s="5">
        <v>51.4</v>
      </c>
      <c r="Q132" s="5">
        <v>45</v>
      </c>
      <c r="R132" s="31">
        <v>41.4</v>
      </c>
      <c r="S132"/>
      <c r="T132"/>
      <c r="U132" s="5"/>
      <c r="V132" s="5"/>
      <c r="W132" s="5"/>
      <c r="X132" s="5"/>
    </row>
    <row r="133" spans="1:24" ht="33.75" customHeight="1">
      <c r="A133" s="1379" t="s">
        <v>644</v>
      </c>
      <c r="B133" s="1384"/>
      <c r="C133" s="5">
        <f t="shared" ref="C133:I134" si="95">((16*3)*C131)/1000</f>
        <v>15.696</v>
      </c>
      <c r="D133" s="5">
        <f t="shared" si="95"/>
        <v>14.304</v>
      </c>
      <c r="E133" s="5">
        <f t="shared" si="95"/>
        <v>13.2</v>
      </c>
      <c r="F133" s="5">
        <f t="shared" si="95"/>
        <v>12.144</v>
      </c>
      <c r="G133" s="5">
        <f t="shared" si="95"/>
        <v>11.457599999999999</v>
      </c>
      <c r="H133" s="5">
        <f t="shared" si="95"/>
        <v>10.766400000000001</v>
      </c>
      <c r="I133" s="5">
        <f t="shared" si="95"/>
        <v>10.08</v>
      </c>
      <c r="J133" s="5">
        <f t="shared" ref="J133:R134" si="96">((16*3)*J131)/1000</f>
        <v>7.2</v>
      </c>
      <c r="K133" s="5">
        <f t="shared" si="96"/>
        <v>5.76</v>
      </c>
      <c r="L133" s="5">
        <f t="shared" si="96"/>
        <v>4.8959999999999999</v>
      </c>
      <c r="M133" s="5">
        <f t="shared" si="96"/>
        <v>4.3007999999999988</v>
      </c>
      <c r="N133" s="5">
        <f t="shared" si="96"/>
        <v>3.4223999999999997</v>
      </c>
      <c r="O133" s="5">
        <f t="shared" si="96"/>
        <v>2.8512</v>
      </c>
      <c r="P133" s="5">
        <f t="shared" si="96"/>
        <v>2.4</v>
      </c>
      <c r="Q133" s="5">
        <f t="shared" si="96"/>
        <v>2.1023999999999998</v>
      </c>
      <c r="R133" s="31">
        <f t="shared" si="96"/>
        <v>1.9343999999999999</v>
      </c>
      <c r="S133"/>
      <c r="T133"/>
      <c r="U133" s="5"/>
      <c r="V133" s="5"/>
      <c r="W133" s="5"/>
      <c r="X133" s="5"/>
    </row>
    <row r="134" spans="1:24" ht="33.75" customHeight="1">
      <c r="A134" s="1379" t="s">
        <v>645</v>
      </c>
      <c r="B134" s="1384"/>
      <c r="C134" s="5">
        <f t="shared" si="95"/>
        <v>16.137599999999999</v>
      </c>
      <c r="D134" s="5">
        <f t="shared" si="95"/>
        <v>14.702400000000001</v>
      </c>
      <c r="E134" s="5">
        <f t="shared" si="95"/>
        <v>13.569599999999998</v>
      </c>
      <c r="F134" s="5">
        <f t="shared" si="95"/>
        <v>12.484800000000002</v>
      </c>
      <c r="G134" s="5">
        <f t="shared" si="95"/>
        <v>11.779200000000001</v>
      </c>
      <c r="H134" s="5">
        <f t="shared" si="95"/>
        <v>11.0688</v>
      </c>
      <c r="I134" s="5">
        <f t="shared" si="95"/>
        <v>10.363200000000001</v>
      </c>
      <c r="J134" s="5">
        <f t="shared" si="96"/>
        <v>7.4015999999999993</v>
      </c>
      <c r="K134" s="5">
        <f t="shared" si="96"/>
        <v>5.9232000000000005</v>
      </c>
      <c r="L134" s="5">
        <f t="shared" si="96"/>
        <v>5.0352000000000006</v>
      </c>
      <c r="M134" s="5">
        <f t="shared" si="96"/>
        <v>4.420799999999999</v>
      </c>
      <c r="N134" s="5">
        <f t="shared" si="96"/>
        <v>3.5183999999999997</v>
      </c>
      <c r="O134" s="5">
        <f t="shared" si="96"/>
        <v>2.9328000000000003</v>
      </c>
      <c r="P134" s="5">
        <f t="shared" si="96"/>
        <v>2.4671999999999996</v>
      </c>
      <c r="Q134" s="5">
        <f t="shared" si="96"/>
        <v>2.16</v>
      </c>
      <c r="R134" s="31">
        <f t="shared" si="96"/>
        <v>1.9871999999999999</v>
      </c>
      <c r="S134"/>
      <c r="T134"/>
      <c r="U134" s="5"/>
      <c r="V134" s="5"/>
      <c r="W134" s="5"/>
      <c r="X134" s="5"/>
    </row>
    <row r="135" spans="1:24" ht="33.75" customHeight="1">
      <c r="A135" s="1385" t="s">
        <v>646</v>
      </c>
      <c r="B135" s="1386"/>
      <c r="C135" s="32">
        <f t="shared" ref="C135:R135" si="97">C134*9</f>
        <v>145.23839999999998</v>
      </c>
      <c r="D135" s="32">
        <f t="shared" si="97"/>
        <v>132.32160000000002</v>
      </c>
      <c r="E135" s="32">
        <f t="shared" si="97"/>
        <v>122.12639999999998</v>
      </c>
      <c r="F135" s="32">
        <f t="shared" si="97"/>
        <v>112.36320000000002</v>
      </c>
      <c r="G135" s="32">
        <f t="shared" si="97"/>
        <v>106.01280000000001</v>
      </c>
      <c r="H135" s="32">
        <f t="shared" si="97"/>
        <v>99.619199999999992</v>
      </c>
      <c r="I135" s="32">
        <f t="shared" si="97"/>
        <v>93.268800000000013</v>
      </c>
      <c r="J135" s="32">
        <f t="shared" si="97"/>
        <v>66.614399999999989</v>
      </c>
      <c r="K135" s="32">
        <f t="shared" si="97"/>
        <v>53.308800000000005</v>
      </c>
      <c r="L135" s="32">
        <f t="shared" si="97"/>
        <v>45.316800000000008</v>
      </c>
      <c r="M135" s="32">
        <f t="shared" si="97"/>
        <v>39.787199999999991</v>
      </c>
      <c r="N135" s="32">
        <f t="shared" si="97"/>
        <v>31.665599999999998</v>
      </c>
      <c r="O135" s="32">
        <f t="shared" si="97"/>
        <v>26.395200000000003</v>
      </c>
      <c r="P135" s="32">
        <f t="shared" si="97"/>
        <v>22.204799999999995</v>
      </c>
      <c r="Q135" s="32">
        <f t="shared" si="97"/>
        <v>19.440000000000001</v>
      </c>
      <c r="R135" s="34">
        <f t="shared" si="97"/>
        <v>17.884799999999998</v>
      </c>
      <c r="S135"/>
      <c r="T135"/>
      <c r="U135" s="5"/>
      <c r="V135" s="5"/>
      <c r="W135" s="5"/>
      <c r="X135" s="5"/>
    </row>
    <row r="139" spans="1:24">
      <c r="A139" s="14" t="s">
        <v>647</v>
      </c>
    </row>
    <row r="140" spans="1:24">
      <c r="A140" s="42" t="s">
        <v>648</v>
      </c>
      <c r="B140" s="41">
        <v>333</v>
      </c>
    </row>
    <row r="141" spans="1:24">
      <c r="A141" s="42" t="s">
        <v>649</v>
      </c>
      <c r="B141" s="49">
        <f>(8*B140)+450</f>
        <v>3114</v>
      </c>
    </row>
    <row r="143" spans="1:24">
      <c r="B143" s="1371" t="s">
        <v>591</v>
      </c>
      <c r="C143" s="1372"/>
      <c r="D143" s="1375" t="s">
        <v>650</v>
      </c>
      <c r="E143" s="1376"/>
      <c r="F143" s="1371" t="s">
        <v>651</v>
      </c>
      <c r="G143" s="1372"/>
      <c r="H143" s="1375" t="s">
        <v>652</v>
      </c>
      <c r="I143" s="1376"/>
      <c r="J143" s="1371" t="s">
        <v>653</v>
      </c>
      <c r="K143" s="1372"/>
      <c r="L143" s="1375" t="s">
        <v>654</v>
      </c>
      <c r="M143" s="1376"/>
      <c r="N143" s="1371" t="s">
        <v>655</v>
      </c>
      <c r="O143" s="1372"/>
      <c r="P143" s="1375" t="s">
        <v>656</v>
      </c>
      <c r="Q143" s="1376"/>
      <c r="R143"/>
      <c r="S143"/>
      <c r="T143"/>
      <c r="U143" s="5"/>
      <c r="V143" s="5"/>
      <c r="W143" s="5"/>
      <c r="X143" s="5"/>
    </row>
    <row r="144" spans="1:24">
      <c r="A144" s="37" t="s">
        <v>657</v>
      </c>
      <c r="B144" s="1373">
        <f>COUNTIFS($E$8:$P$122,"&gt;="&amp;$D$2+(0*365),$E$8:$P$122,"&lt;="&amp;$E$2+(0*365))</f>
        <v>78</v>
      </c>
      <c r="C144" s="1374"/>
      <c r="D144" s="1356">
        <f>COUNTIFS($E$8:$P$122,"&gt;="&amp;$D$2+(1*365),$E$8:$P$122,"&lt;="&amp;$E$2+(1*365))</f>
        <v>3</v>
      </c>
      <c r="E144" s="1357"/>
      <c r="F144" s="1373">
        <f>COUNTIFS($E$8:$P$122,"&gt;="&amp;$D$2+(2*365),$E$8:$P$122,"&lt;="&amp;$E$2+(2*365))</f>
        <v>109</v>
      </c>
      <c r="G144" s="1374"/>
      <c r="H144" s="1356">
        <f>COUNTIFS($E$8:$P$122,"&gt;="&amp;$D$2+(3*365),$E$8:$P$122,"&lt;="&amp;$E$2+(3*365))</f>
        <v>170</v>
      </c>
      <c r="I144" s="1357"/>
      <c r="J144" s="1373">
        <f>COUNTIFS($E$8:$P$122,"&gt;="&amp;$D$2+(4*365),$E$8:$P$122,"&lt;="&amp;$E$2+(4*365))</f>
        <v>229</v>
      </c>
      <c r="K144" s="1374"/>
      <c r="L144" s="1356">
        <f>COUNTIFS($E$8:$P$122,"&gt;="&amp;$D$2+(5*365),$E$8:$P$122,"&lt;="&amp;$E$2+(5*365))</f>
        <v>163</v>
      </c>
      <c r="M144" s="1357"/>
      <c r="N144" s="1373">
        <f>COUNTIFS($E$8:$P$122,"&gt;="&amp;$D$2+(6*365),$E$8:$P$122,"&lt;="&amp;$E$2+(6*365))</f>
        <v>185</v>
      </c>
      <c r="O144" s="1374"/>
      <c r="P144" s="1356">
        <f>COUNTIFS($E$8:$P$122,"&gt;="&amp;$D$2+(7*365),$E$8:$P$122,"&lt;="&amp;$E$2+(7*365))</f>
        <v>0</v>
      </c>
      <c r="Q144" s="1357"/>
      <c r="R144"/>
      <c r="S144"/>
      <c r="T144"/>
      <c r="U144" s="5"/>
      <c r="V144" s="5"/>
      <c r="W144" s="5"/>
      <c r="X144" s="5"/>
    </row>
    <row r="145" spans="1:24">
      <c r="A145" s="38" t="s">
        <v>658</v>
      </c>
      <c r="B145" s="1364">
        <f>B144*$B$141</f>
        <v>242892</v>
      </c>
      <c r="C145" s="1365"/>
      <c r="D145" s="1366">
        <f>(D144*$B$141)*(1+0.2)^1</f>
        <v>11210.4</v>
      </c>
      <c r="E145" s="1367"/>
      <c r="F145" s="1364">
        <f>(F144*$B$141)*(1+0.15)^2</f>
        <v>448890.88499999995</v>
      </c>
      <c r="G145" s="1365"/>
      <c r="H145" s="1366">
        <f>(H144*$B$141)*(1+0.15)^3</f>
        <v>805120.80749999976</v>
      </c>
      <c r="I145" s="1367"/>
      <c r="J145" s="1364">
        <f>(J144*$B$141)*(1+0.15)^4</f>
        <v>1247226.8509124997</v>
      </c>
      <c r="K145" s="1365"/>
      <c r="L145" s="1366">
        <f>(L144*$B$141)*(1+0.15)^5</f>
        <v>1020928.7039456246</v>
      </c>
      <c r="M145" s="1367"/>
      <c r="N145" s="1364">
        <f>(N144*$B$141)*(1+0.15)^6</f>
        <v>1332531.1764689058</v>
      </c>
      <c r="O145" s="1365"/>
      <c r="P145" s="1366">
        <f>(P144*$B$141)*(1+0.15)^7</f>
        <v>0</v>
      </c>
      <c r="Q145" s="1367"/>
      <c r="R145"/>
      <c r="S145"/>
      <c r="T145"/>
      <c r="U145" s="5"/>
      <c r="V145" s="5"/>
      <c r="W145" s="5"/>
      <c r="X145" s="5"/>
    </row>
    <row r="146" spans="1:24">
      <c r="A146" s="38" t="s">
        <v>659</v>
      </c>
      <c r="B146" s="1358">
        <f>B145*0.075</f>
        <v>18216.899999999998</v>
      </c>
      <c r="C146" s="1359"/>
      <c r="D146" s="1368">
        <f>(D145*0.075)*(1+0.025)^1</f>
        <v>861.79949999999985</v>
      </c>
      <c r="E146" s="1357"/>
      <c r="F146" s="1358">
        <f>(F145*0.075)*(1+0.025)^2</f>
        <v>35371.198953984363</v>
      </c>
      <c r="G146" s="1359"/>
      <c r="H146" s="1368">
        <f>(H145*0.075)*(1+0.025)^3</f>
        <v>65027.028719188449</v>
      </c>
      <c r="I146" s="1357"/>
      <c r="J146" s="1358">
        <f>(J145*0.075)*(1+0.025)^4</f>
        <v>103252.88066781315</v>
      </c>
      <c r="K146" s="1359"/>
      <c r="L146" s="1368">
        <f>(L145*0.075)*(1+0.025)^5</f>
        <v>86631.534031489558</v>
      </c>
      <c r="M146" s="1357"/>
      <c r="N146" s="1358">
        <f>(N145*0.075)*(1+0.025)^6</f>
        <v>115899.5726185852</v>
      </c>
      <c r="O146" s="1359"/>
      <c r="P146" s="1368">
        <f>(P145*0.25)*(1+0.025)^7</f>
        <v>0</v>
      </c>
      <c r="Q146" s="1357"/>
    </row>
    <row r="147" spans="1:24">
      <c r="A147" s="39" t="s">
        <v>660</v>
      </c>
      <c r="B147" s="1360">
        <f>B145+B146</f>
        <v>261108.9</v>
      </c>
      <c r="C147" s="1361"/>
      <c r="D147" s="1362">
        <f>ROUNDUP(D145+D146,0)</f>
        <v>12073</v>
      </c>
      <c r="E147" s="1363"/>
      <c r="F147" s="1360">
        <f t="shared" ref="F147" si="98">ROUNDUP(F145+F146,0)</f>
        <v>484263</v>
      </c>
      <c r="G147" s="1361"/>
      <c r="H147" s="1362">
        <f t="shared" ref="H147" si="99">ROUNDUP(H145+H146,0)</f>
        <v>870148</v>
      </c>
      <c r="I147" s="1363"/>
      <c r="J147" s="1360">
        <f t="shared" ref="J147" si="100">ROUNDUP(J145+J146,0)</f>
        <v>1350480</v>
      </c>
      <c r="K147" s="1361"/>
      <c r="L147" s="1362">
        <f t="shared" ref="L147" si="101">ROUNDUP(L145+L146,0)</f>
        <v>1107561</v>
      </c>
      <c r="M147" s="1363"/>
      <c r="N147" s="1360">
        <f t="shared" ref="N147" si="102">ROUNDUP(N145+N146,0)</f>
        <v>1448431</v>
      </c>
      <c r="O147" s="1361"/>
      <c r="P147" s="1362">
        <f t="shared" ref="P147" si="103">ROUNDUP(P145+P146,0)</f>
        <v>0</v>
      </c>
      <c r="Q147" s="1363"/>
    </row>
    <row r="148" spans="1:24">
      <c r="D148" s="36"/>
    </row>
    <row r="149" spans="1:24">
      <c r="D149" s="777"/>
      <c r="F149" s="777"/>
      <c r="H149" s="777"/>
    </row>
    <row r="150" spans="1:24">
      <c r="A150" s="48"/>
    </row>
    <row r="176" spans="1:17">
      <c r="A176" s="14" t="s">
        <v>661</v>
      </c>
      <c r="B176" s="5">
        <v>1</v>
      </c>
      <c r="C176" s="5">
        <v>2</v>
      </c>
      <c r="D176" s="5">
        <v>3</v>
      </c>
      <c r="E176" s="5">
        <v>4</v>
      </c>
      <c r="F176" s="5">
        <v>5</v>
      </c>
      <c r="G176" s="5">
        <v>6</v>
      </c>
      <c r="H176" s="5">
        <v>7</v>
      </c>
      <c r="I176" s="5">
        <v>8</v>
      </c>
      <c r="J176" s="5">
        <v>9</v>
      </c>
      <c r="K176" s="5">
        <v>10</v>
      </c>
      <c r="L176" s="5">
        <v>11</v>
      </c>
      <c r="M176" s="5">
        <v>12</v>
      </c>
      <c r="N176" s="5">
        <v>13</v>
      </c>
      <c r="O176" s="5">
        <v>14</v>
      </c>
      <c r="P176" s="5">
        <v>15</v>
      </c>
      <c r="Q176" s="5">
        <v>16</v>
      </c>
    </row>
    <row r="177" spans="2:22">
      <c r="B177" s="96">
        <f>$B$2-((7*365)+1)</f>
        <v>42827</v>
      </c>
      <c r="C177" s="96">
        <f>$C$2-((7*365)+2)</f>
        <v>43190</v>
      </c>
      <c r="D177" s="95">
        <f>$B$2-((6*365)+1)</f>
        <v>43192</v>
      </c>
      <c r="E177" s="95">
        <f>$C$2-((6*365)+1)</f>
        <v>43556</v>
      </c>
      <c r="F177" s="96">
        <f>$B$2-((5*365)+1)</f>
        <v>43557</v>
      </c>
      <c r="G177" s="96">
        <f>$C$2-((5*365)+1)</f>
        <v>43921</v>
      </c>
      <c r="H177" s="95">
        <f>$B$2-((4*365)+1)</f>
        <v>43922</v>
      </c>
      <c r="I177" s="95">
        <f>$C$2-((4*365)+1)</f>
        <v>44286</v>
      </c>
      <c r="J177" s="96">
        <f>$B$2-((3*365))</f>
        <v>44288</v>
      </c>
      <c r="K177" s="96">
        <f>$C$2-((3*365)+1)</f>
        <v>44651</v>
      </c>
      <c r="L177" s="95">
        <f>$B$2-(2*365)</f>
        <v>44653</v>
      </c>
      <c r="M177" s="95">
        <f>$C$2-(2*365)</f>
        <v>45017</v>
      </c>
      <c r="N177" s="96">
        <f>$B$2-(1*365)</f>
        <v>45018</v>
      </c>
      <c r="O177" s="96">
        <f>$C$2-(1*365)</f>
        <v>45382</v>
      </c>
      <c r="P177" s="95">
        <f>$B$2</f>
        <v>45383</v>
      </c>
      <c r="Q177" s="95">
        <f>$C$2</f>
        <v>45747</v>
      </c>
      <c r="U177" s="5"/>
    </row>
    <row r="178" spans="2:22">
      <c r="B178" s="1383" t="s">
        <v>662</v>
      </c>
      <c r="C178" s="1383"/>
      <c r="D178" s="1387" t="s">
        <v>663</v>
      </c>
      <c r="E178" s="1387"/>
      <c r="F178" s="1383" t="s">
        <v>664</v>
      </c>
      <c r="G178" s="1383"/>
      <c r="H178" s="1387" t="s">
        <v>665</v>
      </c>
      <c r="I178" s="1387"/>
      <c r="J178" s="1383" t="s">
        <v>666</v>
      </c>
      <c r="K178" s="1383"/>
      <c r="L178" s="1387" t="s">
        <v>667</v>
      </c>
      <c r="M178" s="1387"/>
      <c r="N178" s="1383" t="s">
        <v>668</v>
      </c>
      <c r="O178" s="1383"/>
      <c r="P178" s="1387" t="s">
        <v>669</v>
      </c>
      <c r="Q178" s="1387"/>
      <c r="U178" s="5"/>
    </row>
    <row r="179" spans="2:22">
      <c r="B179" s="1383" t="s">
        <v>670</v>
      </c>
      <c r="C179" s="1383"/>
      <c r="D179" s="1387" t="s">
        <v>671</v>
      </c>
      <c r="E179" s="1387"/>
      <c r="F179" s="1383" t="s">
        <v>672</v>
      </c>
      <c r="G179" s="1383"/>
      <c r="H179" s="1387" t="s">
        <v>671</v>
      </c>
      <c r="I179" s="1387"/>
      <c r="J179" s="1383" t="s">
        <v>672</v>
      </c>
      <c r="K179" s="1383"/>
      <c r="L179" s="1387" t="s">
        <v>671</v>
      </c>
      <c r="M179" s="1387"/>
      <c r="N179" s="1383" t="s">
        <v>672</v>
      </c>
      <c r="O179" s="1383"/>
      <c r="P179" s="1387" t="s">
        <v>673</v>
      </c>
      <c r="Q179" s="1387"/>
      <c r="U179" s="5"/>
    </row>
    <row r="182" spans="2:22">
      <c r="B182" s="5">
        <v>1</v>
      </c>
      <c r="C182" s="5">
        <v>2</v>
      </c>
      <c r="D182" s="5">
        <v>3</v>
      </c>
      <c r="E182" s="5">
        <v>4</v>
      </c>
      <c r="F182" s="5">
        <v>5</v>
      </c>
      <c r="G182" s="5">
        <v>6</v>
      </c>
      <c r="H182" s="5">
        <v>7</v>
      </c>
      <c r="I182" s="5">
        <v>8</v>
      </c>
      <c r="J182" s="5">
        <v>9</v>
      </c>
      <c r="K182" s="5">
        <v>10</v>
      </c>
      <c r="L182" s="5">
        <v>11</v>
      </c>
      <c r="M182" s="5">
        <v>12</v>
      </c>
      <c r="N182" s="5">
        <v>13</v>
      </c>
      <c r="O182" s="5">
        <v>14</v>
      </c>
      <c r="P182" s="5">
        <v>15</v>
      </c>
      <c r="Q182" s="5">
        <v>16</v>
      </c>
      <c r="R182" s="5">
        <v>17</v>
      </c>
      <c r="S182" s="5">
        <v>18</v>
      </c>
      <c r="U182" s="5"/>
      <c r="V182" s="5"/>
    </row>
    <row r="183" spans="2:22">
      <c r="B183" s="352">
        <f>$B$3-((8*365)+2)</f>
        <v>42827</v>
      </c>
      <c r="C183" s="352">
        <f>$C$3-(8*365)-1</f>
        <v>43191</v>
      </c>
      <c r="D183" s="96">
        <f>$B$3-((7*365)+2)</f>
        <v>43192</v>
      </c>
      <c r="E183" s="96">
        <f>$C$3-((7*365)+2)</f>
        <v>43555</v>
      </c>
      <c r="F183" s="95">
        <f>$B$3-((6*365)+2)</f>
        <v>43557</v>
      </c>
      <c r="G183" s="95">
        <f>$C$3-((6*365)+1)</f>
        <v>43921</v>
      </c>
      <c r="H183" s="96">
        <f>$B$3-((5*365)+2)</f>
        <v>43922</v>
      </c>
      <c r="I183" s="96">
        <f>$C$3-((5*365)+1)</f>
        <v>44286</v>
      </c>
      <c r="J183" s="95">
        <f>$B$3-((4*365)+1)</f>
        <v>44288</v>
      </c>
      <c r="K183" s="95">
        <f>$C$3-((4*365)+1)</f>
        <v>44651</v>
      </c>
      <c r="L183" s="96">
        <f>$B$3-((3*365)+1)</f>
        <v>44653</v>
      </c>
      <c r="M183" s="96">
        <f>$C$3-((3*365)+1)</f>
        <v>45016</v>
      </c>
      <c r="N183" s="95">
        <f>$B$3-((2*365)+1)</f>
        <v>45018</v>
      </c>
      <c r="O183" s="95">
        <f>$C$3-(2*365)</f>
        <v>45382</v>
      </c>
      <c r="P183" s="96">
        <f>$B$3-((1*365)+1)</f>
        <v>45383</v>
      </c>
      <c r="Q183" s="96">
        <f>$C$3-(1*365)</f>
        <v>45747</v>
      </c>
      <c r="R183" s="95">
        <f>$B$3</f>
        <v>45749</v>
      </c>
      <c r="S183" s="95">
        <f>$C$3</f>
        <v>46112</v>
      </c>
      <c r="U183" s="5"/>
      <c r="V183" s="5"/>
    </row>
    <row r="184" spans="2:22">
      <c r="B184" s="1391" t="s">
        <v>674</v>
      </c>
      <c r="C184" s="1391"/>
      <c r="D184" s="1383" t="s">
        <v>662</v>
      </c>
      <c r="E184" s="1383"/>
      <c r="F184" s="1387" t="s">
        <v>663</v>
      </c>
      <c r="G184" s="1387"/>
      <c r="H184" s="1383" t="s">
        <v>664</v>
      </c>
      <c r="I184" s="1383"/>
      <c r="J184" s="1387" t="s">
        <v>665</v>
      </c>
      <c r="K184" s="1387"/>
      <c r="L184" s="1383" t="s">
        <v>666</v>
      </c>
      <c r="M184" s="1383"/>
      <c r="N184" s="1387" t="s">
        <v>667</v>
      </c>
      <c r="O184" s="1387"/>
      <c r="P184" s="1383" t="s">
        <v>668</v>
      </c>
      <c r="Q184" s="1383"/>
      <c r="R184" s="1387" t="s">
        <v>669</v>
      </c>
      <c r="S184" s="1387"/>
      <c r="U184" s="5"/>
      <c r="V184" s="5"/>
    </row>
    <row r="185" spans="2:22">
      <c r="B185" s="1391" t="s">
        <v>672</v>
      </c>
      <c r="C185" s="1391"/>
      <c r="D185" s="1383" t="s">
        <v>670</v>
      </c>
      <c r="E185" s="1383"/>
      <c r="F185" s="1387" t="s">
        <v>671</v>
      </c>
      <c r="G185" s="1387"/>
      <c r="H185" s="1383" t="s">
        <v>672</v>
      </c>
      <c r="I185" s="1383"/>
      <c r="J185" s="1387" t="s">
        <v>671</v>
      </c>
      <c r="K185" s="1387"/>
      <c r="L185" s="1383" t="s">
        <v>672</v>
      </c>
      <c r="M185" s="1383"/>
      <c r="N185" s="1387" t="s">
        <v>671</v>
      </c>
      <c r="O185" s="1387"/>
      <c r="P185" s="1383" t="s">
        <v>672</v>
      </c>
      <c r="Q185" s="1383"/>
      <c r="R185" s="1387" t="s">
        <v>673</v>
      </c>
      <c r="S185" s="1387"/>
      <c r="U185" s="5"/>
      <c r="V185" s="5"/>
    </row>
    <row r="186" spans="2:22">
      <c r="U186" s="5"/>
    </row>
    <row r="188" spans="2:22">
      <c r="B188" s="108" t="s">
        <v>515</v>
      </c>
      <c r="C188" s="110" t="s">
        <v>675</v>
      </c>
      <c r="D188" s="110" t="s">
        <v>671</v>
      </c>
      <c r="E188" s="110" t="s">
        <v>676</v>
      </c>
      <c r="F188" s="110" t="s">
        <v>672</v>
      </c>
    </row>
    <row r="189" spans="2:22">
      <c r="B189" t="s">
        <v>271</v>
      </c>
      <c r="C189" s="109">
        <v>2250</v>
      </c>
      <c r="D189" s="109">
        <v>7425</v>
      </c>
      <c r="E189" s="109">
        <v>2525</v>
      </c>
      <c r="F189" s="109">
        <f>C189+E189</f>
        <v>4775</v>
      </c>
    </row>
    <row r="190" spans="2:22">
      <c r="B190" t="s">
        <v>277</v>
      </c>
      <c r="C190" s="70">
        <v>3600</v>
      </c>
      <c r="D190" s="70">
        <v>15713.28</v>
      </c>
      <c r="E190" s="70">
        <v>4000.34</v>
      </c>
      <c r="F190" s="109">
        <f t="shared" ref="F190:F215" si="104">C190+E190</f>
        <v>7600.34</v>
      </c>
    </row>
    <row r="191" spans="2:22">
      <c r="B191" t="s">
        <v>284</v>
      </c>
      <c r="C191" s="70">
        <v>3149.54</v>
      </c>
      <c r="D191" s="70">
        <v>7856.64</v>
      </c>
      <c r="E191" s="70">
        <v>2525</v>
      </c>
      <c r="F191" s="109">
        <f t="shared" si="104"/>
        <v>5674.54</v>
      </c>
    </row>
    <row r="192" spans="2:22">
      <c r="B192" t="s">
        <v>288</v>
      </c>
      <c r="C192" s="70">
        <v>2250</v>
      </c>
      <c r="D192" s="70">
        <v>9820.7999999999993</v>
      </c>
      <c r="E192" s="70">
        <v>2525</v>
      </c>
      <c r="F192" s="109">
        <f t="shared" si="104"/>
        <v>4775</v>
      </c>
    </row>
    <row r="193" spans="2:6">
      <c r="B193" t="s">
        <v>293</v>
      </c>
      <c r="C193" s="70">
        <v>1800</v>
      </c>
      <c r="D193" s="70">
        <v>7856.64</v>
      </c>
      <c r="E193" s="70">
        <v>2033.22</v>
      </c>
      <c r="F193" s="109">
        <f t="shared" si="104"/>
        <v>3833.2200000000003</v>
      </c>
    </row>
    <row r="194" spans="2:6">
      <c r="B194" t="s">
        <v>305</v>
      </c>
      <c r="C194" s="70">
        <v>2250</v>
      </c>
      <c r="D194" s="70">
        <v>9820.7999999999993</v>
      </c>
      <c r="E194" s="70">
        <v>2525</v>
      </c>
      <c r="F194" s="109">
        <f t="shared" si="104"/>
        <v>4775</v>
      </c>
    </row>
    <row r="195" spans="2:6">
      <c r="B195" t="s">
        <v>297</v>
      </c>
      <c r="C195" s="70">
        <v>4500</v>
      </c>
      <c r="D195" s="70">
        <v>13749.12</v>
      </c>
      <c r="E195" s="70">
        <v>3016.78</v>
      </c>
      <c r="F195" s="109">
        <f t="shared" si="104"/>
        <v>7516.7800000000007</v>
      </c>
    </row>
    <row r="196" spans="2:6">
      <c r="B196" t="s">
        <v>314</v>
      </c>
      <c r="C196" s="70">
        <v>5579.03</v>
      </c>
      <c r="D196" s="70">
        <v>19641.599999999999</v>
      </c>
      <c r="E196" s="70">
        <v>5475.68</v>
      </c>
      <c r="F196" s="109">
        <f t="shared" si="104"/>
        <v>11054.71</v>
      </c>
    </row>
    <row r="197" spans="2:6">
      <c r="B197" t="s">
        <v>317</v>
      </c>
      <c r="C197" s="70">
        <v>5400</v>
      </c>
      <c r="D197" s="70">
        <v>14731.2</v>
      </c>
      <c r="E197" s="70">
        <v>3016.78</v>
      </c>
      <c r="F197" s="109">
        <f t="shared" si="104"/>
        <v>8416.7800000000007</v>
      </c>
    </row>
    <row r="198" spans="2:6">
      <c r="B198" t="s">
        <v>322</v>
      </c>
      <c r="C198" s="70">
        <v>3600</v>
      </c>
      <c r="D198" s="70">
        <v>12767.04</v>
      </c>
      <c r="E198" s="70">
        <v>3016.78</v>
      </c>
      <c r="F198" s="109">
        <f t="shared" si="104"/>
        <v>6616.7800000000007</v>
      </c>
    </row>
    <row r="199" spans="2:6">
      <c r="B199" t="s">
        <v>330</v>
      </c>
      <c r="C199" s="70">
        <v>5400</v>
      </c>
      <c r="D199" s="70">
        <v>14731.2</v>
      </c>
      <c r="E199" s="70">
        <v>3016.78</v>
      </c>
      <c r="F199" s="109">
        <f t="shared" si="104"/>
        <v>8416.7800000000007</v>
      </c>
    </row>
    <row r="200" spans="2:6">
      <c r="B200" t="s">
        <v>335</v>
      </c>
      <c r="C200" s="70">
        <v>3150</v>
      </c>
      <c r="D200" s="70">
        <v>10802.88</v>
      </c>
      <c r="E200" s="70">
        <v>2525</v>
      </c>
      <c r="F200" s="109">
        <f t="shared" si="104"/>
        <v>5675</v>
      </c>
    </row>
    <row r="201" spans="2:6">
      <c r="B201" t="s">
        <v>338</v>
      </c>
      <c r="C201" s="70">
        <v>1800</v>
      </c>
      <c r="D201" s="70">
        <v>7856.64</v>
      </c>
      <c r="E201" s="70">
        <v>2033.22</v>
      </c>
      <c r="F201" s="109">
        <f t="shared" si="104"/>
        <v>3833.2200000000003</v>
      </c>
    </row>
    <row r="202" spans="2:6">
      <c r="B202" t="s">
        <v>341</v>
      </c>
      <c r="C202" s="70">
        <v>2610.48</v>
      </c>
      <c r="D202" s="70">
        <v>9329.76</v>
      </c>
      <c r="E202" s="70">
        <v>2525</v>
      </c>
      <c r="F202" s="109">
        <f t="shared" si="104"/>
        <v>5135.4799999999996</v>
      </c>
    </row>
    <row r="203" spans="2:6">
      <c r="B203" t="s">
        <v>350</v>
      </c>
      <c r="C203" s="70">
        <v>900</v>
      </c>
      <c r="D203" s="70">
        <v>3928.32</v>
      </c>
      <c r="E203" s="70">
        <v>1049.6600000000001</v>
      </c>
      <c r="F203" s="109">
        <f t="shared" si="104"/>
        <v>1949.66</v>
      </c>
    </row>
    <row r="204" spans="2:6">
      <c r="B204" t="s">
        <v>352</v>
      </c>
      <c r="C204" s="70">
        <v>1170.97</v>
      </c>
      <c r="D204" s="70">
        <v>3928.32</v>
      </c>
      <c r="E204" s="70">
        <v>1673.64</v>
      </c>
      <c r="F204" s="109">
        <f t="shared" si="104"/>
        <v>2844.61</v>
      </c>
    </row>
    <row r="205" spans="2:6">
      <c r="B205" t="s">
        <v>355</v>
      </c>
      <c r="C205" s="70">
        <v>4139.5200000000004</v>
      </c>
      <c r="D205" s="70">
        <v>12767.04</v>
      </c>
      <c r="E205" s="70">
        <v>4000.34</v>
      </c>
      <c r="F205" s="109">
        <f t="shared" si="104"/>
        <v>8139.8600000000006</v>
      </c>
    </row>
    <row r="206" spans="2:6">
      <c r="B206" t="s">
        <v>357</v>
      </c>
      <c r="C206" s="70">
        <v>900</v>
      </c>
      <c r="D206" s="70">
        <v>3928.32</v>
      </c>
      <c r="E206" s="70">
        <v>1049.6600000000001</v>
      </c>
      <c r="F206" s="109">
        <f t="shared" si="104"/>
        <v>1949.66</v>
      </c>
    </row>
    <row r="207" spans="2:6">
      <c r="B207" t="s">
        <v>359</v>
      </c>
      <c r="C207" s="70">
        <v>900</v>
      </c>
      <c r="D207" s="70">
        <v>982.08</v>
      </c>
      <c r="E207" s="70">
        <v>557.88</v>
      </c>
      <c r="F207" s="109">
        <f t="shared" si="104"/>
        <v>1457.88</v>
      </c>
    </row>
    <row r="208" spans="2:6">
      <c r="B208" t="s">
        <v>677</v>
      </c>
      <c r="C208" s="70">
        <v>900</v>
      </c>
      <c r="D208" s="70">
        <v>982.08</v>
      </c>
      <c r="E208" s="70">
        <v>557.88</v>
      </c>
      <c r="F208" s="109">
        <f t="shared" si="104"/>
        <v>1457.88</v>
      </c>
    </row>
    <row r="209" spans="2:20">
      <c r="B209" t="s">
        <v>361</v>
      </c>
      <c r="C209" s="70">
        <v>1800</v>
      </c>
      <c r="D209" s="70">
        <v>3928.32</v>
      </c>
      <c r="E209" s="70">
        <v>1049.6600000000001</v>
      </c>
      <c r="F209" s="109">
        <f t="shared" si="104"/>
        <v>2849.66</v>
      </c>
    </row>
    <row r="210" spans="2:20">
      <c r="B210" t="s">
        <v>365</v>
      </c>
      <c r="C210" s="70">
        <v>1800</v>
      </c>
      <c r="D210" s="70">
        <v>3928.32</v>
      </c>
      <c r="E210" s="70">
        <v>1049.6600000000001</v>
      </c>
      <c r="F210" s="109">
        <f t="shared" si="104"/>
        <v>2849.66</v>
      </c>
    </row>
    <row r="211" spans="2:20">
      <c r="B211" t="s">
        <v>363</v>
      </c>
      <c r="C211" s="70">
        <v>1800</v>
      </c>
      <c r="D211" s="70">
        <v>4419.3599999999997</v>
      </c>
      <c r="E211" s="70">
        <v>1541.44</v>
      </c>
      <c r="F211" s="109">
        <f t="shared" si="104"/>
        <v>3341.44</v>
      </c>
    </row>
    <row r="212" spans="2:20">
      <c r="B212" t="s">
        <v>370</v>
      </c>
      <c r="C212" s="70">
        <v>1800</v>
      </c>
      <c r="D212" s="70">
        <v>3928.32</v>
      </c>
      <c r="E212" s="70">
        <v>1541.44</v>
      </c>
      <c r="F212" s="109">
        <f t="shared" si="104"/>
        <v>3341.44</v>
      </c>
    </row>
    <row r="213" spans="2:20">
      <c r="B213" t="s">
        <v>372</v>
      </c>
      <c r="C213" s="70">
        <v>1800</v>
      </c>
      <c r="D213" s="70">
        <v>3928.32</v>
      </c>
      <c r="E213" s="70">
        <v>1049.6600000000001</v>
      </c>
      <c r="F213" s="109">
        <f t="shared" si="104"/>
        <v>2849.66</v>
      </c>
    </row>
    <row r="214" spans="2:20">
      <c r="B214" t="s">
        <v>374</v>
      </c>
      <c r="C214" s="70">
        <v>1800</v>
      </c>
      <c r="D214" s="70">
        <v>2964.24</v>
      </c>
      <c r="E214" s="70">
        <v>1049.6600000000001</v>
      </c>
      <c r="F214" s="109">
        <f t="shared" si="104"/>
        <v>2849.66</v>
      </c>
    </row>
    <row r="215" spans="2:20">
      <c r="B215" t="s">
        <v>678</v>
      </c>
      <c r="C215" s="70">
        <v>900</v>
      </c>
      <c r="D215" s="70">
        <v>491.04</v>
      </c>
      <c r="E215" s="70">
        <v>557.88</v>
      </c>
      <c r="F215" s="109">
        <f t="shared" si="104"/>
        <v>1457.88</v>
      </c>
    </row>
    <row r="220" spans="2:20">
      <c r="Q220"/>
      <c r="R220"/>
      <c r="S220"/>
      <c r="T220"/>
    </row>
    <row r="221" spans="2:20">
      <c r="Q221"/>
      <c r="R221"/>
      <c r="S221"/>
      <c r="T221"/>
    </row>
    <row r="222" spans="2:20">
      <c r="Q222"/>
      <c r="R222"/>
      <c r="S222"/>
      <c r="T222"/>
    </row>
    <row r="223" spans="2:20">
      <c r="Q223"/>
      <c r="R223"/>
      <c r="S223"/>
      <c r="T223"/>
    </row>
    <row r="224" spans="2:20">
      <c r="Q224"/>
      <c r="R224"/>
      <c r="S224"/>
      <c r="T224"/>
    </row>
    <row r="225" spans="1:20">
      <c r="Q225"/>
      <c r="R225"/>
      <c r="S225"/>
      <c r="T225"/>
    </row>
    <row r="226" spans="1:20">
      <c r="Q226"/>
      <c r="R226"/>
      <c r="S226"/>
      <c r="T226"/>
    </row>
    <row r="227" spans="1:20">
      <c r="Q227"/>
      <c r="R227"/>
      <c r="S227"/>
      <c r="T227"/>
    </row>
    <row r="228" spans="1:20">
      <c r="Q228"/>
      <c r="R228"/>
      <c r="S228"/>
      <c r="T228"/>
    </row>
    <row r="229" spans="1:20">
      <c r="A229" s="11"/>
      <c r="Q229"/>
      <c r="R229"/>
      <c r="S229"/>
      <c r="T229"/>
    </row>
    <row r="230" spans="1:20">
      <c r="Q230"/>
      <c r="R230"/>
      <c r="S230"/>
      <c r="T230"/>
    </row>
    <row r="231" spans="1:20">
      <c r="Q231"/>
      <c r="R231"/>
      <c r="S231"/>
      <c r="T231"/>
    </row>
    <row r="232" spans="1:20">
      <c r="Q232"/>
      <c r="R232"/>
      <c r="S232"/>
      <c r="T232"/>
    </row>
    <row r="233" spans="1:20">
      <c r="Q233"/>
      <c r="R233"/>
      <c r="S233"/>
      <c r="T233"/>
    </row>
    <row r="234" spans="1:20">
      <c r="Q234"/>
      <c r="R234"/>
      <c r="S234"/>
      <c r="T234"/>
    </row>
    <row r="235" spans="1:20">
      <c r="Q235"/>
      <c r="R235"/>
      <c r="S235"/>
      <c r="T235"/>
    </row>
    <row r="236" spans="1:20">
      <c r="Q236"/>
      <c r="R236"/>
      <c r="S236"/>
      <c r="T236"/>
    </row>
    <row r="237" spans="1:20">
      <c r="Q237"/>
      <c r="R237"/>
      <c r="S237"/>
      <c r="T237"/>
    </row>
    <row r="238" spans="1:20">
      <c r="Q238"/>
      <c r="R238"/>
      <c r="S238"/>
      <c r="T238"/>
    </row>
    <row r="239" spans="1:20">
      <c r="Q239"/>
      <c r="R239"/>
      <c r="S239"/>
      <c r="T239"/>
    </row>
    <row r="240" spans="1:20">
      <c r="Q240"/>
      <c r="R240"/>
      <c r="S240"/>
      <c r="T240"/>
    </row>
    <row r="241" customFormat="1"/>
    <row r="242" customFormat="1"/>
    <row r="243" customFormat="1"/>
    <row r="244" customFormat="1"/>
    <row r="245" customFormat="1"/>
    <row r="246" customFormat="1"/>
    <row r="247" customFormat="1"/>
    <row r="248" customFormat="1"/>
    <row r="249" customFormat="1"/>
  </sheetData>
  <autoFilter ref="X1:X231" xr:uid="{00000000-0009-0000-0000-000004000000}"/>
  <mergeCells count="111">
    <mergeCell ref="B185:C185"/>
    <mergeCell ref="B184:C184"/>
    <mergeCell ref="R184:S184"/>
    <mergeCell ref="R185:S185"/>
    <mergeCell ref="AA8:AA12"/>
    <mergeCell ref="AA13:AA20"/>
    <mergeCell ref="AA21:AA25"/>
    <mergeCell ref="AA26:AA30"/>
    <mergeCell ref="AA32:AA35"/>
    <mergeCell ref="AA36:AA40"/>
    <mergeCell ref="D185:E185"/>
    <mergeCell ref="F185:G185"/>
    <mergeCell ref="H185:I185"/>
    <mergeCell ref="J185:K185"/>
    <mergeCell ref="L185:M185"/>
    <mergeCell ref="N185:O185"/>
    <mergeCell ref="P185:Q185"/>
    <mergeCell ref="D184:E184"/>
    <mergeCell ref="F184:G184"/>
    <mergeCell ref="H184:I184"/>
    <mergeCell ref="J184:K184"/>
    <mergeCell ref="L184:M184"/>
    <mergeCell ref="N184:O184"/>
    <mergeCell ref="J144:K144"/>
    <mergeCell ref="AA107:AA108"/>
    <mergeCell ref="AA120:AA122"/>
    <mergeCell ref="AA109:AA110"/>
    <mergeCell ref="P144:Q144"/>
    <mergeCell ref="N144:O144"/>
    <mergeCell ref="N143:O143"/>
    <mergeCell ref="AA111:AA112"/>
    <mergeCell ref="AA113:AA115"/>
    <mergeCell ref="AA116:AA117"/>
    <mergeCell ref="AA118:AA119"/>
    <mergeCell ref="AA89:AA92"/>
    <mergeCell ref="AA93:AA97"/>
    <mergeCell ref="AA98:AA99"/>
    <mergeCell ref="AA100:AA102"/>
    <mergeCell ref="AA103:AA104"/>
    <mergeCell ref="AA105:AA106"/>
    <mergeCell ref="AA43:AA48"/>
    <mergeCell ref="AA51:AA59"/>
    <mergeCell ref="AA60:AA65"/>
    <mergeCell ref="AA68:AA73"/>
    <mergeCell ref="AA76:AA81"/>
    <mergeCell ref="AA84:AA88"/>
    <mergeCell ref="N179:O179"/>
    <mergeCell ref="L179:M179"/>
    <mergeCell ref="J179:K179"/>
    <mergeCell ref="H179:I179"/>
    <mergeCell ref="F179:G179"/>
    <mergeCell ref="D179:E179"/>
    <mergeCell ref="P184:Q184"/>
    <mergeCell ref="P178:Q178"/>
    <mergeCell ref="P179:Q179"/>
    <mergeCell ref="N178:O178"/>
    <mergeCell ref="L178:M178"/>
    <mergeCell ref="J178:K178"/>
    <mergeCell ref="H178:I178"/>
    <mergeCell ref="B178:C178"/>
    <mergeCell ref="B179:C179"/>
    <mergeCell ref="B147:C147"/>
    <mergeCell ref="D147:E147"/>
    <mergeCell ref="A133:B133"/>
    <mergeCell ref="A134:B134"/>
    <mergeCell ref="A135:B135"/>
    <mergeCell ref="F147:G147"/>
    <mergeCell ref="H147:I147"/>
    <mergeCell ref="B146:C146"/>
    <mergeCell ref="D146:E146"/>
    <mergeCell ref="F146:G146"/>
    <mergeCell ref="H146:I146"/>
    <mergeCell ref="F178:G178"/>
    <mergeCell ref="D178:E178"/>
    <mergeCell ref="W6:X6"/>
    <mergeCell ref="Y6:Z6"/>
    <mergeCell ref="B143:C143"/>
    <mergeCell ref="B144:C144"/>
    <mergeCell ref="B145:C145"/>
    <mergeCell ref="D143:E143"/>
    <mergeCell ref="D144:E144"/>
    <mergeCell ref="D145:E145"/>
    <mergeCell ref="D1:E1"/>
    <mergeCell ref="A130:B130"/>
    <mergeCell ref="A131:B131"/>
    <mergeCell ref="A132:B132"/>
    <mergeCell ref="A128:B128"/>
    <mergeCell ref="G3:H3"/>
    <mergeCell ref="G2:H2"/>
    <mergeCell ref="F143:G143"/>
    <mergeCell ref="F144:G144"/>
    <mergeCell ref="F145:G145"/>
    <mergeCell ref="H143:I143"/>
    <mergeCell ref="H144:I144"/>
    <mergeCell ref="H145:I145"/>
    <mergeCell ref="J143:K143"/>
    <mergeCell ref="L143:M143"/>
    <mergeCell ref="P143:Q143"/>
    <mergeCell ref="L144:M144"/>
    <mergeCell ref="J146:K146"/>
    <mergeCell ref="J147:K147"/>
    <mergeCell ref="L147:M147"/>
    <mergeCell ref="N147:O147"/>
    <mergeCell ref="P147:Q147"/>
    <mergeCell ref="J145:K145"/>
    <mergeCell ref="L145:M145"/>
    <mergeCell ref="L146:M146"/>
    <mergeCell ref="N146:O146"/>
    <mergeCell ref="P146:Q146"/>
    <mergeCell ref="N145:O145"/>
    <mergeCell ref="P145:Q145"/>
  </mergeCells>
  <conditionalFormatting sqref="E8:P20 E21:E25 N21:P25 E26:P122">
    <cfRule type="cellIs" dxfId="88" priority="10" stopIfTrue="1" operator="greaterThan">
      <formula>$E$3</formula>
    </cfRule>
    <cfRule type="cellIs" dxfId="87" priority="11" stopIfTrue="1" operator="between">
      <formula>$D$3-1</formula>
      <formula>$E$3</formula>
    </cfRule>
    <cfRule type="cellIs" dxfId="86" priority="13" stopIfTrue="1" operator="between">
      <formula>$D$2-1</formula>
      <formula>$E$2</formula>
    </cfRule>
    <cfRule type="cellIs" dxfId="85" priority="14" stopIfTrue="1" operator="lessThanOrEqual">
      <formula>$D$2</formula>
    </cfRule>
  </conditionalFormatting>
  <conditionalFormatting sqref="E8:P20 N21:P25 E26:P122 E21:E25">
    <cfRule type="containsBlanks" dxfId="84" priority="8" stopIfTrue="1">
      <formula>LEN(TRIM(E8))=0</formula>
    </cfRule>
  </conditionalFormatting>
  <conditionalFormatting sqref="P8:P122">
    <cfRule type="beginsWith" dxfId="83" priority="1" operator="beginsWith" text="Planned">
      <formula>LEFT(P8,LEN("Planned"))="Planned"</formula>
    </cfRule>
    <cfRule type="beginsWith" dxfId="82" priority="2" operator="beginsWith" text="6v165/6">
      <formula>LEFT(P8,LEN("6v165/6"))="6v165/6"</formula>
    </cfRule>
  </conditionalFormatting>
  <dataValidations count="1">
    <dataValidation type="list" allowBlank="1" showInputMessage="1" showErrorMessage="1" sqref="P8:P122" xr:uid="{08D14258-5F93-C742-942C-4079C0CCBA65}">
      <formula1>"SBS XL 170F-FT,6V165/6,Planned HT this FY"</formula1>
    </dataValidation>
  </dataValidations>
  <pageMargins left="0.7" right="0.7" top="0.75" bottom="0.75" header="0.3" footer="0.3"/>
  <pageSetup paperSize="9" orientation="portrait" r:id="rId1"/>
  <headerFooter>
    <oddFooter>&amp;L&amp;1#&amp;"Calibri"&amp;7&amp;K000000C2 General</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250"/>
  <sheetViews>
    <sheetView zoomScale="60" zoomScaleNormal="60" workbookViewId="0">
      <selection activeCell="D14" sqref="D14"/>
    </sheetView>
  </sheetViews>
  <sheetFormatPr defaultColWidth="8.6640625" defaultRowHeight="10.15"/>
  <cols>
    <col min="1" max="1" width="44.5" customWidth="1"/>
    <col min="2" max="2" width="26.5" bestFit="1" customWidth="1"/>
    <col min="3" max="3" width="37.5" bestFit="1" customWidth="1"/>
    <col min="4" max="4" width="25.6640625" bestFit="1" customWidth="1"/>
    <col min="5" max="5" width="37.5" bestFit="1" customWidth="1"/>
    <col min="6" max="6" width="56.1640625" bestFit="1" customWidth="1"/>
    <col min="7" max="7" width="43.6640625" bestFit="1" customWidth="1"/>
    <col min="8" max="8" width="35.5" bestFit="1" customWidth="1"/>
    <col min="9" max="9" width="46.5" bestFit="1" customWidth="1"/>
    <col min="10" max="10" width="31" bestFit="1" customWidth="1"/>
    <col min="11" max="11" width="33" bestFit="1" customWidth="1"/>
    <col min="12" max="12" width="35.6640625" bestFit="1" customWidth="1"/>
    <col min="19" max="19" width="8.6640625" bestFit="1" customWidth="1"/>
    <col min="20" max="20" width="3.6640625" bestFit="1" customWidth="1"/>
    <col min="22" max="22" width="3.6640625" bestFit="1" customWidth="1"/>
  </cols>
  <sheetData>
    <row r="1" spans="1:22" ht="13.15">
      <c r="A1" s="596" t="s">
        <v>679</v>
      </c>
      <c r="B1" s="597" t="s">
        <v>680</v>
      </c>
      <c r="C1" s="597" t="s">
        <v>380</v>
      </c>
      <c r="D1" s="597" t="s">
        <v>379</v>
      </c>
      <c r="E1" s="597" t="s">
        <v>681</v>
      </c>
      <c r="F1" s="597" t="s">
        <v>572</v>
      </c>
      <c r="G1" s="597" t="s">
        <v>682</v>
      </c>
      <c r="H1" s="598" t="s">
        <v>426</v>
      </c>
      <c r="I1" s="598" t="s">
        <v>683</v>
      </c>
      <c r="J1" s="597" t="s">
        <v>684</v>
      </c>
      <c r="K1" s="597" t="s">
        <v>685</v>
      </c>
      <c r="L1" s="599" t="s">
        <v>686</v>
      </c>
    </row>
    <row r="2" spans="1:22" ht="13.15">
      <c r="A2" s="600" t="s">
        <v>271</v>
      </c>
      <c r="B2" s="592">
        <f>'Plant loading'!G4</f>
        <v>172.3835</v>
      </c>
      <c r="C2" s="592">
        <f>'Plant loading'!R4</f>
        <v>1.526</v>
      </c>
      <c r="D2" s="592">
        <f>SUM('Plant loading'!AC4:AC8)*54.5/1000</f>
        <v>13.897500000000001</v>
      </c>
      <c r="E2" s="592">
        <f>SUM(C2+D2)</f>
        <v>15.423500000000001</v>
      </c>
      <c r="F2" s="593">
        <f>SUM('Plant loading'!J4:J8)</f>
        <v>630</v>
      </c>
      <c r="G2" s="593">
        <f>SUM(F2/2)</f>
        <v>315</v>
      </c>
      <c r="H2" s="593">
        <f>'Building Capability'!E3</f>
        <v>630</v>
      </c>
      <c r="I2" s="593">
        <f>SUM(H2/2)</f>
        <v>315</v>
      </c>
      <c r="J2" s="594"/>
      <c r="K2" s="594"/>
      <c r="L2" s="601"/>
      <c r="S2" s="7">
        <f>B2+C2</f>
        <v>173.90950000000001</v>
      </c>
      <c r="T2" s="354">
        <f>SUM(S2/G2)*100</f>
        <v>55.209365079365078</v>
      </c>
      <c r="V2" s="354">
        <f>SUM(100-T2)</f>
        <v>44.790634920634922</v>
      </c>
    </row>
    <row r="3" spans="1:22" ht="13.15">
      <c r="A3" s="600" t="s">
        <v>687</v>
      </c>
      <c r="B3" s="592">
        <f>'Plant loading'!G9</f>
        <v>370.6</v>
      </c>
      <c r="C3" s="592">
        <f>'Plant loading'!R9</f>
        <v>57.606499999999997</v>
      </c>
      <c r="D3" s="592">
        <f>SUM('Plant loading'!AC9:AC16)*54.5/1000</f>
        <v>39.021999999999998</v>
      </c>
      <c r="E3" s="592">
        <f t="shared" ref="E3:E15" si="0">SUM(C3+D3)</f>
        <v>96.628500000000003</v>
      </c>
      <c r="F3" s="593">
        <f>SUM('Plant loading'!J9:J16)</f>
        <v>1008</v>
      </c>
      <c r="G3" s="593">
        <f t="shared" ref="G3:G15" si="1">SUM(F3/2)</f>
        <v>504</v>
      </c>
      <c r="H3" s="593">
        <f>'Building Capability'!E4</f>
        <v>1008</v>
      </c>
      <c r="I3" s="593">
        <f t="shared" ref="I3:I15" si="2">SUM(H3/2)</f>
        <v>504</v>
      </c>
      <c r="J3" s="594"/>
      <c r="K3" s="594"/>
      <c r="L3" s="601"/>
      <c r="S3" s="7">
        <f t="shared" ref="S3:S15" si="3">B3+C3</f>
        <v>428.20650000000001</v>
      </c>
      <c r="T3" s="354">
        <f t="shared" ref="T3:T15" si="4">SUM(S3/G3)*100</f>
        <v>84.961607142857147</v>
      </c>
      <c r="V3" s="354">
        <f t="shared" ref="V3:V15" si="5">SUM(100-T3)</f>
        <v>15.038392857142853</v>
      </c>
    </row>
    <row r="4" spans="1:22" ht="13.15">
      <c r="A4" s="600" t="s">
        <v>284</v>
      </c>
      <c r="B4" s="592">
        <f>'Plant loading'!G17</f>
        <v>127.203</v>
      </c>
      <c r="C4" s="592">
        <f>'Plant loading'!R17</f>
        <v>8.0660000000000007</v>
      </c>
      <c r="D4" s="592">
        <f>SUM('Plant loading'!AC17:AC21)*54.5/1000</f>
        <v>0</v>
      </c>
      <c r="E4" s="592">
        <f t="shared" si="0"/>
        <v>8.0660000000000007</v>
      </c>
      <c r="F4" s="592">
        <f>SUM('Plant loading'!J17:J21)</f>
        <v>630</v>
      </c>
      <c r="G4" s="593">
        <f t="shared" si="1"/>
        <v>315</v>
      </c>
      <c r="H4" s="593">
        <f>'Building Capability'!E5</f>
        <v>630</v>
      </c>
      <c r="I4" s="593">
        <f t="shared" si="2"/>
        <v>315</v>
      </c>
      <c r="J4" s="594"/>
      <c r="K4" s="594"/>
      <c r="L4" s="601"/>
      <c r="S4" s="7">
        <f t="shared" si="3"/>
        <v>135.26900000000001</v>
      </c>
      <c r="T4" s="354">
        <f t="shared" si="4"/>
        <v>42.942539682539682</v>
      </c>
      <c r="V4" s="354">
        <f t="shared" si="5"/>
        <v>57.057460317460318</v>
      </c>
    </row>
    <row r="5" spans="1:22" ht="13.15">
      <c r="A5" s="600" t="s">
        <v>288</v>
      </c>
      <c r="B5" s="592">
        <f>'Plant loading'!G22</f>
        <v>290.1035</v>
      </c>
      <c r="C5" s="592">
        <f>'Plant loading'!R22</f>
        <v>6.3765000000000001</v>
      </c>
      <c r="D5" s="592">
        <f>SUM('Plant loading'!AC22:AC26)*54.5/1000</f>
        <v>50.085500000000003</v>
      </c>
      <c r="E5" s="592">
        <f t="shared" si="0"/>
        <v>56.462000000000003</v>
      </c>
      <c r="F5" s="593">
        <f>SUM('Plant loading'!J22:J27)</f>
        <v>756</v>
      </c>
      <c r="G5" s="593">
        <f>SUM(F5/2)</f>
        <v>378</v>
      </c>
      <c r="H5" s="593">
        <f>'Building Capability'!E6</f>
        <v>756</v>
      </c>
      <c r="I5" s="593">
        <f t="shared" si="2"/>
        <v>378</v>
      </c>
      <c r="J5" s="594"/>
      <c r="K5" s="594"/>
      <c r="L5" s="601"/>
      <c r="S5" s="7">
        <f t="shared" si="3"/>
        <v>296.48</v>
      </c>
      <c r="T5" s="354">
        <f t="shared" si="4"/>
        <v>78.43386243386243</v>
      </c>
      <c r="V5" s="354">
        <f t="shared" si="5"/>
        <v>21.56613756613757</v>
      </c>
    </row>
    <row r="6" spans="1:22" ht="13.15">
      <c r="A6" s="600" t="s">
        <v>293</v>
      </c>
      <c r="B6" s="592">
        <f>'Plant loading'!G28</f>
        <v>82.567499999999995</v>
      </c>
      <c r="C6" s="592">
        <f>'Plant loading'!R28</f>
        <v>0</v>
      </c>
      <c r="D6" s="592">
        <f>SUM('Plant loading'!AC28:AC31)*54.5/1000</f>
        <v>0</v>
      </c>
      <c r="E6" s="592">
        <f t="shared" si="0"/>
        <v>0</v>
      </c>
      <c r="F6" s="593">
        <f>SUM('Plant loading'!J28:J31)</f>
        <v>504</v>
      </c>
      <c r="G6" s="593">
        <f t="shared" si="1"/>
        <v>252</v>
      </c>
      <c r="H6" s="593">
        <f>'Building Capability'!E7</f>
        <v>600</v>
      </c>
      <c r="I6" s="593">
        <f t="shared" si="2"/>
        <v>300</v>
      </c>
      <c r="J6" s="594"/>
      <c r="K6" s="594"/>
      <c r="L6" s="601"/>
      <c r="S6" s="7">
        <f t="shared" si="3"/>
        <v>82.567499999999995</v>
      </c>
      <c r="T6" s="354">
        <f t="shared" si="4"/>
        <v>32.764880952380949</v>
      </c>
      <c r="V6" s="354">
        <f t="shared" si="5"/>
        <v>67.235119047619051</v>
      </c>
    </row>
    <row r="7" spans="1:22" ht="13.15">
      <c r="A7" s="600" t="s">
        <v>305</v>
      </c>
      <c r="B7" s="592">
        <f>'Plant loading'!G32</f>
        <v>260.51</v>
      </c>
      <c r="C7" s="592">
        <f>'Plant loading'!R32</f>
        <v>6.0604000000000005</v>
      </c>
      <c r="D7" s="592">
        <f>SUM('Plant loading'!AC32:AC38)*54.5/1000</f>
        <v>120.336</v>
      </c>
      <c r="E7" s="592">
        <f t="shared" si="0"/>
        <v>126.3964</v>
      </c>
      <c r="F7" s="592">
        <f>SUM('Plant loading'!J32:J38)</f>
        <v>936</v>
      </c>
      <c r="G7" s="593">
        <f t="shared" si="1"/>
        <v>468</v>
      </c>
      <c r="H7" s="593">
        <f>'Building Capability'!E8</f>
        <v>930</v>
      </c>
      <c r="I7" s="593">
        <f t="shared" si="2"/>
        <v>465</v>
      </c>
      <c r="J7" s="594"/>
      <c r="K7" s="594"/>
      <c r="L7" s="601"/>
      <c r="S7" s="7">
        <f t="shared" si="3"/>
        <v>266.57040000000001</v>
      </c>
      <c r="T7" s="354">
        <f t="shared" si="4"/>
        <v>56.959487179487176</v>
      </c>
      <c r="V7" s="354">
        <f t="shared" si="5"/>
        <v>43.040512820512824</v>
      </c>
    </row>
    <row r="8" spans="1:22" ht="13.15">
      <c r="A8" s="602" t="s">
        <v>688</v>
      </c>
      <c r="B8" s="592">
        <f>'Plant loading'!G39</f>
        <v>285.798</v>
      </c>
      <c r="C8" s="592">
        <f>'Plant loading'!R39</f>
        <v>20.388449999999999</v>
      </c>
      <c r="D8" s="592">
        <f>SUM('Plant loading'!AC39:AC46)*54.5/1000</f>
        <v>67.307500000000005</v>
      </c>
      <c r="E8" s="592">
        <f t="shared" si="0"/>
        <v>87.695950000000011</v>
      </c>
      <c r="F8" s="593">
        <f>SUM('Plant loading'!J39:J46)</f>
        <v>966</v>
      </c>
      <c r="G8" s="593">
        <f t="shared" si="1"/>
        <v>483</v>
      </c>
      <c r="H8" s="593">
        <f>'Building Capability'!E9</f>
        <v>960</v>
      </c>
      <c r="I8" s="593">
        <f t="shared" si="2"/>
        <v>480</v>
      </c>
      <c r="J8" s="593"/>
      <c r="K8" s="593"/>
      <c r="L8" s="603"/>
      <c r="S8" s="7">
        <f t="shared" si="3"/>
        <v>306.18644999999998</v>
      </c>
      <c r="T8" s="354">
        <f t="shared" si="4"/>
        <v>63.392639751552792</v>
      </c>
      <c r="V8" s="354">
        <f t="shared" si="5"/>
        <v>36.607360248447208</v>
      </c>
    </row>
    <row r="9" spans="1:22" ht="13.15">
      <c r="A9" s="600" t="s">
        <v>314</v>
      </c>
      <c r="B9" s="592">
        <f>'Plant loading'!G47</f>
        <v>126.985</v>
      </c>
      <c r="C9" s="592">
        <f>'Plant loading'!R47</f>
        <v>0</v>
      </c>
      <c r="D9" s="592">
        <f>SUM('Plant loading'!AC47:AC55)*54.5/1000</f>
        <v>0</v>
      </c>
      <c r="E9" s="592">
        <f t="shared" si="0"/>
        <v>0</v>
      </c>
      <c r="F9" s="593">
        <f>SUM('Plant loading'!J47:J55)</f>
        <v>798</v>
      </c>
      <c r="G9" s="593">
        <f t="shared" si="1"/>
        <v>399</v>
      </c>
      <c r="H9" s="593">
        <f>'Building Capability'!E10</f>
        <v>966</v>
      </c>
      <c r="I9" s="593">
        <f t="shared" si="2"/>
        <v>483</v>
      </c>
      <c r="J9" s="593"/>
      <c r="K9" s="593"/>
      <c r="L9" s="603"/>
      <c r="S9" s="7">
        <f t="shared" si="3"/>
        <v>126.985</v>
      </c>
      <c r="T9" s="354">
        <f t="shared" si="4"/>
        <v>31.82581453634085</v>
      </c>
      <c r="V9" s="354">
        <f t="shared" si="5"/>
        <v>68.174185463659143</v>
      </c>
    </row>
    <row r="10" spans="1:22" ht="13.15">
      <c r="A10" s="600" t="s">
        <v>689</v>
      </c>
      <c r="B10" s="592">
        <f>'Plant loading'!G56</f>
        <v>335.55650000000003</v>
      </c>
      <c r="C10" s="592">
        <f>'Plant loading'!R56</f>
        <v>7.085</v>
      </c>
      <c r="D10" s="592">
        <f>SUM('Plant loading'!AC56:AC63)*54.5/1000</f>
        <v>55.917000000000002</v>
      </c>
      <c r="E10" s="592">
        <f t="shared" si="0"/>
        <v>63.002000000000002</v>
      </c>
      <c r="F10" s="593">
        <f>SUM('Plant loading'!J56:J63)</f>
        <v>1002</v>
      </c>
      <c r="G10" s="593">
        <f t="shared" si="1"/>
        <v>501</v>
      </c>
      <c r="H10" s="593">
        <f>'Building Capability'!E11</f>
        <v>956</v>
      </c>
      <c r="I10" s="593">
        <f t="shared" si="2"/>
        <v>478</v>
      </c>
      <c r="J10" s="595"/>
      <c r="K10" s="595"/>
      <c r="L10" s="603"/>
      <c r="S10" s="7">
        <f t="shared" si="3"/>
        <v>342.64150000000001</v>
      </c>
      <c r="T10" s="354">
        <f t="shared" si="4"/>
        <v>68.391516966067869</v>
      </c>
      <c r="V10" s="354">
        <f t="shared" si="5"/>
        <v>31.608483033932131</v>
      </c>
    </row>
    <row r="11" spans="1:22" ht="13.15">
      <c r="A11" s="600" t="s">
        <v>690</v>
      </c>
      <c r="B11" s="592">
        <f>'Plant loading'!G64</f>
        <v>368.14749999999998</v>
      </c>
      <c r="C11" s="592">
        <f>'Plant loading'!R64</f>
        <v>46.106999999999999</v>
      </c>
      <c r="D11" s="592">
        <f>SUM('Plant loading'!AC64:AC71)*54.5/1000</f>
        <v>28.721499999999999</v>
      </c>
      <c r="E11" s="592">
        <f t="shared" si="0"/>
        <v>74.828499999999991</v>
      </c>
      <c r="F11" s="593">
        <f>SUM('Plant loading'!J64:J71)</f>
        <v>978</v>
      </c>
      <c r="G11" s="593">
        <f>SUM(F11/2)-6</f>
        <v>483</v>
      </c>
      <c r="H11" s="593">
        <f>'Building Capability'!E12</f>
        <v>960</v>
      </c>
      <c r="I11" s="593">
        <f t="shared" si="2"/>
        <v>480</v>
      </c>
      <c r="J11" s="595">
        <f>SUM('Inverter Loading'!M28:M29)</f>
        <v>15</v>
      </c>
      <c r="K11" s="595">
        <f>SUM('Inverter Loading'!S28:S29)</f>
        <v>0</v>
      </c>
      <c r="L11" s="603">
        <f>SUM('Inverter Loading'!G28:G29)</f>
        <v>60</v>
      </c>
      <c r="S11" s="7">
        <f t="shared" si="3"/>
        <v>414.25450000000001</v>
      </c>
      <c r="T11" s="354">
        <f t="shared" si="4"/>
        <v>85.766977225672875</v>
      </c>
      <c r="V11" s="354">
        <f t="shared" si="5"/>
        <v>14.233022774327125</v>
      </c>
    </row>
    <row r="12" spans="1:22" ht="13.15">
      <c r="A12" s="600" t="s">
        <v>330</v>
      </c>
      <c r="B12" s="592">
        <f>'Plant loading'!G72</f>
        <v>294.57249999999999</v>
      </c>
      <c r="C12" s="592">
        <f>'Plant loading'!R72</f>
        <v>16.241</v>
      </c>
      <c r="D12" s="592">
        <f>SUM('Plant loading'!AC72:AC79)*54.5/1000</f>
        <v>105.5665</v>
      </c>
      <c r="E12" s="592">
        <f t="shared" si="0"/>
        <v>121.8075</v>
      </c>
      <c r="F12" s="593">
        <f>SUM('Plant loading'!J72:J79)</f>
        <v>978</v>
      </c>
      <c r="G12" s="593">
        <f t="shared" si="1"/>
        <v>489</v>
      </c>
      <c r="H12" s="593">
        <f>'Building Capability'!E13</f>
        <v>946</v>
      </c>
      <c r="I12" s="593">
        <f t="shared" si="2"/>
        <v>473</v>
      </c>
      <c r="J12" s="594"/>
      <c r="K12" s="594"/>
      <c r="L12" s="601"/>
      <c r="S12" s="7">
        <f t="shared" si="3"/>
        <v>310.81349999999998</v>
      </c>
      <c r="T12" s="354">
        <f t="shared" si="4"/>
        <v>63.561042944785271</v>
      </c>
      <c r="V12" s="354">
        <f t="shared" si="5"/>
        <v>36.438957055214729</v>
      </c>
    </row>
    <row r="13" spans="1:22" ht="13.15">
      <c r="A13" s="600" t="s">
        <v>335</v>
      </c>
      <c r="B13" s="592">
        <f>'Plant loading'!G80</f>
        <v>99.462500000000006</v>
      </c>
      <c r="C13" s="592">
        <f>'Plant loading'!R80</f>
        <v>14.715</v>
      </c>
      <c r="D13" s="592">
        <f>SUM('Plant loading'!AC80:AC84)*54.5/1000</f>
        <v>0</v>
      </c>
      <c r="E13" s="592">
        <f t="shared" si="0"/>
        <v>14.715</v>
      </c>
      <c r="F13" s="593">
        <f>SUM('Plant loading'!J80:J84)</f>
        <v>630</v>
      </c>
      <c r="G13" s="593">
        <f t="shared" si="1"/>
        <v>315</v>
      </c>
      <c r="H13" s="593">
        <f>'Building Capability'!E14</f>
        <v>630</v>
      </c>
      <c r="I13" s="593">
        <f t="shared" si="2"/>
        <v>315</v>
      </c>
      <c r="J13" s="594"/>
      <c r="K13" s="594"/>
      <c r="L13" s="601"/>
      <c r="S13" s="7">
        <f t="shared" si="3"/>
        <v>114.17750000000001</v>
      </c>
      <c r="T13" s="354">
        <f t="shared" si="4"/>
        <v>36.2468253968254</v>
      </c>
      <c r="V13" s="354">
        <f t="shared" si="5"/>
        <v>63.7531746031746</v>
      </c>
    </row>
    <row r="14" spans="1:22" ht="13.15">
      <c r="A14" s="600" t="s">
        <v>338</v>
      </c>
      <c r="B14" s="592">
        <f>'Plant loading'!G85</f>
        <v>92.704499999999996</v>
      </c>
      <c r="C14" s="592">
        <f>'Plant loading'!R85</f>
        <v>18.748000000000001</v>
      </c>
      <c r="D14" s="592">
        <f>SUM('Plant loading'!AC85:AC88)*54.5/1000</f>
        <v>0</v>
      </c>
      <c r="E14" s="592">
        <f t="shared" si="0"/>
        <v>18.748000000000001</v>
      </c>
      <c r="F14" s="593">
        <f>SUM('Plant loading'!J85:J88)</f>
        <v>504</v>
      </c>
      <c r="G14" s="593">
        <f t="shared" si="1"/>
        <v>252</v>
      </c>
      <c r="H14" s="593">
        <f>'Building Capability'!E15</f>
        <v>600</v>
      </c>
      <c r="I14" s="593">
        <f t="shared" si="2"/>
        <v>300</v>
      </c>
      <c r="J14" s="594"/>
      <c r="K14" s="594"/>
      <c r="L14" s="601"/>
      <c r="S14" s="7">
        <f t="shared" si="3"/>
        <v>111.4525</v>
      </c>
      <c r="T14" s="354">
        <f t="shared" si="4"/>
        <v>44.227182539682545</v>
      </c>
      <c r="V14" s="354">
        <f t="shared" si="5"/>
        <v>55.772817460317455</v>
      </c>
    </row>
    <row r="15" spans="1:22" ht="13.15">
      <c r="A15" s="600" t="s">
        <v>341</v>
      </c>
      <c r="B15" s="592">
        <f>'Plant loading'!G89</f>
        <v>109.872</v>
      </c>
      <c r="C15" s="592">
        <f>'Plant loading'!R89</f>
        <v>0</v>
      </c>
      <c r="D15" s="592">
        <f>SUM('Plant loading'!AC89:AC93)*54.5/1000</f>
        <v>0</v>
      </c>
      <c r="E15" s="592">
        <f t="shared" si="0"/>
        <v>0</v>
      </c>
      <c r="F15" s="593">
        <f>SUM('Plant loading'!J89:J93)</f>
        <v>609</v>
      </c>
      <c r="G15" s="593">
        <f t="shared" si="1"/>
        <v>304.5</v>
      </c>
      <c r="H15" s="593">
        <f>'Building Capability'!E16</f>
        <v>609</v>
      </c>
      <c r="I15" s="593">
        <f t="shared" si="2"/>
        <v>304.5</v>
      </c>
      <c r="J15" s="594"/>
      <c r="K15" s="594"/>
      <c r="L15" s="601"/>
      <c r="S15" s="7">
        <f t="shared" si="3"/>
        <v>109.872</v>
      </c>
      <c r="T15" s="354">
        <f t="shared" si="4"/>
        <v>36.082758620689653</v>
      </c>
      <c r="V15" s="354">
        <f t="shared" si="5"/>
        <v>63.917241379310347</v>
      </c>
    </row>
    <row r="16" spans="1:22" ht="13.9" thickBot="1">
      <c r="A16" s="604" t="s">
        <v>569</v>
      </c>
      <c r="B16" s="605">
        <f t="shared" ref="B16:I16" si="6">SUM(B2:B15)</f>
        <v>3016.4659999999994</v>
      </c>
      <c r="C16" s="605">
        <f t="shared" si="6"/>
        <v>202.91984999999997</v>
      </c>
      <c r="D16" s="605">
        <f t="shared" si="6"/>
        <v>480.85350000000005</v>
      </c>
      <c r="E16" s="605">
        <f t="shared" si="6"/>
        <v>683.77335000000016</v>
      </c>
      <c r="F16" s="606">
        <f t="shared" si="6"/>
        <v>10929</v>
      </c>
      <c r="G16" s="606">
        <f t="shared" si="6"/>
        <v>5458.5</v>
      </c>
      <c r="H16" s="606">
        <f t="shared" si="6"/>
        <v>11181</v>
      </c>
      <c r="I16" s="606">
        <f t="shared" si="6"/>
        <v>5590.5</v>
      </c>
      <c r="J16" s="607"/>
      <c r="K16" s="607"/>
      <c r="L16" s="608"/>
    </row>
    <row r="17" spans="1:12" ht="10.9" thickBot="1"/>
    <row r="18" spans="1:12" ht="13.15">
      <c r="A18" s="127" t="s">
        <v>691</v>
      </c>
      <c r="B18" s="128"/>
      <c r="C18" s="128"/>
      <c r="D18" s="128"/>
      <c r="E18" s="128"/>
      <c r="F18" s="128"/>
      <c r="G18" s="129"/>
      <c r="I18" s="812"/>
    </row>
    <row r="19" spans="1:12" ht="13.15">
      <c r="A19" s="585" t="s">
        <v>515</v>
      </c>
      <c r="B19" s="586" t="s">
        <v>692</v>
      </c>
      <c r="C19" s="586" t="s">
        <v>693</v>
      </c>
      <c r="D19" s="586" t="s">
        <v>379</v>
      </c>
      <c r="E19" s="586" t="s">
        <v>380</v>
      </c>
      <c r="F19" s="586" t="s">
        <v>694</v>
      </c>
      <c r="G19" s="586" t="s">
        <v>695</v>
      </c>
      <c r="H19" s="3"/>
      <c r="I19" s="3"/>
      <c r="J19" s="809"/>
      <c r="K19" s="2"/>
      <c r="L19" s="2"/>
    </row>
    <row r="20" spans="1:12" ht="13.15">
      <c r="A20" s="586" t="str">
        <f>A3</f>
        <v xml:space="preserve"> XBE</v>
      </c>
      <c r="B20" s="587">
        <f>SUM('Inverter Loading'!O4:O9)</f>
        <v>81.750000000000014</v>
      </c>
      <c r="C20" s="587">
        <f>B3-B20</f>
        <v>288.85000000000002</v>
      </c>
      <c r="D20" s="587">
        <f>D3</f>
        <v>39.021999999999998</v>
      </c>
      <c r="E20" s="587">
        <f>C3</f>
        <v>57.606499999999997</v>
      </c>
      <c r="F20" s="587">
        <f>G3-B20-C20-D20-E20</f>
        <v>36.771499999999989</v>
      </c>
      <c r="G20" s="587">
        <f>I3-B20-C20-D20-E20-F20</f>
        <v>0</v>
      </c>
      <c r="H20" s="6"/>
      <c r="I20" s="6"/>
      <c r="J20" s="6"/>
      <c r="K20" s="6"/>
    </row>
    <row r="21" spans="1:12" ht="13.15">
      <c r="A21" s="586" t="str">
        <f>A11</f>
        <v xml:space="preserve"> XMS</v>
      </c>
      <c r="B21" s="587">
        <f ca="1">SUM('Inverter Loading'!O28:'Inverter Loading'!O33)</f>
        <v>75.210000000000008</v>
      </c>
      <c r="C21" s="587">
        <f ca="1">B11-B21</f>
        <v>292.9375</v>
      </c>
      <c r="D21" s="587">
        <f>D11</f>
        <v>28.721499999999999</v>
      </c>
      <c r="E21" s="587">
        <f>C11</f>
        <v>46.106999999999999</v>
      </c>
      <c r="F21" s="587">
        <f ca="1">G11-B21-C21-D21-E21</f>
        <v>40.023999999999972</v>
      </c>
      <c r="G21" s="587">
        <v>0</v>
      </c>
      <c r="H21" s="6"/>
      <c r="I21" s="6"/>
      <c r="J21" s="6"/>
      <c r="K21" s="6"/>
    </row>
    <row r="22" spans="1:12" ht="13.15">
      <c r="A22" s="586" t="str">
        <f>A10</f>
        <v xml:space="preserve"> XLD</v>
      </c>
      <c r="B22" s="587">
        <f ca="1">SUM('Inverter Loading'!O26:'Inverter Loading'!O27)</f>
        <v>46.870000000000005</v>
      </c>
      <c r="C22" s="587">
        <f ca="1">(B10-B22)</f>
        <v>288.68650000000002</v>
      </c>
      <c r="D22" s="587">
        <f>D10</f>
        <v>55.917000000000002</v>
      </c>
      <c r="E22" s="587">
        <f>C10</f>
        <v>7.085</v>
      </c>
      <c r="F22" s="587">
        <f ca="1">G10-B22-C22-D22-E22</f>
        <v>102.44149999999998</v>
      </c>
      <c r="G22" s="587">
        <v>0</v>
      </c>
      <c r="H22" s="6"/>
      <c r="I22" s="6"/>
      <c r="J22" s="6"/>
      <c r="K22" s="6"/>
    </row>
    <row r="23" spans="1:12" ht="13.15">
      <c r="A23" s="586" t="str">
        <f>A5</f>
        <v>XEH</v>
      </c>
      <c r="B23" s="587">
        <f>SUM('Inverter Loading'!M12:M13)</f>
        <v>33</v>
      </c>
      <c r="C23" s="587">
        <f>B5-B23</f>
        <v>257.1035</v>
      </c>
      <c r="D23" s="587">
        <f>D5</f>
        <v>50.085500000000003</v>
      </c>
      <c r="E23" s="587">
        <f>C5</f>
        <v>6.3765000000000001</v>
      </c>
      <c r="F23" s="587">
        <f>G5-B23-C23-D23-E23</f>
        <v>31.4345</v>
      </c>
      <c r="G23" s="587">
        <v>0</v>
      </c>
      <c r="H23" s="6"/>
      <c r="I23" s="6"/>
      <c r="J23" s="6"/>
      <c r="K23" s="6"/>
    </row>
    <row r="24" spans="1:12" ht="13.15">
      <c r="A24" s="586" t="str">
        <f>A8</f>
        <v xml:space="preserve"> XGL</v>
      </c>
      <c r="B24" s="587">
        <f ca="1">SUM('Inverter Loading'!O16:'Inverter Loading'!O19)+J8</f>
        <v>47.960000000000008</v>
      </c>
      <c r="C24" s="587">
        <f ca="1">(B8-B24)</f>
        <v>237.83799999999999</v>
      </c>
      <c r="D24" s="587">
        <f>D8</f>
        <v>67.307500000000005</v>
      </c>
      <c r="E24" s="587">
        <f>C8</f>
        <v>20.388449999999999</v>
      </c>
      <c r="F24" s="587">
        <f ca="1">G8-B24-C24-D24-E24</f>
        <v>109.50604999999996</v>
      </c>
      <c r="G24" s="587">
        <v>0</v>
      </c>
      <c r="H24" s="6"/>
      <c r="I24" s="6"/>
      <c r="J24" s="6"/>
      <c r="K24" s="6"/>
    </row>
    <row r="25" spans="1:12" ht="13.15">
      <c r="A25" s="586" t="str">
        <f>A7</f>
        <v>XGR</v>
      </c>
      <c r="B25" s="587">
        <f>SUM('Inverter Loading'!O20:O23)</f>
        <v>30.660610000000002</v>
      </c>
      <c r="C25" s="587">
        <f>B7-B25</f>
        <v>229.84939</v>
      </c>
      <c r="D25" s="587">
        <f>D7</f>
        <v>120.336</v>
      </c>
      <c r="E25" s="587">
        <f>C7</f>
        <v>6.0604000000000005</v>
      </c>
      <c r="F25" s="587">
        <f>G7-B25-C25-D25-E25</f>
        <v>81.093599999999981</v>
      </c>
      <c r="G25" s="587">
        <v>0</v>
      </c>
      <c r="H25" s="6"/>
      <c r="I25" s="6"/>
      <c r="J25" s="6"/>
      <c r="K25" s="6"/>
    </row>
    <row r="26" spans="1:12" ht="13.15">
      <c r="A26" s="586" t="str">
        <f>A12</f>
        <v>XOM</v>
      </c>
      <c r="B26" s="587">
        <f ca="1">SUM('Inverter Loading'!O34:'Inverter Loading'!O35)</f>
        <v>55.59</v>
      </c>
      <c r="C26" s="587">
        <f ca="1">B12-B26</f>
        <v>238.98249999999999</v>
      </c>
      <c r="D26" s="587">
        <f>D12</f>
        <v>105.5665</v>
      </c>
      <c r="E26" s="587">
        <f>C12</f>
        <v>16.241</v>
      </c>
      <c r="F26" s="587">
        <f ca="1">G12-B26-C26-D26-E26</f>
        <v>72.619999999999976</v>
      </c>
      <c r="G26" s="587">
        <v>0</v>
      </c>
      <c r="H26" s="6"/>
      <c r="I26" s="6"/>
      <c r="J26" s="6"/>
    </row>
    <row r="27" spans="1:12" ht="13.15">
      <c r="A27" s="586" t="str">
        <f>A2</f>
        <v>XAN</v>
      </c>
      <c r="B27" s="587">
        <f ca="1">SUM('Inverter Loading'!O2:'Inverter Loading'!O3)</f>
        <v>30.520000000000003</v>
      </c>
      <c r="C27" s="587">
        <f ca="1">B2-B27</f>
        <v>141.86349999999999</v>
      </c>
      <c r="D27" s="587">
        <f>D2</f>
        <v>13.897500000000001</v>
      </c>
      <c r="E27" s="587">
        <f>C2</f>
        <v>1.526</v>
      </c>
      <c r="F27" s="587">
        <f ca="1">G2-B27-C27-D27-E27</f>
        <v>127.19300000000003</v>
      </c>
      <c r="G27" s="587">
        <f ca="1">I2-B27-C27-D27-E27-F27</f>
        <v>0</v>
      </c>
      <c r="H27" s="6"/>
      <c r="I27" s="6"/>
      <c r="J27" s="6"/>
      <c r="K27" s="6"/>
    </row>
    <row r="28" spans="1:12" ht="13.15">
      <c r="A28" s="586" t="str">
        <f>A4</f>
        <v>XCY</v>
      </c>
      <c r="B28" s="587">
        <f>SUM('Inverter Loading'!O10:O11)</f>
        <v>17.440000000000001</v>
      </c>
      <c r="C28" s="587">
        <f>B4-B28</f>
        <v>109.76300000000001</v>
      </c>
      <c r="D28" s="587">
        <f>D4</f>
        <v>0</v>
      </c>
      <c r="E28" s="587">
        <f>C4</f>
        <v>8.0660000000000007</v>
      </c>
      <c r="F28" s="587">
        <f>G4-B28-C28-D28-E28</f>
        <v>179.73099999999999</v>
      </c>
      <c r="G28" s="587">
        <f>I4-B28-C28-D28-E28-F28</f>
        <v>0</v>
      </c>
      <c r="H28" s="6"/>
      <c r="I28" s="6"/>
      <c r="J28" s="6"/>
      <c r="K28" s="6"/>
    </row>
    <row r="29" spans="1:12" ht="13.15">
      <c r="A29" s="586" t="str">
        <f>A6</f>
        <v>XER</v>
      </c>
      <c r="B29" s="587">
        <f>SUM('Inverter Loading'!O14:O15)</f>
        <v>7.6300000000000008</v>
      </c>
      <c r="C29" s="587">
        <f>B6-B29</f>
        <v>74.9375</v>
      </c>
      <c r="D29" s="587">
        <f>D6</f>
        <v>0</v>
      </c>
      <c r="E29" s="587">
        <f>C6</f>
        <v>0</v>
      </c>
      <c r="F29" s="587">
        <f>G6-B29-C29-D29-E29</f>
        <v>169.4325</v>
      </c>
      <c r="G29" s="587">
        <f>I6-B29-C29-D29-E29-F29</f>
        <v>48</v>
      </c>
      <c r="H29" s="6"/>
      <c r="I29" s="6"/>
      <c r="J29" s="6"/>
      <c r="K29" s="6"/>
    </row>
    <row r="30" spans="1:12" s="451" customFormat="1" ht="26.45">
      <c r="A30" s="588" t="s">
        <v>696</v>
      </c>
      <c r="B30" s="589">
        <v>0</v>
      </c>
      <c r="C30" s="589">
        <f>C77-B81</f>
        <v>36.569499999999998</v>
      </c>
      <c r="D30" s="589">
        <f t="shared" ref="D30:E32" si="7">D77</f>
        <v>0</v>
      </c>
      <c r="E30" s="589">
        <f t="shared" si="7"/>
        <v>0</v>
      </c>
      <c r="F30" s="587">
        <f>(G9/3)-B30-C30-D30-E30</f>
        <v>96.430499999999995</v>
      </c>
      <c r="G30" s="589">
        <f>(I9/3)-B30-C30-D30-E30-F30</f>
        <v>28</v>
      </c>
    </row>
    <row r="31" spans="1:12" s="451" customFormat="1" ht="26.45">
      <c r="A31" s="588" t="s">
        <v>697</v>
      </c>
      <c r="B31" s="589">
        <f>SUM('Inverter Loading'!O24:O25)</f>
        <v>40.33</v>
      </c>
      <c r="C31" s="589">
        <f>C78-B31</f>
        <v>27.849500000000006</v>
      </c>
      <c r="D31" s="589">
        <f t="shared" si="7"/>
        <v>0</v>
      </c>
      <c r="E31" s="589">
        <f t="shared" si="7"/>
        <v>0</v>
      </c>
      <c r="F31" s="587">
        <f>(G9/3)-B31-C31-D31-E31</f>
        <v>64.820499999999996</v>
      </c>
      <c r="G31" s="589">
        <f>(I9/3)-B31-C31-D31-E31-F31</f>
        <v>28</v>
      </c>
      <c r="H31" s="456"/>
      <c r="I31" s="456"/>
      <c r="J31" s="456"/>
    </row>
    <row r="32" spans="1:12" s="451" customFormat="1" ht="26.45">
      <c r="A32" s="588" t="s">
        <v>698</v>
      </c>
      <c r="B32" s="589">
        <v>0</v>
      </c>
      <c r="C32" s="589">
        <f>C79-B40</f>
        <v>22.236000000000001</v>
      </c>
      <c r="D32" s="589">
        <f t="shared" si="7"/>
        <v>0</v>
      </c>
      <c r="E32" s="589">
        <f t="shared" si="7"/>
        <v>0</v>
      </c>
      <c r="F32" s="587">
        <f>(G9/3)-B32-C32-D32-E32</f>
        <v>110.764</v>
      </c>
      <c r="G32" s="589">
        <f>(I9/3)-B32-C32-D32-E32-F32</f>
        <v>28.000000000000014</v>
      </c>
      <c r="H32" s="456"/>
      <c r="I32" s="456"/>
      <c r="J32" s="456"/>
    </row>
    <row r="33" spans="1:11" ht="13.15">
      <c r="A33" s="586" t="str">
        <f>A13</f>
        <v>XRM</v>
      </c>
      <c r="B33" s="587">
        <f>SUM('Inverter Loading'!O36:O37)</f>
        <v>8.7200000000000006</v>
      </c>
      <c r="C33" s="587">
        <f>B13-B33</f>
        <v>90.742500000000007</v>
      </c>
      <c r="D33" s="587">
        <f>D13</f>
        <v>0</v>
      </c>
      <c r="E33" s="587">
        <f>C13</f>
        <v>14.715</v>
      </c>
      <c r="F33" s="587">
        <f>G13-B33-C33-D33-E33</f>
        <v>200.82249999999996</v>
      </c>
      <c r="G33" s="587">
        <f>I13-B33-C33-D33-E33-F33</f>
        <v>0</v>
      </c>
      <c r="H33" s="6"/>
      <c r="I33" s="6"/>
      <c r="J33" s="6"/>
      <c r="K33" s="6"/>
    </row>
    <row r="34" spans="1:11" ht="13.15">
      <c r="A34" s="586" t="str">
        <f>A14</f>
        <v>XSN</v>
      </c>
      <c r="B34" s="587">
        <f>SUM('Inverter Loading'!O38:O39)</f>
        <v>7.6300000000000008</v>
      </c>
      <c r="C34" s="587">
        <f>B14-B34</f>
        <v>85.0745</v>
      </c>
      <c r="D34" s="587">
        <f>D14</f>
        <v>0</v>
      </c>
      <c r="E34" s="587">
        <f>C14</f>
        <v>18.748000000000001</v>
      </c>
      <c r="F34" s="587">
        <f t="shared" ref="F34:F35" si="8">G14-B34-C34-D34-E34</f>
        <v>140.54750000000001</v>
      </c>
      <c r="G34" s="587">
        <f>I14-B34-C34-D34-E34-F34</f>
        <v>48</v>
      </c>
      <c r="H34" s="6"/>
      <c r="I34" s="6"/>
      <c r="J34" s="6"/>
    </row>
    <row r="35" spans="1:11" ht="13.15">
      <c r="A35" s="586" t="str">
        <f>A15</f>
        <v>XSY</v>
      </c>
      <c r="B35" s="587">
        <f>SUM('Inverter Loading'!O40:O41)</f>
        <v>7.6300000000000008</v>
      </c>
      <c r="C35" s="587">
        <f>B15-B35</f>
        <v>102.242</v>
      </c>
      <c r="D35" s="587">
        <f>D15</f>
        <v>0</v>
      </c>
      <c r="E35" s="587">
        <f>C15</f>
        <v>0</v>
      </c>
      <c r="F35" s="587">
        <f t="shared" si="8"/>
        <v>194.62799999999999</v>
      </c>
      <c r="G35" s="587">
        <f>I15-B35-C35-D35-E35-F35</f>
        <v>0</v>
      </c>
      <c r="H35" s="6"/>
      <c r="I35" s="6"/>
      <c r="J35" s="6"/>
      <c r="K35" s="6"/>
    </row>
    <row r="36" spans="1:11" ht="13.15">
      <c r="G36" s="6"/>
    </row>
    <row r="37" spans="1:11" ht="13.15">
      <c r="A37" s="3"/>
      <c r="B37" s="4"/>
      <c r="C37" s="6"/>
      <c r="D37" s="6"/>
      <c r="E37" s="6"/>
      <c r="F37" s="6"/>
      <c r="G37" s="6"/>
      <c r="H37" s="6"/>
      <c r="I37" s="6"/>
    </row>
    <row r="38" spans="1:11" ht="13.15">
      <c r="A38" s="3"/>
      <c r="B38" s="4"/>
      <c r="C38" s="6"/>
      <c r="D38" s="6"/>
      <c r="E38" s="6" t="s">
        <v>699</v>
      </c>
      <c r="F38" s="6"/>
      <c r="G38" s="6"/>
      <c r="H38" s="6" t="s">
        <v>699</v>
      </c>
      <c r="I38" s="6"/>
      <c r="J38" s="6"/>
    </row>
    <row r="39" spans="1:11" ht="13.15">
      <c r="G39" s="6"/>
      <c r="H39" s="6"/>
      <c r="I39" s="6"/>
      <c r="J39" s="6"/>
    </row>
    <row r="40" spans="1:11" ht="13.15">
      <c r="G40" s="6"/>
      <c r="H40" s="6"/>
      <c r="I40" s="6"/>
      <c r="J40" s="6"/>
    </row>
    <row r="41" spans="1:11" ht="13.15">
      <c r="G41" s="6"/>
      <c r="H41" s="6"/>
      <c r="I41" s="6"/>
      <c r="J41" s="6"/>
    </row>
    <row r="42" spans="1:11" ht="13.15">
      <c r="A42" s="3"/>
      <c r="B42" s="5"/>
      <c r="C42" s="5"/>
      <c r="D42" s="5"/>
      <c r="E42" s="5"/>
      <c r="F42" s="5"/>
    </row>
    <row r="43" spans="1:11" ht="13.15">
      <c r="A43" s="3"/>
      <c r="B43" s="5"/>
      <c r="C43" s="5"/>
      <c r="D43" s="5"/>
      <c r="E43" s="5"/>
      <c r="F43" s="5"/>
    </row>
    <row r="44" spans="1:11" ht="13.9" thickBot="1">
      <c r="A44" s="3"/>
      <c r="B44" s="6"/>
      <c r="C44" s="6"/>
      <c r="D44" s="6"/>
      <c r="E44" s="6"/>
      <c r="F44" s="6"/>
      <c r="G44" s="6"/>
      <c r="H44" s="6"/>
      <c r="I44" s="354"/>
    </row>
    <row r="45" spans="1:11" ht="13.15">
      <c r="A45" s="144" t="s">
        <v>515</v>
      </c>
      <c r="B45" s="145" t="s">
        <v>680</v>
      </c>
      <c r="C45" s="146" t="s">
        <v>380</v>
      </c>
      <c r="D45" s="146" t="s">
        <v>379</v>
      </c>
      <c r="E45" s="146" t="s">
        <v>681</v>
      </c>
      <c r="F45" s="146" t="s">
        <v>572</v>
      </c>
      <c r="G45" s="146" t="s">
        <v>682</v>
      </c>
      <c r="H45" s="145" t="s">
        <v>426</v>
      </c>
      <c r="I45" s="147" t="s">
        <v>683</v>
      </c>
    </row>
    <row r="46" spans="1:11" ht="13.15">
      <c r="A46" s="148" t="s">
        <v>350</v>
      </c>
      <c r="B46" s="149">
        <f>'Plant loading'!G94</f>
        <v>43.817999999999998</v>
      </c>
      <c r="C46" s="149">
        <f>'Plant loading'!P94</f>
        <v>0</v>
      </c>
      <c r="D46" s="149">
        <f>SUM('Plant loading'!AC94:AC95)*54.5/1000</f>
        <v>0</v>
      </c>
      <c r="E46" s="149">
        <f>SUM(C46+D46)</f>
        <v>0</v>
      </c>
      <c r="F46" s="149">
        <f>SUM('Plant loading'!J94+'Plant loading'!J95)</f>
        <v>230</v>
      </c>
      <c r="G46" s="150">
        <f t="shared" ref="G46:G56" si="9">SUM(F46/2)</f>
        <v>115</v>
      </c>
      <c r="H46" s="150">
        <v>600</v>
      </c>
      <c r="I46" s="151">
        <f>H46/2</f>
        <v>300</v>
      </c>
    </row>
    <row r="47" spans="1:11" ht="13.15">
      <c r="A47" s="148" t="s">
        <v>352</v>
      </c>
      <c r="B47" s="149">
        <f>'Plant loading'!G96</f>
        <v>39.893999999999998</v>
      </c>
      <c r="C47" s="149">
        <f>'Plant loading'!P96</f>
        <v>0</v>
      </c>
      <c r="D47" s="149">
        <f>SUM('Plant loading'!AC96:AC98)*54.5/1000</f>
        <v>0</v>
      </c>
      <c r="E47" s="149">
        <f>SUM(C47+D47)</f>
        <v>0</v>
      </c>
      <c r="F47" s="149">
        <f ca="1">SUM('Plant loading'!J96:'Plant loading'!J98)</f>
        <v>229</v>
      </c>
      <c r="G47" s="150">
        <f ca="1">SUM(F47/2)</f>
        <v>114.5</v>
      </c>
      <c r="H47" s="150">
        <v>600</v>
      </c>
      <c r="I47" s="151">
        <f>H47/2</f>
        <v>300</v>
      </c>
    </row>
    <row r="48" spans="1:11" ht="13.15">
      <c r="A48" s="148" t="s">
        <v>355</v>
      </c>
      <c r="B48" s="149">
        <f>'Plant loading'!G99</f>
        <v>46.216000000000001</v>
      </c>
      <c r="C48" s="149">
        <f>'Plant loading'!P99</f>
        <v>0</v>
      </c>
      <c r="D48" s="149">
        <f>SUM('Plant loading'!AC99:AC100)*54.5/1000</f>
        <v>0</v>
      </c>
      <c r="E48" s="149">
        <f t="shared" ref="E48:E56" si="10">SUM(C48+D48)</f>
        <v>0</v>
      </c>
      <c r="F48" s="149">
        <f>SUM('Plant loading'!J99+'Plant loading'!J100)</f>
        <v>230</v>
      </c>
      <c r="G48" s="150">
        <f t="shared" si="9"/>
        <v>115</v>
      </c>
      <c r="H48" s="150">
        <v>600</v>
      </c>
      <c r="I48" s="151">
        <f t="shared" ref="I48:I56" si="11">H48/2</f>
        <v>300</v>
      </c>
    </row>
    <row r="49" spans="1:12" ht="13.15">
      <c r="A49" s="148" t="s">
        <v>357</v>
      </c>
      <c r="B49" s="149">
        <f>'Plant loading'!G101</f>
        <v>38.040999999999997</v>
      </c>
      <c r="C49" s="149">
        <f>'Plant loading'!P101</f>
        <v>0</v>
      </c>
      <c r="D49" s="149">
        <f>SUM('Plant loading'!AC101:AC102)*54.5/1000</f>
        <v>0</v>
      </c>
      <c r="E49" s="149">
        <f t="shared" si="10"/>
        <v>0</v>
      </c>
      <c r="F49" s="149">
        <f>SUM('Plant loading'!J101+'Plant loading'!J102)</f>
        <v>230</v>
      </c>
      <c r="G49" s="150">
        <f t="shared" si="9"/>
        <v>115</v>
      </c>
      <c r="H49" s="150">
        <v>600</v>
      </c>
      <c r="I49" s="151">
        <f t="shared" si="11"/>
        <v>300</v>
      </c>
    </row>
    <row r="50" spans="1:12" ht="13.15">
      <c r="A50" s="148" t="s">
        <v>359</v>
      </c>
      <c r="B50" s="149">
        <f>'Plant loading'!G103</f>
        <v>9.5374999999999996</v>
      </c>
      <c r="C50" s="149">
        <f>'Plant loading'!P103</f>
        <v>0</v>
      </c>
      <c r="D50" s="149">
        <f>SUM('Plant loading'!AC103:AC104)*54.5/1000</f>
        <v>0</v>
      </c>
      <c r="E50" s="149">
        <f t="shared" si="10"/>
        <v>0</v>
      </c>
      <c r="F50" s="149">
        <f>SUM('Plant loading'!J103+'Plant loading'!J104)</f>
        <v>62</v>
      </c>
      <c r="G50" s="150">
        <f t="shared" si="9"/>
        <v>31</v>
      </c>
      <c r="H50" s="150">
        <f>G50*2</f>
        <v>62</v>
      </c>
      <c r="I50" s="151">
        <f t="shared" si="11"/>
        <v>31</v>
      </c>
      <c r="L50" s="4"/>
    </row>
    <row r="51" spans="1:12" ht="13.15">
      <c r="A51" s="152" t="s">
        <v>361</v>
      </c>
      <c r="B51" s="149">
        <f>'Plant loading'!G105</f>
        <v>62.347999999999999</v>
      </c>
      <c r="C51" s="149">
        <f>'Plant loading'!P105</f>
        <v>0</v>
      </c>
      <c r="D51" s="149">
        <f>SUM('Plant loading'!AC105:AC106)*54.5/1000</f>
        <v>0</v>
      </c>
      <c r="E51" s="149">
        <f t="shared" si="10"/>
        <v>0</v>
      </c>
      <c r="F51" s="149">
        <f>SUM('Plant loading'!J105+'Plant loading'!J106)</f>
        <v>230</v>
      </c>
      <c r="G51" s="150">
        <f t="shared" si="9"/>
        <v>115</v>
      </c>
      <c r="H51" s="150">
        <v>600</v>
      </c>
      <c r="I51" s="151">
        <f t="shared" si="11"/>
        <v>300</v>
      </c>
    </row>
    <row r="52" spans="1:12" ht="13.15">
      <c r="A52" s="148" t="s">
        <v>363</v>
      </c>
      <c r="B52" s="149">
        <f>'Plant loading'!G109</f>
        <v>44.581000000000003</v>
      </c>
      <c r="C52" s="149">
        <f>'Plant loading'!P109</f>
        <v>0</v>
      </c>
      <c r="D52" s="149">
        <f>SUM('Plant loading'!AC109:AC111)*54.5/1000</f>
        <v>0</v>
      </c>
      <c r="E52" s="149">
        <f t="shared" si="10"/>
        <v>0</v>
      </c>
      <c r="F52" s="149">
        <f>SUM('Plant loading'!J109:J111)</f>
        <v>287</v>
      </c>
      <c r="G52" s="150">
        <f t="shared" si="9"/>
        <v>143.5</v>
      </c>
      <c r="H52" s="150">
        <v>600</v>
      </c>
      <c r="I52" s="151">
        <f t="shared" si="11"/>
        <v>300</v>
      </c>
    </row>
    <row r="53" spans="1:12" ht="13.15">
      <c r="A53" s="148" t="s">
        <v>365</v>
      </c>
      <c r="B53" s="149">
        <f>'Plant loading'!G107</f>
        <v>33.735500000000002</v>
      </c>
      <c r="C53" s="149">
        <f>'Plant loading'!P107</f>
        <v>0</v>
      </c>
      <c r="D53" s="149">
        <f>SUM('Plant loading'!AC107:AC108)*54.5/1000</f>
        <v>0</v>
      </c>
      <c r="E53" s="149">
        <f t="shared" si="10"/>
        <v>0</v>
      </c>
      <c r="F53" s="149">
        <f>SUM('Plant loading'!J107+'Plant loading'!J108)</f>
        <v>230</v>
      </c>
      <c r="G53" s="150">
        <f t="shared" si="9"/>
        <v>115</v>
      </c>
      <c r="H53" s="150">
        <v>600</v>
      </c>
      <c r="I53" s="151">
        <f t="shared" si="11"/>
        <v>300</v>
      </c>
    </row>
    <row r="54" spans="1:12" ht="13.15">
      <c r="A54" s="148" t="s">
        <v>370</v>
      </c>
      <c r="B54" s="149">
        <f>'Plant loading'!G112</f>
        <v>19.292999999999999</v>
      </c>
      <c r="C54" s="149">
        <f>'Plant loading'!P112</f>
        <v>0</v>
      </c>
      <c r="D54" s="149">
        <f>SUM('Plant loading'!AC112:AC113)*54.5/1000</f>
        <v>0</v>
      </c>
      <c r="E54" s="149">
        <f t="shared" si="10"/>
        <v>0</v>
      </c>
      <c r="F54" s="149">
        <f>SUM('Plant loading'!J112+'Plant loading'!J113)</f>
        <v>211</v>
      </c>
      <c r="G54" s="150">
        <f t="shared" si="9"/>
        <v>105.5</v>
      </c>
      <c r="H54" s="150">
        <v>600</v>
      </c>
      <c r="I54" s="151">
        <f t="shared" si="11"/>
        <v>300</v>
      </c>
    </row>
    <row r="55" spans="1:12" ht="13.15">
      <c r="A55" s="148" t="s">
        <v>372</v>
      </c>
      <c r="B55" s="149">
        <f>'Plant loading'!G114</f>
        <v>44.253999999999998</v>
      </c>
      <c r="C55" s="149">
        <f>'Plant loading'!P114</f>
        <v>0</v>
      </c>
      <c r="D55" s="149">
        <f>SUM('Plant loading'!AC114:AC115)*54.5/1000</f>
        <v>0</v>
      </c>
      <c r="E55" s="149">
        <f t="shared" si="10"/>
        <v>0</v>
      </c>
      <c r="F55" s="149">
        <f>SUM('Plant loading'!J114+'Plant loading'!J115)</f>
        <v>230</v>
      </c>
      <c r="G55" s="150">
        <f t="shared" si="9"/>
        <v>115</v>
      </c>
      <c r="H55" s="150">
        <v>600</v>
      </c>
      <c r="I55" s="151">
        <f t="shared" si="11"/>
        <v>300</v>
      </c>
    </row>
    <row r="56" spans="1:12" ht="13.9" thickBot="1">
      <c r="A56" s="148" t="s">
        <v>374</v>
      </c>
      <c r="B56" s="149">
        <f>'Plant loading'!G116</f>
        <v>39.512500000000003</v>
      </c>
      <c r="C56" s="149">
        <f>'Plant loading'!P116</f>
        <v>0</v>
      </c>
      <c r="D56" s="149">
        <f>SUM('Plant loading'!AC116:AC118)*54.5/1000</f>
        <v>0</v>
      </c>
      <c r="E56" s="149">
        <f t="shared" si="10"/>
        <v>0</v>
      </c>
      <c r="F56" s="149">
        <f>SUM('Plant loading'!J116:J118)</f>
        <v>171</v>
      </c>
      <c r="G56" s="150">
        <f t="shared" si="9"/>
        <v>85.5</v>
      </c>
      <c r="H56" s="150">
        <f>G56*2</f>
        <v>171</v>
      </c>
      <c r="I56" s="151">
        <f t="shared" si="11"/>
        <v>85.5</v>
      </c>
    </row>
    <row r="57" spans="1:12" ht="13.9" thickBot="1">
      <c r="F57" s="437"/>
      <c r="J57" s="2"/>
    </row>
    <row r="58" spans="1:12" ht="13.15">
      <c r="A58" s="153" t="s">
        <v>700</v>
      </c>
      <c r="B58" s="154"/>
      <c r="C58" s="154"/>
      <c r="D58" s="154"/>
      <c r="E58" s="154"/>
      <c r="F58" s="155"/>
    </row>
    <row r="59" spans="1:12" ht="13.15">
      <c r="A59" s="156" t="s">
        <v>515</v>
      </c>
      <c r="B59" s="157" t="s">
        <v>692</v>
      </c>
      <c r="C59" s="158" t="s">
        <v>693</v>
      </c>
      <c r="D59" s="158" t="s">
        <v>379</v>
      </c>
      <c r="E59" s="158" t="s">
        <v>380</v>
      </c>
      <c r="F59" s="159" t="s">
        <v>701</v>
      </c>
      <c r="G59" s="3"/>
      <c r="H59" s="3"/>
      <c r="I59" s="3"/>
      <c r="J59" s="2"/>
    </row>
    <row r="60" spans="1:12" ht="13.15">
      <c r="A60" s="160" t="s">
        <v>350</v>
      </c>
      <c r="B60" s="163">
        <f>SUM('Inverter Loading'!O44)</f>
        <v>1.2535000000000001</v>
      </c>
      <c r="C60" s="161">
        <f>B46-B60</f>
        <v>42.564499999999995</v>
      </c>
      <c r="D60" s="161">
        <f>D46</f>
        <v>0</v>
      </c>
      <c r="E60" s="161">
        <f>E46</f>
        <v>0</v>
      </c>
      <c r="F60" s="162">
        <f>SUM(F46-B60-C60-D60-E60)</f>
        <v>186.18200000000002</v>
      </c>
      <c r="G60" s="6"/>
      <c r="H60" s="6"/>
      <c r="I60" s="6"/>
      <c r="J60" s="6"/>
    </row>
    <row r="61" spans="1:12" ht="13.15">
      <c r="A61" s="160" t="str">
        <f t="shared" ref="A61:A70" si="12">A47</f>
        <v>XCF</v>
      </c>
      <c r="B61" s="163">
        <f>SUM('Inverter Loading'!O45)</f>
        <v>0.25070000000000003</v>
      </c>
      <c r="C61" s="161">
        <f>B47</f>
        <v>39.893999999999998</v>
      </c>
      <c r="D61" s="161">
        <f>D48</f>
        <v>0</v>
      </c>
      <c r="E61" s="161">
        <f t="shared" ref="E61:E69" si="13">E47</f>
        <v>0</v>
      </c>
      <c r="F61" s="162">
        <f>SUM(F48-B61-C61-D61-E61)</f>
        <v>189.8553</v>
      </c>
      <c r="G61" s="6"/>
      <c r="H61" s="6"/>
      <c r="I61" s="6"/>
      <c r="J61" s="6"/>
    </row>
    <row r="62" spans="1:12" ht="13.15">
      <c r="A62" s="160" t="str">
        <f t="shared" si="12"/>
        <v>XCE</v>
      </c>
      <c r="B62" s="163">
        <f>SUM('Inverter Loading'!O46)</f>
        <v>1.2535000000000001</v>
      </c>
      <c r="C62" s="161">
        <f t="shared" ref="C62:C67" si="14">B48-B62</f>
        <v>44.962499999999999</v>
      </c>
      <c r="D62" s="161">
        <f>D47</f>
        <v>0</v>
      </c>
      <c r="E62" s="161">
        <f t="shared" si="13"/>
        <v>0</v>
      </c>
      <c r="F62" s="162">
        <f ca="1">SUM(F47-B62-C62-D62-E62)</f>
        <v>182.78399999999999</v>
      </c>
      <c r="G62" s="6"/>
      <c r="H62" s="6"/>
      <c r="I62" s="6"/>
      <c r="J62" s="6"/>
    </row>
    <row r="63" spans="1:12" ht="13.15">
      <c r="A63" s="160" t="str">
        <f t="shared" si="12"/>
        <v>XCN</v>
      </c>
      <c r="B63" s="163">
        <f>SUM('Inverter Loading'!O47)</f>
        <v>2.0056000000000003</v>
      </c>
      <c r="C63" s="161">
        <f t="shared" si="14"/>
        <v>36.035399999999996</v>
      </c>
      <c r="D63" s="161">
        <f t="shared" ref="D63:D70" si="15">D49</f>
        <v>0</v>
      </c>
      <c r="E63" s="161">
        <f t="shared" si="13"/>
        <v>0</v>
      </c>
      <c r="F63" s="162">
        <f t="shared" ref="F63:F70" si="16">SUM(F49-B63-C63-D63-E63)</f>
        <v>191.959</v>
      </c>
      <c r="G63" s="6"/>
      <c r="H63" s="6"/>
      <c r="I63" s="6"/>
      <c r="J63" s="6"/>
    </row>
    <row r="64" spans="1:12" ht="13.15">
      <c r="A64" s="160" t="str">
        <f t="shared" si="12"/>
        <v>TGW</v>
      </c>
      <c r="B64" s="163">
        <f>SUM('Inverter Loading'!O48)</f>
        <v>0.50140000000000007</v>
      </c>
      <c r="C64" s="161">
        <f t="shared" si="14"/>
        <v>9.0360999999999994</v>
      </c>
      <c r="D64" s="161">
        <f t="shared" si="15"/>
        <v>0</v>
      </c>
      <c r="E64" s="161">
        <f t="shared" si="13"/>
        <v>0</v>
      </c>
      <c r="F64" s="162">
        <f t="shared" si="16"/>
        <v>52.462500000000006</v>
      </c>
      <c r="G64" s="6"/>
      <c r="H64" s="6"/>
      <c r="I64" s="6"/>
      <c r="J64" s="6"/>
    </row>
    <row r="65" spans="1:10" ht="13.15">
      <c r="A65" s="160" t="str">
        <f t="shared" si="12"/>
        <v>XLR</v>
      </c>
      <c r="B65" s="163">
        <f>SUM('Inverter Loading'!O49)</f>
        <v>1.7549000000000001</v>
      </c>
      <c r="C65" s="161">
        <f t="shared" si="14"/>
        <v>60.5931</v>
      </c>
      <c r="D65" s="161">
        <f t="shared" si="15"/>
        <v>0</v>
      </c>
      <c r="E65" s="161">
        <f t="shared" si="13"/>
        <v>0</v>
      </c>
      <c r="F65" s="162">
        <f t="shared" si="16"/>
        <v>167.65200000000002</v>
      </c>
      <c r="G65" s="6"/>
      <c r="H65" s="6"/>
      <c r="I65" s="6"/>
      <c r="J65" s="6"/>
    </row>
    <row r="66" spans="1:10" ht="13.15">
      <c r="A66" s="160" t="str">
        <f t="shared" si="12"/>
        <v>XNE</v>
      </c>
      <c r="B66" s="163">
        <f>SUM('Inverter Loading'!O50)</f>
        <v>1.5042</v>
      </c>
      <c r="C66" s="161">
        <f t="shared" si="14"/>
        <v>43.076800000000006</v>
      </c>
      <c r="D66" s="161">
        <f t="shared" si="15"/>
        <v>0</v>
      </c>
      <c r="E66" s="161">
        <f t="shared" si="13"/>
        <v>0</v>
      </c>
      <c r="F66" s="162">
        <f t="shared" si="16"/>
        <v>242.41899999999998</v>
      </c>
      <c r="G66" s="6"/>
      <c r="H66" s="6"/>
      <c r="I66" s="6"/>
      <c r="J66" s="6"/>
    </row>
    <row r="67" spans="1:10" ht="13.15">
      <c r="A67" s="160" t="str">
        <f t="shared" si="12"/>
        <v>XNY</v>
      </c>
      <c r="B67" s="163">
        <f>SUM('Inverter Loading'!O51)</f>
        <v>10.278700000000001</v>
      </c>
      <c r="C67" s="161">
        <f t="shared" si="14"/>
        <v>23.456800000000001</v>
      </c>
      <c r="D67" s="161">
        <f t="shared" si="15"/>
        <v>0</v>
      </c>
      <c r="E67" s="161">
        <f t="shared" si="13"/>
        <v>0</v>
      </c>
      <c r="F67" s="162">
        <f t="shared" si="16"/>
        <v>196.2645</v>
      </c>
      <c r="G67" s="6"/>
      <c r="H67" s="6"/>
      <c r="I67" s="6"/>
      <c r="J67" s="6"/>
    </row>
    <row r="68" spans="1:10" ht="13.15">
      <c r="A68" s="160" t="str">
        <f t="shared" si="12"/>
        <v>XOD</v>
      </c>
      <c r="B68" s="163">
        <f>SUM('Inverter Loading'!O53)</f>
        <v>1.0028000000000001</v>
      </c>
      <c r="C68" s="161">
        <f>B54</f>
        <v>19.292999999999999</v>
      </c>
      <c r="D68" s="161">
        <f t="shared" si="15"/>
        <v>0</v>
      </c>
      <c r="E68" s="161">
        <f t="shared" si="13"/>
        <v>0</v>
      </c>
      <c r="F68" s="162">
        <f t="shared" si="16"/>
        <v>190.70419999999999</v>
      </c>
      <c r="G68" s="6"/>
      <c r="H68" s="6"/>
      <c r="I68" s="6"/>
      <c r="J68" s="6"/>
    </row>
    <row r="69" spans="1:10" ht="13.15">
      <c r="A69" s="160" t="str">
        <f t="shared" si="12"/>
        <v>XSD</v>
      </c>
      <c r="B69" s="163">
        <f>SUM('Inverter Loading'!O54)</f>
        <v>1.5042</v>
      </c>
      <c r="C69" s="161">
        <f>B55-B69</f>
        <v>42.7498</v>
      </c>
      <c r="D69" s="161">
        <f t="shared" si="15"/>
        <v>0</v>
      </c>
      <c r="E69" s="161">
        <f t="shared" si="13"/>
        <v>0</v>
      </c>
      <c r="F69" s="162">
        <f t="shared" si="16"/>
        <v>185.74600000000001</v>
      </c>
      <c r="G69" s="6"/>
      <c r="H69" s="6"/>
      <c r="I69" s="6"/>
      <c r="J69" s="6"/>
    </row>
    <row r="70" spans="1:10" ht="13.15">
      <c r="A70" s="160" t="str">
        <f t="shared" si="12"/>
        <v>TWN</v>
      </c>
      <c r="B70" s="163">
        <f>SUM('Inverter Loading'!O55)</f>
        <v>0</v>
      </c>
      <c r="C70" s="161">
        <f>B56-B70</f>
        <v>39.512500000000003</v>
      </c>
      <c r="D70" s="161">
        <f t="shared" si="15"/>
        <v>0</v>
      </c>
      <c r="E70" s="161">
        <f>E56+'Inverter Loading'!S55</f>
        <v>0</v>
      </c>
      <c r="F70" s="162">
        <f t="shared" si="16"/>
        <v>131.48750000000001</v>
      </c>
      <c r="G70" s="6"/>
      <c r="H70" s="6"/>
      <c r="I70" s="6"/>
      <c r="J70" s="6"/>
    </row>
    <row r="71" spans="1:10" ht="13.15">
      <c r="A71" s="3"/>
      <c r="B71" s="4"/>
      <c r="C71" s="6"/>
      <c r="D71" s="6"/>
      <c r="E71" s="6"/>
      <c r="F71" s="6"/>
      <c r="G71" s="6"/>
      <c r="H71" s="6"/>
      <c r="I71" s="6"/>
    </row>
    <row r="74" spans="1:10" ht="13.15">
      <c r="A74" s="3"/>
      <c r="B74" s="6"/>
      <c r="C74" s="6"/>
      <c r="D74" s="6"/>
      <c r="E74" s="6"/>
      <c r="F74" s="6"/>
      <c r="G74" s="6"/>
      <c r="H74" s="6"/>
    </row>
    <row r="75" spans="1:10" ht="13.9" thickBot="1">
      <c r="A75" s="3"/>
      <c r="B75" s="590"/>
      <c r="C75" s="6"/>
      <c r="D75" s="6"/>
      <c r="E75" s="6"/>
      <c r="F75" s="6"/>
      <c r="G75" s="6"/>
      <c r="H75" s="6"/>
    </row>
    <row r="76" spans="1:10" ht="13.15">
      <c r="A76" s="164" t="s">
        <v>427</v>
      </c>
      <c r="B76" s="143" t="s">
        <v>692</v>
      </c>
      <c r="C76" s="142" t="s">
        <v>702</v>
      </c>
      <c r="D76" s="143" t="s">
        <v>379</v>
      </c>
      <c r="E76" s="143" t="s">
        <v>703</v>
      </c>
      <c r="F76" s="143" t="s">
        <v>572</v>
      </c>
      <c r="G76" s="143" t="s">
        <v>682</v>
      </c>
      <c r="H76" s="165" t="s">
        <v>426</v>
      </c>
      <c r="I76" s="6"/>
      <c r="J76" s="6"/>
    </row>
    <row r="77" spans="1:10" ht="13.15">
      <c r="A77" s="134" t="s">
        <v>558</v>
      </c>
      <c r="B77" s="723">
        <f ca="1">B84/3</f>
        <v>13.443333333333333</v>
      </c>
      <c r="C77" s="723">
        <f>(('Plant loading'!E47+'Plant loading'!E48+'Plant loading'!E49)*54.5)/1000</f>
        <v>36.569499999999998</v>
      </c>
      <c r="D77" s="723">
        <f>(('Plant loading'!N47+'Plant loading'!N48+'Plant loading'!N49)*54.5)/1000</f>
        <v>0</v>
      </c>
      <c r="E77" s="723">
        <f>(('Plant loading'!Q47+'Plant loading'!Q48+'Plant loading'!Q49)*54.5)/1000</f>
        <v>0</v>
      </c>
      <c r="F77" s="723">
        <f>('Plant loading'!J47+'Plant loading'!J48+'Plant loading'!J49)</f>
        <v>231</v>
      </c>
      <c r="G77" s="723">
        <f>F77/2</f>
        <v>115.5</v>
      </c>
      <c r="H77" s="138">
        <v>120</v>
      </c>
      <c r="I77" s="6"/>
      <c r="J77" s="6"/>
    </row>
    <row r="78" spans="1:10" ht="13.15">
      <c r="A78" s="134" t="s">
        <v>559</v>
      </c>
      <c r="B78" s="723">
        <f ca="1">B84/3</f>
        <v>13.443333333333333</v>
      </c>
      <c r="C78" s="723">
        <f>(('Plant loading'!E50+'Plant loading'!E51+'Plant loading'!E52)*54.5)/1000</f>
        <v>68.179500000000004</v>
      </c>
      <c r="D78" s="723">
        <f>(('Plant loading'!N50+'Plant loading'!N51+'Plant loading'!N52)*54.5)/1000</f>
        <v>0</v>
      </c>
      <c r="E78" s="723">
        <f>(('Plant loading'!Q50+'Plant loading'!Q51+'Plant loading'!Q52)*54.5)/1000</f>
        <v>0</v>
      </c>
      <c r="F78" s="723">
        <f>('Plant loading'!J50+'Plant loading'!J51+'Plant loading'!J52)</f>
        <v>357</v>
      </c>
      <c r="G78" s="723">
        <f>F78/2</f>
        <v>178.5</v>
      </c>
      <c r="H78" s="138">
        <v>120</v>
      </c>
      <c r="I78" s="6"/>
      <c r="J78" s="6"/>
    </row>
    <row r="79" spans="1:10" ht="13.9" thickBot="1">
      <c r="A79" s="724" t="s">
        <v>560</v>
      </c>
      <c r="B79" s="140">
        <f ca="1">B84/3</f>
        <v>13.443333333333333</v>
      </c>
      <c r="C79" s="725">
        <f>(('Plant loading'!E53+'Plant loading'!E54+'Plant loading'!E55)*54.5)/1000</f>
        <v>22.236000000000001</v>
      </c>
      <c r="D79" s="725">
        <f>(('Plant loading'!N53+'Plant loading'!N54+'Plant loading'!N55)*54.5)/1000</f>
        <v>0</v>
      </c>
      <c r="E79" s="725">
        <f>(('Plant loading'!Q53+'Plant loading'!Q54+'Plant loading'!Q55)*54.5)/1000</f>
        <v>0</v>
      </c>
      <c r="F79" s="725">
        <f>('Plant loading'!J53+'Plant loading'!J54+'Plant loading'!J55)</f>
        <v>210</v>
      </c>
      <c r="G79" s="725">
        <f>F79/2</f>
        <v>105</v>
      </c>
      <c r="H79" s="726">
        <v>120</v>
      </c>
      <c r="I79" s="6"/>
      <c r="J79" s="6"/>
    </row>
    <row r="81" spans="1:9" ht="10.9" thickBot="1"/>
    <row r="82" spans="1:9" ht="26.45">
      <c r="A82" s="130" t="s">
        <v>704</v>
      </c>
      <c r="B82" s="131"/>
      <c r="C82" s="132"/>
      <c r="D82" s="132"/>
      <c r="E82" s="132"/>
      <c r="F82" s="133"/>
    </row>
    <row r="83" spans="1:9" ht="13.15">
      <c r="A83" s="134" t="s">
        <v>515</v>
      </c>
      <c r="B83" s="135" t="s">
        <v>692</v>
      </c>
      <c r="C83" s="136" t="s">
        <v>693</v>
      </c>
      <c r="D83" s="136" t="s">
        <v>379</v>
      </c>
      <c r="E83" s="136" t="s">
        <v>380</v>
      </c>
      <c r="F83" s="137" t="s">
        <v>381</v>
      </c>
    </row>
    <row r="84" spans="1:9" ht="13.9" thickBot="1">
      <c r="A84" s="139" t="str">
        <f>A9</f>
        <v>XKS</v>
      </c>
      <c r="B84" s="140">
        <f ca="1">SUM('Inverter Loading'!O24:'Inverter Loading'!O25)</f>
        <v>40.33</v>
      </c>
      <c r="C84" s="140">
        <f>B9-B41</f>
        <v>126.985</v>
      </c>
      <c r="D84" s="140">
        <f>D9</f>
        <v>0</v>
      </c>
      <c r="E84" s="140">
        <f>C9</f>
        <v>0</v>
      </c>
      <c r="F84" s="141">
        <f>I9-B41-C41-D41-E41</f>
        <v>483</v>
      </c>
      <c r="G84" s="6"/>
      <c r="H84" s="6"/>
    </row>
    <row r="85" spans="1:9" ht="13.15">
      <c r="A85" s="3"/>
      <c r="B85" s="6"/>
      <c r="C85" s="6"/>
      <c r="D85" s="6"/>
      <c r="E85" s="6"/>
      <c r="F85" s="6"/>
      <c r="G85" s="6"/>
      <c r="H85" s="6"/>
    </row>
    <row r="88" spans="1:9" ht="13.15">
      <c r="A88" s="8"/>
      <c r="B88" s="62"/>
      <c r="C88" s="61"/>
      <c r="D88" s="62"/>
      <c r="E88" s="62"/>
      <c r="F88" s="62"/>
      <c r="G88" s="9"/>
      <c r="H88" s="9"/>
      <c r="I88" s="9"/>
    </row>
    <row r="89" spans="1:9">
      <c r="A89" s="60"/>
      <c r="B89" s="63"/>
      <c r="C89" s="63"/>
      <c r="D89" s="63"/>
      <c r="E89" s="63"/>
      <c r="F89" s="63"/>
      <c r="G89" s="10"/>
      <c r="H89" s="10"/>
      <c r="I89" s="10"/>
    </row>
    <row r="90" spans="1:9">
      <c r="A90" s="73" t="s">
        <v>705</v>
      </c>
      <c r="B90" s="106"/>
      <c r="C90" s="9" t="s">
        <v>706</v>
      </c>
      <c r="D90" s="106"/>
      <c r="E90" s="9" t="s">
        <v>707</v>
      </c>
      <c r="F90" s="106"/>
      <c r="G90" s="106"/>
      <c r="H90" s="105"/>
      <c r="I90" s="105"/>
    </row>
    <row r="91" spans="1:9">
      <c r="A91" s="166" t="s">
        <v>708</v>
      </c>
      <c r="B91" s="10">
        <f>SUM(B3+B8+B10+B11)+(J8+J10)</f>
        <v>1360.1020000000001</v>
      </c>
      <c r="C91" s="812" t="s">
        <v>709</v>
      </c>
      <c r="D91" s="10">
        <f>B91</f>
        <v>1360.1020000000001</v>
      </c>
      <c r="E91" s="812" t="s">
        <v>709</v>
      </c>
      <c r="F91" s="10">
        <f>B92</f>
        <v>954.13149999999996</v>
      </c>
    </row>
    <row r="92" spans="1:9">
      <c r="A92" s="166" t="s">
        <v>710</v>
      </c>
      <c r="B92" s="10">
        <f>SUM(B2+B4+B7+B12+B13)</f>
        <v>954.13149999999996</v>
      </c>
      <c r="C92" s="349" t="s">
        <v>711</v>
      </c>
      <c r="D92" s="10">
        <f>B93</f>
        <v>372.24045000000001</v>
      </c>
      <c r="E92" s="349" t="s">
        <v>711</v>
      </c>
      <c r="F92" s="10">
        <f>B94</f>
        <v>60.505900000000004</v>
      </c>
    </row>
    <row r="93" spans="1:9">
      <c r="A93" s="439" t="s">
        <v>712</v>
      </c>
      <c r="B93" s="438">
        <f>SUM(D20:D24)+(E20+E24+E22+E21)+(K8+K10)</f>
        <v>372.24045000000001</v>
      </c>
      <c r="C93" s="349" t="s">
        <v>713</v>
      </c>
      <c r="D93" s="10">
        <f>B95</f>
        <v>0</v>
      </c>
      <c r="E93" s="349" t="s">
        <v>713</v>
      </c>
      <c r="F93" s="10">
        <f ca="1">B96</f>
        <v>0</v>
      </c>
      <c r="G93" s="10"/>
      <c r="H93" s="10"/>
      <c r="I93" s="10"/>
    </row>
    <row r="94" spans="1:9">
      <c r="A94" s="439" t="s">
        <v>714</v>
      </c>
      <c r="B94" s="438">
        <f>SUM(D27:D33)+(E27+E28+E25+E26+E33)</f>
        <v>60.505900000000004</v>
      </c>
      <c r="C94" s="349" t="s">
        <v>715</v>
      </c>
      <c r="D94" s="10">
        <f>B97</f>
        <v>131.18694999999997</v>
      </c>
      <c r="E94" s="349" t="s">
        <v>715</v>
      </c>
      <c r="F94" s="10">
        <f>B98</f>
        <v>46.608400000000003</v>
      </c>
      <c r="G94" s="10"/>
      <c r="H94" s="10"/>
      <c r="I94" s="10"/>
    </row>
    <row r="95" spans="1:9">
      <c r="A95" s="166" t="s">
        <v>716</v>
      </c>
      <c r="B95" s="10">
        <f>G20+G24+G22+G21</f>
        <v>0</v>
      </c>
      <c r="E95" s="10"/>
      <c r="F95" s="10"/>
    </row>
    <row r="96" spans="1:9">
      <c r="A96" s="166" t="s">
        <v>717</v>
      </c>
      <c r="B96" s="10">
        <f ca="1">G27+G28+G25+G26+G33</f>
        <v>0</v>
      </c>
      <c r="G96" s="5"/>
    </row>
    <row r="97" spans="1:9">
      <c r="A97" s="166" t="s">
        <v>718</v>
      </c>
      <c r="B97" s="10">
        <f>SUM(E20+E24+E22+E21)+(K8+K10)</f>
        <v>131.18694999999997</v>
      </c>
      <c r="E97" s="10"/>
      <c r="F97" s="10"/>
      <c r="G97" s="10"/>
      <c r="H97" s="10"/>
      <c r="I97" s="10"/>
    </row>
    <row r="98" spans="1:9">
      <c r="A98" s="166" t="s">
        <v>719</v>
      </c>
      <c r="B98" s="10">
        <f>SUM(E27+E28+E25+E26+E33)</f>
        <v>46.608400000000003</v>
      </c>
      <c r="E98" s="10"/>
      <c r="F98" s="10"/>
      <c r="G98" s="10"/>
      <c r="H98" s="10"/>
      <c r="I98" s="10"/>
    </row>
    <row r="101" spans="1:9">
      <c r="G101" s="5"/>
    </row>
    <row r="102" spans="1:9">
      <c r="C102" s="103"/>
      <c r="D102" s="103"/>
      <c r="E102" s="103"/>
    </row>
    <row r="103" spans="1:9">
      <c r="A103" s="104" t="s">
        <v>720</v>
      </c>
      <c r="B103" s="103"/>
      <c r="C103" s="10"/>
      <c r="D103" s="10"/>
      <c r="E103" s="10"/>
    </row>
    <row r="104" spans="1:9">
      <c r="A104" s="14" t="s">
        <v>709</v>
      </c>
      <c r="B104" s="10">
        <f>SUM(B5+B6+B9+B14+B15)</f>
        <v>702.23249999999996</v>
      </c>
      <c r="C104" s="10"/>
      <c r="D104" s="10"/>
      <c r="E104" s="10"/>
    </row>
    <row r="105" spans="1:9">
      <c r="A105" s="29" t="s">
        <v>711</v>
      </c>
      <c r="B105" s="438">
        <f>SUM(D23:D41)+SUM(E23:E41)</f>
        <v>449.31434999999999</v>
      </c>
      <c r="C105" s="10"/>
      <c r="D105" s="10"/>
      <c r="E105" s="10"/>
    </row>
    <row r="106" spans="1:9">
      <c r="A106" s="14" t="s">
        <v>713</v>
      </c>
      <c r="B106" s="10">
        <f ca="1">SUM(F23:F41)</f>
        <v>1579.0236499999999</v>
      </c>
      <c r="C106" s="10"/>
      <c r="D106" s="10"/>
      <c r="E106" s="10"/>
    </row>
    <row r="107" spans="1:9">
      <c r="A107" s="14" t="s">
        <v>715</v>
      </c>
      <c r="B107" s="10">
        <f>SUM(E23:E41)</f>
        <v>92.121350000000007</v>
      </c>
      <c r="C107" s="10"/>
      <c r="D107" s="10"/>
      <c r="E107" s="10"/>
    </row>
    <row r="109" spans="1:9">
      <c r="A109" s="73" t="s">
        <v>721</v>
      </c>
      <c r="B109" s="10"/>
      <c r="C109" s="10"/>
      <c r="D109" s="10"/>
      <c r="E109" s="10"/>
    </row>
    <row r="110" spans="1:9">
      <c r="A110" s="14" t="s">
        <v>709</v>
      </c>
      <c r="B110" s="10">
        <f>SUM(C60:C70)-SUM(B60:B70)</f>
        <v>379.86499999999995</v>
      </c>
      <c r="C110" s="10"/>
      <c r="D110" s="10"/>
      <c r="E110" s="10"/>
    </row>
    <row r="111" spans="1:9">
      <c r="A111" s="29" t="s">
        <v>711</v>
      </c>
      <c r="B111" s="438">
        <f>SUM(D60:D70)+SUM(E60:E70)</f>
        <v>0</v>
      </c>
      <c r="C111" s="10"/>
      <c r="D111" s="10"/>
      <c r="E111" s="10"/>
    </row>
    <row r="112" spans="1:9">
      <c r="A112" s="14" t="s">
        <v>713</v>
      </c>
      <c r="B112" s="10">
        <f ca="1">SUM(F60:F70)</f>
        <v>1917.5160000000001</v>
      </c>
      <c r="C112" s="10"/>
      <c r="D112" s="10"/>
      <c r="E112" s="10"/>
    </row>
    <row r="113" spans="1:6">
      <c r="A113" s="14" t="s">
        <v>715</v>
      </c>
      <c r="B113" s="10">
        <f>SUM(E60:E70)</f>
        <v>0</v>
      </c>
      <c r="C113" s="10"/>
      <c r="D113" s="10"/>
      <c r="E113" s="10"/>
    </row>
    <row r="114" spans="1:6" ht="10.9" thickBot="1">
      <c r="A114" s="14"/>
      <c r="B114" s="10"/>
      <c r="C114" s="10"/>
      <c r="D114" s="10"/>
      <c r="E114" s="10"/>
    </row>
    <row r="115" spans="1:6" ht="13.15">
      <c r="A115" s="172" t="s">
        <v>722</v>
      </c>
      <c r="B115" s="154"/>
      <c r="C115" s="154"/>
      <c r="D115" s="154"/>
      <c r="E115" s="154"/>
      <c r="F115" s="155"/>
    </row>
    <row r="116" spans="1:6">
      <c r="A116" s="173"/>
      <c r="B116" s="174" t="s">
        <v>598</v>
      </c>
      <c r="C116" s="174" t="s">
        <v>380</v>
      </c>
      <c r="D116" s="174" t="s">
        <v>723</v>
      </c>
      <c r="E116" s="174" t="s">
        <v>584</v>
      </c>
      <c r="F116" s="175" t="s">
        <v>701</v>
      </c>
    </row>
    <row r="117" spans="1:6">
      <c r="A117" s="176" t="str">
        <f>'Plant loading'!B94</f>
        <v>PEFBL</v>
      </c>
      <c r="B117" s="177">
        <f>('Plant loading'!E94)*54.5/1000</f>
        <v>25.669499999999999</v>
      </c>
      <c r="C117" s="177">
        <f>('Plant loading'!N94)*54.5/1000</f>
        <v>0</v>
      </c>
      <c r="D117" s="178">
        <f>'Plant loading'!J94/2</f>
        <v>57.5</v>
      </c>
      <c r="E117" s="178" t="str">
        <f>'Plant loading'!C94</f>
        <v>NetSure</v>
      </c>
      <c r="F117" s="179">
        <f t="shared" ref="F117:F148" si="17">D117-C117-B117</f>
        <v>31.830500000000001</v>
      </c>
    </row>
    <row r="118" spans="1:6">
      <c r="A118" s="176" t="str">
        <f>'Plant loading'!B95</f>
        <v>PEHBL</v>
      </c>
      <c r="B118" s="177">
        <f>('Plant loading'!E95)*54.5/1000</f>
        <v>18.148499999999999</v>
      </c>
      <c r="C118" s="177">
        <f>('Plant loading'!N95)*54.5/1000</f>
        <v>0</v>
      </c>
      <c r="D118" s="178">
        <f>'Plant loading'!J95/2</f>
        <v>57.5</v>
      </c>
      <c r="E118" s="178" t="str">
        <f>'Plant loading'!C95</f>
        <v>NetSure</v>
      </c>
      <c r="F118" s="179">
        <f t="shared" si="17"/>
        <v>39.351500000000001</v>
      </c>
    </row>
    <row r="119" spans="1:6">
      <c r="A119" s="176" t="str">
        <f>'Plant loading'!B99</f>
        <v>PEACE</v>
      </c>
      <c r="B119" s="177">
        <f>('Plant loading'!E99)*54.5/1000</f>
        <v>21.7455</v>
      </c>
      <c r="C119" s="177">
        <f>('Plant loading'!N99)*54.5/1000</f>
        <v>0</v>
      </c>
      <c r="D119" s="178">
        <f>'Plant loading'!J99/2</f>
        <v>57.5</v>
      </c>
      <c r="E119" s="178" t="str">
        <f>'Plant loading'!C99</f>
        <v>NetSure</v>
      </c>
      <c r="F119" s="179">
        <f t="shared" si="17"/>
        <v>35.7545</v>
      </c>
    </row>
    <row r="120" spans="1:6">
      <c r="A120" s="176" t="str">
        <f>'Plant loading'!B100</f>
        <v>PEBCE</v>
      </c>
      <c r="B120" s="177">
        <f>('Plant loading'!E100)*54.5/1000</f>
        <v>24.470500000000001</v>
      </c>
      <c r="C120" s="177">
        <f>('Plant loading'!N100)*54.5/1000</f>
        <v>0</v>
      </c>
      <c r="D120" s="178">
        <f>'Plant loading'!J100/2</f>
        <v>57.5</v>
      </c>
      <c r="E120" s="178" t="str">
        <f>'Plant loading'!C100</f>
        <v>NetSure</v>
      </c>
      <c r="F120" s="179">
        <f t="shared" si="17"/>
        <v>33.029499999999999</v>
      </c>
    </row>
    <row r="121" spans="1:6">
      <c r="A121" s="176" t="s">
        <v>190</v>
      </c>
      <c r="B121" s="177">
        <f>('Plant loading'!E96)*54.5/1000</f>
        <v>19.456499999999998</v>
      </c>
      <c r="C121" s="177">
        <f>('Plant loading'!N96)*54.5/1000</f>
        <v>0</v>
      </c>
      <c r="D121" s="178">
        <f>'Plant loading'!J96/2</f>
        <v>57.5</v>
      </c>
      <c r="E121" s="178" t="str">
        <f>'Plant loading'!C96</f>
        <v>NetSure</v>
      </c>
      <c r="F121" s="179">
        <f t="shared" si="17"/>
        <v>38.043500000000002</v>
      </c>
    </row>
    <row r="122" spans="1:6">
      <c r="A122" s="176" t="s">
        <v>191</v>
      </c>
      <c r="B122" s="177">
        <f>('Plant loading'!E97)*54.5/1000</f>
        <v>9.0470000000000006</v>
      </c>
      <c r="C122" s="177">
        <f>('Plant loading'!N97)*54.5/1000</f>
        <v>0</v>
      </c>
      <c r="D122" s="178">
        <f>'Plant loading'!J97/2</f>
        <v>28.5</v>
      </c>
      <c r="E122" s="178" t="str">
        <f>'Plant loading'!C97</f>
        <v>NetSure</v>
      </c>
      <c r="F122" s="179">
        <f t="shared" si="17"/>
        <v>19.452999999999999</v>
      </c>
    </row>
    <row r="123" spans="1:6">
      <c r="A123" s="176" t="s">
        <v>192</v>
      </c>
      <c r="B123" s="177">
        <f>('Plant loading'!E98)*54.5/1000</f>
        <v>11.390499999999999</v>
      </c>
      <c r="C123" s="177">
        <f>('Plant loading'!N98)*54.5/1000</f>
        <v>0</v>
      </c>
      <c r="D123" s="178">
        <f>'Plant loading'!J98/2</f>
        <v>28.5</v>
      </c>
      <c r="E123" s="178" t="str">
        <f>'Plant loading'!C98</f>
        <v>NetSure</v>
      </c>
      <c r="F123" s="179">
        <f t="shared" si="17"/>
        <v>17.109500000000001</v>
      </c>
    </row>
    <row r="124" spans="1:6">
      <c r="A124" s="176" t="str">
        <f>'Plant loading'!B101</f>
        <v>PEFCN</v>
      </c>
      <c r="B124" s="177">
        <f>('Plant loading'!E101)*54.5/1000</f>
        <v>16.513500000000001</v>
      </c>
      <c r="C124" s="177">
        <f>('Plant loading'!N101)*54.5/1000</f>
        <v>0</v>
      </c>
      <c r="D124" s="178">
        <f>'Plant loading'!J101/2</f>
        <v>57.5</v>
      </c>
      <c r="E124" s="178" t="str">
        <f>'Plant loading'!C101</f>
        <v>NetSure</v>
      </c>
      <c r="F124" s="179">
        <f t="shared" si="17"/>
        <v>40.986499999999999</v>
      </c>
    </row>
    <row r="125" spans="1:6">
      <c r="A125" s="176" t="str">
        <f>'Plant loading'!B102</f>
        <v>PEGCN</v>
      </c>
      <c r="B125" s="177">
        <f>('Plant loading'!E102)*54.5/1000</f>
        <v>21.5275</v>
      </c>
      <c r="C125" s="177">
        <f>('Plant loading'!N102)*54.5/1000</f>
        <v>0</v>
      </c>
      <c r="D125" s="178">
        <f>'Plant loading'!J102/2</f>
        <v>57.5</v>
      </c>
      <c r="E125" s="178" t="str">
        <f>'Plant loading'!C102</f>
        <v>NetSure</v>
      </c>
      <c r="F125" s="179">
        <f t="shared" si="17"/>
        <v>35.972499999999997</v>
      </c>
    </row>
    <row r="126" spans="1:6">
      <c r="A126" s="176" t="s">
        <v>203</v>
      </c>
      <c r="B126" s="177">
        <f>('Plant loading'!E103)*54.5/1000</f>
        <v>4.9050000000000002</v>
      </c>
      <c r="C126" s="177">
        <f>('Plant loading'!N103)*54.5/1000</f>
        <v>0</v>
      </c>
      <c r="D126" s="178">
        <f>'Plant loading'!J103/2</f>
        <v>15.5</v>
      </c>
      <c r="E126" s="178" t="str">
        <f>'Plant loading'!C103</f>
        <v>eSure</v>
      </c>
      <c r="F126" s="179">
        <f t="shared" si="17"/>
        <v>10.594999999999999</v>
      </c>
    </row>
    <row r="127" spans="1:6">
      <c r="A127" s="176" t="s">
        <v>204</v>
      </c>
      <c r="B127" s="177">
        <f>('Plant loading'!E104)*54.5/1000</f>
        <v>4.6325000000000003</v>
      </c>
      <c r="C127" s="177">
        <f>('Plant loading'!N104)*54.5/1000</f>
        <v>0</v>
      </c>
      <c r="D127" s="178">
        <f>'Plant loading'!J104/2</f>
        <v>15.5</v>
      </c>
      <c r="E127" s="178" t="str">
        <f>'Plant loading'!C104</f>
        <v>eSure</v>
      </c>
      <c r="F127" s="179">
        <f t="shared" si="17"/>
        <v>10.8675</v>
      </c>
    </row>
    <row r="128" spans="1:6">
      <c r="A128" s="176" t="e">
        <f>'Plant loading'!#REF!</f>
        <v>#REF!</v>
      </c>
      <c r="B128" s="177" t="e">
        <f>('Plant loading'!#REF!)*54.5/1000</f>
        <v>#REF!</v>
      </c>
      <c r="C128" s="177" t="e">
        <f>('Plant loading'!#REF!)*54.5/1000</f>
        <v>#REF!</v>
      </c>
      <c r="D128" s="178" t="e">
        <f>'Plant loading'!#REF!/2</f>
        <v>#REF!</v>
      </c>
      <c r="E128" s="178" t="e">
        <f>'Plant loading'!#REF!</f>
        <v>#REF!</v>
      </c>
      <c r="F128" s="179" t="e">
        <f t="shared" si="17"/>
        <v>#REF!</v>
      </c>
    </row>
    <row r="129" spans="1:6">
      <c r="A129" s="176" t="e">
        <f>'Plant loading'!#REF!</f>
        <v>#REF!</v>
      </c>
      <c r="B129" s="177" t="e">
        <f>('Plant loading'!#REF!)*54.5/1000</f>
        <v>#REF!</v>
      </c>
      <c r="C129" s="177" t="e">
        <f>('Plant loading'!#REF!)*54.5/1000</f>
        <v>#REF!</v>
      </c>
      <c r="D129" s="178" t="e">
        <f>'Plant loading'!#REF!/2</f>
        <v>#REF!</v>
      </c>
      <c r="E129" s="178" t="e">
        <f>'Plant loading'!#REF!</f>
        <v>#REF!</v>
      </c>
      <c r="F129" s="179" t="e">
        <f t="shared" si="17"/>
        <v>#REF!</v>
      </c>
    </row>
    <row r="130" spans="1:6">
      <c r="A130" s="176" t="e">
        <f>'Plant loading'!#REF!</f>
        <v>#REF!</v>
      </c>
      <c r="B130" s="177" t="e">
        <f>('Plant loading'!#REF!)*54.5/1000</f>
        <v>#REF!</v>
      </c>
      <c r="C130" s="177" t="e">
        <f>('Plant loading'!#REF!)*54.5/1000</f>
        <v>#REF!</v>
      </c>
      <c r="D130" s="178" t="e">
        <f>'Plant loading'!#REF!/2</f>
        <v>#REF!</v>
      </c>
      <c r="E130" s="178" t="e">
        <f>'Plant loading'!#REF!</f>
        <v>#REF!</v>
      </c>
      <c r="F130" s="179" t="e">
        <f t="shared" si="17"/>
        <v>#REF!</v>
      </c>
    </row>
    <row r="131" spans="1:6">
      <c r="A131" s="176" t="e">
        <f>'Plant loading'!#REF!</f>
        <v>#REF!</v>
      </c>
      <c r="B131" s="177" t="e">
        <f>('Plant loading'!#REF!)*54.5/1000</f>
        <v>#REF!</v>
      </c>
      <c r="C131" s="177" t="e">
        <f>('Plant loading'!#REF!)*54.5/1000</f>
        <v>#REF!</v>
      </c>
      <c r="D131" s="178" t="e">
        <f>'Plant loading'!#REF!/2</f>
        <v>#REF!</v>
      </c>
      <c r="E131" s="178" t="e">
        <f>'Plant loading'!#REF!</f>
        <v>#REF!</v>
      </c>
      <c r="F131" s="179" t="e">
        <f t="shared" si="17"/>
        <v>#REF!</v>
      </c>
    </row>
    <row r="132" spans="1:6">
      <c r="A132" s="176" t="str">
        <f>'Plant loading'!B105</f>
        <v>PEFLR</v>
      </c>
      <c r="B132" s="177">
        <f>('Plant loading'!E105)*54.5/1000</f>
        <v>33.899000000000001</v>
      </c>
      <c r="C132" s="177">
        <f>('Plant loading'!N105)*54.5/1000</f>
        <v>0</v>
      </c>
      <c r="D132" s="178">
        <f>'Plant loading'!J105/2</f>
        <v>57.5</v>
      </c>
      <c r="E132" s="178" t="str">
        <f>'Plant loading'!C105</f>
        <v>NetSure</v>
      </c>
      <c r="F132" s="179">
        <f t="shared" si="17"/>
        <v>23.600999999999999</v>
      </c>
    </row>
    <row r="133" spans="1:6">
      <c r="A133" s="176" t="str">
        <f>'Plant loading'!B106</f>
        <v>PEGLR</v>
      </c>
      <c r="B133" s="177">
        <f>('Plant loading'!E106)*54.5/1000</f>
        <v>28.449000000000002</v>
      </c>
      <c r="C133" s="177">
        <f>('Plant loading'!N106)*54.5/1000</f>
        <v>0</v>
      </c>
      <c r="D133" s="178">
        <f>'Plant loading'!J106/2</f>
        <v>57.5</v>
      </c>
      <c r="E133" s="178" t="str">
        <f>'Plant loading'!C106</f>
        <v>NetSure</v>
      </c>
      <c r="F133" s="179">
        <f t="shared" si="17"/>
        <v>29.050999999999998</v>
      </c>
    </row>
    <row r="134" spans="1:6">
      <c r="A134" s="176" t="str">
        <f>'Plant loading'!B107</f>
        <v>PEGNY</v>
      </c>
      <c r="B134" s="177">
        <f>('Plant loading'!E107)*54.5/1000</f>
        <v>17.658000000000001</v>
      </c>
      <c r="C134" s="177">
        <f>('Plant loading'!N107)*54.5/1000</f>
        <v>0</v>
      </c>
      <c r="D134" s="178">
        <f>'Plant loading'!J107/2</f>
        <v>57.5</v>
      </c>
      <c r="E134" s="178" t="str">
        <f>'Plant loading'!C107</f>
        <v>NetSure</v>
      </c>
      <c r="F134" s="179">
        <f t="shared" si="17"/>
        <v>39.841999999999999</v>
      </c>
    </row>
    <row r="135" spans="1:6">
      <c r="A135" s="176" t="str">
        <f>'Plant loading'!B108</f>
        <v>PEHNY</v>
      </c>
      <c r="B135" s="177">
        <f>('Plant loading'!E108)*54.5/1000</f>
        <v>16.077500000000001</v>
      </c>
      <c r="C135" s="177">
        <f>('Plant loading'!N108)*54.5/1000</f>
        <v>0</v>
      </c>
      <c r="D135" s="178">
        <f>'Plant loading'!J108/2</f>
        <v>57.5</v>
      </c>
      <c r="E135" s="178" t="str">
        <f>'Plant loading'!C108</f>
        <v>NetSure</v>
      </c>
      <c r="F135" s="179">
        <f t="shared" si="17"/>
        <v>41.422499999999999</v>
      </c>
    </row>
    <row r="136" spans="1:6">
      <c r="A136" s="176" t="e">
        <f>'Plant loading'!#REF!</f>
        <v>#REF!</v>
      </c>
      <c r="B136" s="177" t="e">
        <f>('Plant loading'!#REF!)*54.5/1000</f>
        <v>#REF!</v>
      </c>
      <c r="C136" s="177" t="e">
        <f>('Plant loading'!#REF!)*54.5/1000</f>
        <v>#REF!</v>
      </c>
      <c r="D136" s="178" t="e">
        <f>'Plant loading'!#REF!/2</f>
        <v>#REF!</v>
      </c>
      <c r="E136" s="178" t="e">
        <f>'Plant loading'!#REF!</f>
        <v>#REF!</v>
      </c>
      <c r="F136" s="179" t="e">
        <f t="shared" si="17"/>
        <v>#REF!</v>
      </c>
    </row>
    <row r="137" spans="1:6">
      <c r="A137" s="176" t="e">
        <f>'Plant loading'!#REF!</f>
        <v>#REF!</v>
      </c>
      <c r="B137" s="177" t="e">
        <f>('Plant loading'!#REF!)*54.5/1000</f>
        <v>#REF!</v>
      </c>
      <c r="C137" s="177" t="e">
        <f>('Plant loading'!#REF!)*54.5/1000</f>
        <v>#REF!</v>
      </c>
      <c r="D137" s="178" t="e">
        <f>'Plant loading'!#REF!/2</f>
        <v>#REF!</v>
      </c>
      <c r="E137" s="178" t="e">
        <f>'Plant loading'!#REF!</f>
        <v>#REF!</v>
      </c>
      <c r="F137" s="179" t="e">
        <f t="shared" si="17"/>
        <v>#REF!</v>
      </c>
    </row>
    <row r="138" spans="1:6">
      <c r="A138" s="176" t="str">
        <f>'Plant loading'!B109</f>
        <v>PEENE</v>
      </c>
      <c r="B138" s="177">
        <f>('Plant loading'!E109)*54.5/1000</f>
        <v>16.677</v>
      </c>
      <c r="C138" s="177">
        <f>('Plant loading'!N109)*54.5/1000</f>
        <v>0</v>
      </c>
      <c r="D138" s="178">
        <f>'Plant loading'!J109/2</f>
        <v>57.5</v>
      </c>
      <c r="E138" s="178" t="str">
        <f>'Plant loading'!C109</f>
        <v>NetSure</v>
      </c>
      <c r="F138" s="179">
        <f t="shared" si="17"/>
        <v>40.823</v>
      </c>
    </row>
    <row r="139" spans="1:6">
      <c r="A139" s="176" t="str">
        <f>'Plant loading'!B110</f>
        <v>PEFNE</v>
      </c>
      <c r="B139" s="177">
        <f>('Plant loading'!E110)*54.5/1000</f>
        <v>19.62</v>
      </c>
      <c r="C139" s="177">
        <f>('Plant loading'!N110)*54.5/1000</f>
        <v>0</v>
      </c>
      <c r="D139" s="178">
        <f>'Plant loading'!J110/2</f>
        <v>57.5</v>
      </c>
      <c r="E139" s="178" t="str">
        <f>'Plant loading'!C110</f>
        <v>NetSure</v>
      </c>
      <c r="F139" s="179">
        <f t="shared" si="17"/>
        <v>37.879999999999995</v>
      </c>
    </row>
    <row r="140" spans="1:6">
      <c r="A140" s="176" t="str">
        <f>'Plant loading'!B111</f>
        <v>PEGNE</v>
      </c>
      <c r="B140" s="177">
        <f>('Plant loading'!E111)*54.5/1000</f>
        <v>8.2840000000000007</v>
      </c>
      <c r="C140" s="177">
        <f>('Plant loading'!N111)*54.5/1000</f>
        <v>0</v>
      </c>
      <c r="D140" s="178">
        <f>'Plant loading'!J111/2</f>
        <v>28.5</v>
      </c>
      <c r="E140" s="178" t="str">
        <f>'Plant loading'!C111</f>
        <v>NetSure</v>
      </c>
      <c r="F140" s="179">
        <f t="shared" si="17"/>
        <v>20.216000000000001</v>
      </c>
    </row>
    <row r="141" spans="1:6">
      <c r="A141" s="176" t="s">
        <v>217</v>
      </c>
      <c r="B141" s="177">
        <f>('Plant loading'!E112)*54.5/1000</f>
        <v>11.663</v>
      </c>
      <c r="C141" s="177">
        <f>('Plant loading'!N112)*54.5/1000</f>
        <v>0</v>
      </c>
      <c r="D141" s="178">
        <f>'Plant loading'!J112/2</f>
        <v>57.5</v>
      </c>
      <c r="E141" s="178" t="str">
        <f>'Plant loading'!C112</f>
        <v>NetSure</v>
      </c>
      <c r="F141" s="179">
        <f t="shared" si="17"/>
        <v>45.837000000000003</v>
      </c>
    </row>
    <row r="142" spans="1:6">
      <c r="A142" s="176" t="s">
        <v>219</v>
      </c>
      <c r="B142" s="177">
        <f>('Plant loading'!E113)*54.5/1000</f>
        <v>7.63</v>
      </c>
      <c r="C142" s="177">
        <f>('Plant loading'!N113)*54.5/1000</f>
        <v>0</v>
      </c>
      <c r="D142" s="178">
        <f>'Plant loading'!J113/2</f>
        <v>48</v>
      </c>
      <c r="E142" s="178" t="str">
        <f>'Plant loading'!C113</f>
        <v>NetSure</v>
      </c>
      <c r="F142" s="179">
        <f t="shared" si="17"/>
        <v>40.369999999999997</v>
      </c>
    </row>
    <row r="143" spans="1:6">
      <c r="A143" s="176" t="str">
        <f>'Plant loading'!B114</f>
        <v>PEESD</v>
      </c>
      <c r="B143" s="177">
        <f>('Plant loading'!E114)*54.5/1000</f>
        <v>21.418500000000002</v>
      </c>
      <c r="C143" s="177">
        <f>('Plant loading'!N114)*54.5/1000</f>
        <v>0</v>
      </c>
      <c r="D143" s="178">
        <f>'Plant loading'!J114/2</f>
        <v>57.5</v>
      </c>
      <c r="E143" s="178" t="str">
        <f>'Plant loading'!C114</f>
        <v>NetSure</v>
      </c>
      <c r="F143" s="179">
        <f t="shared" si="17"/>
        <v>36.081499999999998</v>
      </c>
    </row>
    <row r="144" spans="1:6">
      <c r="A144" s="176" t="s">
        <v>222</v>
      </c>
      <c r="B144" s="177">
        <f>('Plant loading'!E115)*54.5/1000</f>
        <v>22.8355</v>
      </c>
      <c r="C144" s="177">
        <f>('Plant loading'!N115)*54.5/1000</f>
        <v>0</v>
      </c>
      <c r="D144" s="178">
        <f>'Plant loading'!J115/2</f>
        <v>57.5</v>
      </c>
      <c r="E144" s="178" t="str">
        <f>'Plant loading'!C115</f>
        <v>NetSure</v>
      </c>
      <c r="F144" s="179">
        <f t="shared" si="17"/>
        <v>34.664500000000004</v>
      </c>
    </row>
    <row r="145" spans="1:7">
      <c r="A145" s="176" t="str">
        <f>'Plant loading'!B116</f>
        <v>PELWN</v>
      </c>
      <c r="B145" s="177">
        <f>('Plant loading'!E116)*54.5/1000</f>
        <v>11.390499999999999</v>
      </c>
      <c r="C145" s="177">
        <f>('Plant loading'!N116)*54.5/1000</f>
        <v>0</v>
      </c>
      <c r="D145" s="178">
        <f>'Plant loading'!J116/2</f>
        <v>28.5</v>
      </c>
      <c r="E145" s="178" t="str">
        <f>'Plant loading'!C116</f>
        <v>NetSure</v>
      </c>
      <c r="F145" s="179">
        <f t="shared" si="17"/>
        <v>17.109500000000001</v>
      </c>
    </row>
    <row r="146" spans="1:7">
      <c r="A146" s="176" t="str">
        <f>'Plant loading'!B117</f>
        <v>PEMWN</v>
      </c>
      <c r="B146" s="177">
        <f>('Plant loading'!E117)*54.5/1000</f>
        <v>8.5020000000000007</v>
      </c>
      <c r="C146" s="177">
        <f>('Plant loading'!N117)*54.5/1000</f>
        <v>0</v>
      </c>
      <c r="D146" s="178">
        <f>'Plant loading'!J117/2</f>
        <v>28.5</v>
      </c>
      <c r="E146" s="178" t="str">
        <f>'Plant loading'!C117</f>
        <v>NetSure</v>
      </c>
      <c r="F146" s="179">
        <f t="shared" si="17"/>
        <v>19.997999999999998</v>
      </c>
    </row>
    <row r="147" spans="1:7">
      <c r="A147" s="176" t="s">
        <v>226</v>
      </c>
      <c r="B147" s="177">
        <f>('Plant loading'!E118)*54.5/1000</f>
        <v>19.62</v>
      </c>
      <c r="C147" s="177">
        <f>('Plant loading'!N118)*54.5/1000</f>
        <v>0</v>
      </c>
      <c r="D147" s="178">
        <f>'Plant loading'!J118/2</f>
        <v>28.5</v>
      </c>
      <c r="E147" s="178" t="str">
        <f>'Plant loading'!C118</f>
        <v>NetSure</v>
      </c>
      <c r="F147" s="179">
        <f t="shared" si="17"/>
        <v>8.879999999999999</v>
      </c>
    </row>
    <row r="148" spans="1:7" ht="10.9" thickBot="1">
      <c r="A148" s="511" t="s">
        <v>724</v>
      </c>
      <c r="B148" s="180" t="e">
        <f>('Plant loading'!#REF!)*54.5/1000</f>
        <v>#REF!</v>
      </c>
      <c r="C148" s="180" t="e">
        <f>('Plant loading'!#REF!)*54.5/1000</f>
        <v>#REF!</v>
      </c>
      <c r="D148" s="181" t="e">
        <f>'Plant loading'!#REF!/2</f>
        <v>#REF!</v>
      </c>
      <c r="E148" s="181" t="e">
        <f>'Plant loading'!#REF!</f>
        <v>#REF!</v>
      </c>
      <c r="F148" s="182" t="e">
        <f t="shared" si="17"/>
        <v>#REF!</v>
      </c>
    </row>
    <row r="150" spans="1:7" ht="13.15">
      <c r="A150" s="8" t="s">
        <v>725</v>
      </c>
      <c r="B150" s="5" t="s">
        <v>726</v>
      </c>
      <c r="C150" s="5">
        <f>COUNTIF('Plant loading'!Y:Y,"=100")</f>
        <v>0</v>
      </c>
    </row>
    <row r="151" spans="1:7">
      <c r="B151" s="5" t="s">
        <v>727</v>
      </c>
      <c r="C151" s="5">
        <f>COUNTIF('Plant loading'!Y:Y,"=3")</f>
        <v>0</v>
      </c>
    </row>
    <row r="152" spans="1:7">
      <c r="B152" s="5" t="s">
        <v>728</v>
      </c>
      <c r="C152" s="5">
        <f>COUNTIF('Plant loading'!Y:Y,"=0.1")</f>
        <v>0</v>
      </c>
    </row>
    <row r="153" spans="1:7" ht="10.9" thickBot="1"/>
    <row r="154" spans="1:7" ht="13.15">
      <c r="A154" s="183" t="s">
        <v>729</v>
      </c>
      <c r="B154" s="184"/>
      <c r="C154" s="184"/>
      <c r="D154" s="184"/>
      <c r="E154" s="184"/>
      <c r="F154" s="185"/>
      <c r="G154" s="186"/>
    </row>
    <row r="155" spans="1:7">
      <c r="A155" s="187"/>
      <c r="B155" s="188" t="s">
        <v>598</v>
      </c>
      <c r="C155" s="188" t="s">
        <v>379</v>
      </c>
      <c r="D155" s="188" t="s">
        <v>380</v>
      </c>
      <c r="E155" s="188" t="s">
        <v>723</v>
      </c>
      <c r="F155" s="188" t="s">
        <v>584</v>
      </c>
      <c r="G155" s="189" t="s">
        <v>701</v>
      </c>
    </row>
    <row r="156" spans="1:7">
      <c r="A156" s="190" t="str">
        <f>'Plant loading'!B9</f>
        <v>PEABE</v>
      </c>
      <c r="B156" s="191">
        <f>('Plant loading'!E9)*54.5/1000</f>
        <v>45.180500000000002</v>
      </c>
      <c r="C156" s="191">
        <f>('Plant loading'!AC9)*54.5/1000</f>
        <v>4.5235000000000003</v>
      </c>
      <c r="D156" s="191">
        <f>('Plant loading'!N9)*54.5/1000-C156</f>
        <v>0</v>
      </c>
      <c r="E156" s="192">
        <f>'Plant loading'!J9/2</f>
        <v>63</v>
      </c>
      <c r="F156" s="192" t="str">
        <f>'Plant loading'!C9</f>
        <v>eSure</v>
      </c>
      <c r="G156" s="193">
        <f t="shared" ref="G156:G181" si="18">E156-D156-B156-C156</f>
        <v>13.295999999999998</v>
      </c>
    </row>
    <row r="157" spans="1:7">
      <c r="A157" s="190" t="str">
        <f>'Plant loading'!B10</f>
        <v>PEBBE</v>
      </c>
      <c r="B157" s="191">
        <f>('Plant loading'!E10)*54.5/1000</f>
        <v>45.889000000000003</v>
      </c>
      <c r="C157" s="191">
        <f>('Plant loading'!AC10)*54.5/1000</f>
        <v>3.8149999999999999</v>
      </c>
      <c r="D157" s="191">
        <f>('Plant loading'!N10)*54.5/1000-C157</f>
        <v>0</v>
      </c>
      <c r="E157" s="192">
        <f>'Plant loading'!J10/2</f>
        <v>63</v>
      </c>
      <c r="F157" s="192" t="str">
        <f>'Plant loading'!C10</f>
        <v>eSure</v>
      </c>
      <c r="G157" s="193">
        <f t="shared" si="18"/>
        <v>13.295999999999998</v>
      </c>
    </row>
    <row r="158" spans="1:7">
      <c r="A158" s="190" t="str">
        <f>'Plant loading'!B11</f>
        <v>PECBE</v>
      </c>
      <c r="B158" s="191">
        <f>('Plant loading'!E11)*54.5/1000</f>
        <v>43.981499999999997</v>
      </c>
      <c r="C158" s="191">
        <f>('Plant loading'!AC11)*54.5/1000</f>
        <v>2.3980000000000001</v>
      </c>
      <c r="D158" s="191">
        <f>('Plant loading'!N11)*54.5/1000-C158</f>
        <v>0</v>
      </c>
      <c r="E158" s="192">
        <f>'Plant loading'!J11/2</f>
        <v>63</v>
      </c>
      <c r="F158" s="192" t="str">
        <f>'Plant loading'!C11</f>
        <v>eSure</v>
      </c>
      <c r="G158" s="193">
        <f t="shared" si="18"/>
        <v>16.620500000000003</v>
      </c>
    </row>
    <row r="159" spans="1:7">
      <c r="A159" s="190" t="str">
        <f>'Plant loading'!B12</f>
        <v>PEEBE</v>
      </c>
      <c r="B159" s="191">
        <f>('Plant loading'!E12)*54.5/1000</f>
        <v>48.505000000000003</v>
      </c>
      <c r="C159" s="191">
        <f>('Plant loading'!AC12)*54.5/1000</f>
        <v>4.4145000000000003</v>
      </c>
      <c r="D159" s="191">
        <f>('Plant loading'!N12)*54.5/1000-C159</f>
        <v>0</v>
      </c>
      <c r="E159" s="192">
        <f>'Plant loading'!J12/2</f>
        <v>63</v>
      </c>
      <c r="F159" s="192" t="str">
        <f>'Plant loading'!C12</f>
        <v>eSure</v>
      </c>
      <c r="G159" s="193">
        <f t="shared" si="18"/>
        <v>10.080499999999997</v>
      </c>
    </row>
    <row r="160" spans="1:7">
      <c r="A160" s="190" t="str">
        <f>'Plant loading'!B13</f>
        <v>PEFBE</v>
      </c>
      <c r="B160" s="191">
        <f>('Plant loading'!E13)*54.5/1000</f>
        <v>46.488500000000002</v>
      </c>
      <c r="C160" s="191">
        <f>('Plant loading'!AC13)*54.5/1000</f>
        <v>4.9050000000000002</v>
      </c>
      <c r="D160" s="191">
        <f>('Plant loading'!N13)*54.5/1000-C160</f>
        <v>0</v>
      </c>
      <c r="E160" s="192">
        <f>'Plant loading'!J13/2</f>
        <v>63</v>
      </c>
      <c r="F160" s="192" t="str">
        <f>'Plant loading'!C13</f>
        <v>eSure</v>
      </c>
      <c r="G160" s="193">
        <f t="shared" si="18"/>
        <v>11.606499999999997</v>
      </c>
    </row>
    <row r="161" spans="1:7">
      <c r="A161" s="190" t="s">
        <v>64</v>
      </c>
      <c r="B161" s="191">
        <f>('Plant loading'!E14)*54.5/1000</f>
        <v>47.850999999999999</v>
      </c>
      <c r="C161" s="191">
        <f>('Plant loading'!AC14)*54.5/1000</f>
        <v>6.54</v>
      </c>
      <c r="D161" s="191">
        <f>('Plant loading'!N14)*54.5/1000-C161</f>
        <v>0</v>
      </c>
      <c r="E161" s="192">
        <f>'Plant loading'!J14/2</f>
        <v>63</v>
      </c>
      <c r="F161" s="192" t="str">
        <f>'Plant loading'!C14</f>
        <v>eSure</v>
      </c>
      <c r="G161" s="193">
        <f t="shared" si="18"/>
        <v>8.6090000000000018</v>
      </c>
    </row>
    <row r="162" spans="1:7">
      <c r="A162" s="190" t="str">
        <f>'Plant loading'!B15</f>
        <v>PEHBE</v>
      </c>
      <c r="B162" s="191">
        <f>('Plant loading'!E15)*54.5/1000</f>
        <v>45.5075</v>
      </c>
      <c r="C162" s="191">
        <f>('Plant loading'!AC15)*54.5/1000</f>
        <v>6.9215</v>
      </c>
      <c r="D162" s="191">
        <f>('Plant loading'!N15)*54.5/1000-C162</f>
        <v>0</v>
      </c>
      <c r="E162" s="192">
        <f>'Plant loading'!J15/2</f>
        <v>63</v>
      </c>
      <c r="F162" s="192" t="str">
        <f>'Plant loading'!C15</f>
        <v>eSure</v>
      </c>
      <c r="G162" s="193">
        <f t="shared" si="18"/>
        <v>10.571</v>
      </c>
    </row>
    <row r="163" spans="1:7">
      <c r="A163" s="190" t="str">
        <f>'Plant loading'!B16</f>
        <v>PEIBE</v>
      </c>
      <c r="B163" s="191">
        <f>('Plant loading'!E16)*54.5/1000</f>
        <v>47.197000000000003</v>
      </c>
      <c r="C163" s="191">
        <f>('Plant loading'!AC16)*54.5/1000</f>
        <v>5.5045000000000002</v>
      </c>
      <c r="D163" s="191">
        <f>('Plant loading'!N16)*54.5/1000-C163</f>
        <v>0</v>
      </c>
      <c r="E163" s="192">
        <f>'Plant loading'!J16/2</f>
        <v>63</v>
      </c>
      <c r="F163" s="192" t="str">
        <f>'Plant loading'!C16</f>
        <v>eSure</v>
      </c>
      <c r="G163" s="193">
        <f t="shared" si="18"/>
        <v>10.298499999999997</v>
      </c>
    </row>
    <row r="164" spans="1:7">
      <c r="A164" s="190" t="str">
        <f>'Plant loading'!B39</f>
        <v>BMGMTX-DCSYS01</v>
      </c>
      <c r="B164" s="191">
        <f>('Plant loading'!E39)*54.5/1000</f>
        <v>40.548000000000002</v>
      </c>
      <c r="C164" s="191">
        <f>('Plant loading'!AC39)*54.5/1000</f>
        <v>1.0900000000000001</v>
      </c>
      <c r="D164" s="191">
        <f>('Plant loading'!N39)*54.5/1000-C164</f>
        <v>0</v>
      </c>
      <c r="E164" s="192">
        <f>'Plant loading'!J39/2</f>
        <v>66</v>
      </c>
      <c r="F164" s="192" t="str">
        <f>'Plant loading'!C39</f>
        <v>HDR48-ES</v>
      </c>
      <c r="G164" s="193">
        <f t="shared" si="18"/>
        <v>24.361999999999998</v>
      </c>
    </row>
    <row r="165" spans="1:7">
      <c r="A165" s="190" t="str">
        <f>'Plant loading'!B40</f>
        <v>BMGMTX-DCSYS02</v>
      </c>
      <c r="B165" s="191">
        <f>('Plant loading'!E40)*54.5/1000</f>
        <v>41.747</v>
      </c>
      <c r="C165" s="191">
        <f>('Plant loading'!AC40)*54.5/1000</f>
        <v>3.052</v>
      </c>
      <c r="D165" s="191">
        <f>('Plant loading'!N40)*54.5/1000-C165</f>
        <v>0</v>
      </c>
      <c r="E165" s="192">
        <f>'Plant loading'!J40/2</f>
        <v>66</v>
      </c>
      <c r="F165" s="192" t="str">
        <f>'Plant loading'!C40</f>
        <v>HDR48-ES</v>
      </c>
      <c r="G165" s="193">
        <f t="shared" si="18"/>
        <v>21.201000000000001</v>
      </c>
    </row>
    <row r="166" spans="1:7">
      <c r="A166" s="190" t="str">
        <f>'Plant loading'!B41</f>
        <v>BMGMTX-DCSYS03</v>
      </c>
      <c r="B166" s="191">
        <f>('Plant loading'!E41)*54.5/1000</f>
        <v>42.782499999999999</v>
      </c>
      <c r="C166" s="191">
        <f>('Plant loading'!AC41)*54.5/1000</f>
        <v>8.2294999999999998</v>
      </c>
      <c r="D166" s="191">
        <f>('Plant loading'!N41)*54.5/1000-C166</f>
        <v>0</v>
      </c>
      <c r="E166" s="192">
        <f>'Plant loading'!J41/2</f>
        <v>66</v>
      </c>
      <c r="F166" s="192" t="str">
        <f>'Plant loading'!C41</f>
        <v>HDR48-ES</v>
      </c>
      <c r="G166" s="193">
        <f t="shared" si="18"/>
        <v>14.988000000000001</v>
      </c>
    </row>
    <row r="167" spans="1:7">
      <c r="A167" s="190" t="str">
        <f>'Plant loading'!B42</f>
        <v>BMGMTX-DCSYS04</v>
      </c>
      <c r="B167" s="191">
        <f>('Plant loading'!E42)*54.5/1000</f>
        <v>41.856000000000002</v>
      </c>
      <c r="C167" s="191">
        <f>('Plant loading'!AC42)*54.5/1000</f>
        <v>8.6654999999999998</v>
      </c>
      <c r="D167" s="191">
        <f>('Plant loading'!N42)*54.5/1000-C167</f>
        <v>0</v>
      </c>
      <c r="E167" s="192">
        <f>'Plant loading'!J42/2</f>
        <v>66</v>
      </c>
      <c r="F167" s="192" t="str">
        <f>'Plant loading'!C42</f>
        <v>HDR48-ES</v>
      </c>
      <c r="G167" s="193">
        <f t="shared" si="18"/>
        <v>15.478499999999999</v>
      </c>
    </row>
    <row r="168" spans="1:7">
      <c r="A168" s="190" t="str">
        <f>'Plant loading'!B43</f>
        <v>BMGMTX-DCSYS05</v>
      </c>
      <c r="B168" s="191">
        <f>('Plant loading'!E43)*54.5/1000</f>
        <v>42.837000000000003</v>
      </c>
      <c r="C168" s="191">
        <f>('Plant loading'!AC43)*54.5/1000</f>
        <v>5.6680000000000001</v>
      </c>
      <c r="D168" s="191">
        <f>('Plant loading'!N43)*54.5/1000-C168</f>
        <v>0</v>
      </c>
      <c r="E168" s="192">
        <f>'Plant loading'!J43/2</f>
        <v>66</v>
      </c>
      <c r="F168" s="192" t="str">
        <f>'Plant loading'!C43</f>
        <v>HDR48-ES</v>
      </c>
      <c r="G168" s="193">
        <f t="shared" si="18"/>
        <v>17.494999999999997</v>
      </c>
    </row>
    <row r="169" spans="1:7">
      <c r="A169" s="190" t="str">
        <f>'Plant loading'!B44</f>
        <v>BMGMTX-DCSYS06</v>
      </c>
      <c r="B169" s="191">
        <f>('Plant loading'!E44)*54.5/1000</f>
        <v>44.962499999999999</v>
      </c>
      <c r="C169" s="191">
        <f>('Plant loading'!AC44)*54.5/1000</f>
        <v>10.1915</v>
      </c>
      <c r="D169" s="191">
        <f>('Plant loading'!N44)*54.5/1000-C169</f>
        <v>0</v>
      </c>
      <c r="E169" s="192">
        <f>'Plant loading'!J44/2</f>
        <v>66</v>
      </c>
      <c r="F169" s="192" t="str">
        <f>'Plant loading'!C44</f>
        <v>HDR48-ES</v>
      </c>
      <c r="G169" s="193">
        <f t="shared" si="18"/>
        <v>10.846000000000002</v>
      </c>
    </row>
    <row r="170" spans="1:7">
      <c r="A170" s="190" t="str">
        <f>'Plant loading'!B56</f>
        <v>LLDMTX-DCSYS01</v>
      </c>
      <c r="B170" s="191">
        <f>('Plant loading'!E56)*54.5/1000</f>
        <v>49.704000000000001</v>
      </c>
      <c r="C170" s="191">
        <f>('Plant loading'!AC56)*54.5/1000</f>
        <v>3.597</v>
      </c>
      <c r="D170" s="191">
        <f>('Plant loading'!N56)*54.5/1000-C170</f>
        <v>0</v>
      </c>
      <c r="E170" s="192">
        <f>'Plant loading'!J56/2</f>
        <v>66</v>
      </c>
      <c r="F170" s="192" t="str">
        <f>'Plant loading'!C56</f>
        <v>HDR48-ES</v>
      </c>
      <c r="G170" s="193">
        <f t="shared" si="18"/>
        <v>12.699</v>
      </c>
    </row>
    <row r="171" spans="1:7">
      <c r="A171" s="190" t="str">
        <f>'Plant loading'!B57</f>
        <v>LLDMTX-DCSYS02</v>
      </c>
      <c r="B171" s="191">
        <f>('Plant loading'!E57)*54.5/1000</f>
        <v>45.0715</v>
      </c>
      <c r="C171" s="191">
        <f>('Plant loading'!AC57)*54.5/1000</f>
        <v>5.3410000000000002</v>
      </c>
      <c r="D171" s="191">
        <f>('Plant loading'!N57)*54.5/1000-C171</f>
        <v>0</v>
      </c>
      <c r="E171" s="192">
        <f>'Plant loading'!J57/2</f>
        <v>66</v>
      </c>
      <c r="F171" s="192" t="str">
        <f>'Plant loading'!C57</f>
        <v>HDR48-ES</v>
      </c>
      <c r="G171" s="193">
        <f t="shared" si="18"/>
        <v>15.587499999999999</v>
      </c>
    </row>
    <row r="172" spans="1:7">
      <c r="A172" s="190" t="str">
        <f>'Plant loading'!B58</f>
        <v>LLDMTX-DCSYS03</v>
      </c>
      <c r="B172" s="191">
        <f>('Plant loading'!E58)*54.5/1000</f>
        <v>51.774999999999999</v>
      </c>
      <c r="C172" s="191">
        <f>('Plant loading'!AC58)*54.5/1000</f>
        <v>4.6325000000000003</v>
      </c>
      <c r="D172" s="191">
        <f>('Plant loading'!N58)*54.5/1000-C172</f>
        <v>0</v>
      </c>
      <c r="E172" s="192">
        <f>'Plant loading'!J58/2</f>
        <v>66</v>
      </c>
      <c r="F172" s="192" t="str">
        <f>'Plant loading'!C58</f>
        <v>HDR48-ES</v>
      </c>
      <c r="G172" s="193">
        <f t="shared" si="18"/>
        <v>9.5925000000000011</v>
      </c>
    </row>
    <row r="173" spans="1:7">
      <c r="A173" s="190" t="str">
        <f>'Plant loading'!B59</f>
        <v>LLDMTX-DCSYS04</v>
      </c>
      <c r="B173" s="191">
        <f>('Plant loading'!E59)*54.5/1000</f>
        <v>47.2515</v>
      </c>
      <c r="C173" s="191">
        <f>('Plant loading'!AC59)*54.5/1000</f>
        <v>3.597</v>
      </c>
      <c r="D173" s="191">
        <f>('Plant loading'!N59)*54.5/1000-C173</f>
        <v>0</v>
      </c>
      <c r="E173" s="192">
        <f>'Plant loading'!J59/2</f>
        <v>66</v>
      </c>
      <c r="F173" s="192" t="str">
        <f>'Plant loading'!C59</f>
        <v>HDR48-ES</v>
      </c>
      <c r="G173" s="193">
        <f t="shared" si="18"/>
        <v>15.1515</v>
      </c>
    </row>
    <row r="174" spans="1:7">
      <c r="A174" s="190" t="str">
        <f>'Plant loading'!B60</f>
        <v>LLDMTX-DCSYS05</v>
      </c>
      <c r="B174" s="191">
        <f>('Plant loading'!E60)*54.5/1000</f>
        <v>49.758499999999998</v>
      </c>
      <c r="C174" s="191">
        <f>('Plant loading'!AC60)*54.5/1000</f>
        <v>4.3055000000000003</v>
      </c>
      <c r="D174" s="191">
        <f>('Plant loading'!N60)*54.5/1000-C174</f>
        <v>0</v>
      </c>
      <c r="E174" s="192">
        <f>'Plant loading'!J60/2</f>
        <v>66</v>
      </c>
      <c r="F174" s="192" t="str">
        <f>'Plant loading'!C60</f>
        <v>HDR48-ES</v>
      </c>
      <c r="G174" s="193">
        <f t="shared" si="18"/>
        <v>11.936000000000002</v>
      </c>
    </row>
    <row r="175" spans="1:7">
      <c r="A175" s="190" t="str">
        <f>'Plant loading'!B61</f>
        <v>LLDMTX-DCSYS06</v>
      </c>
      <c r="B175" s="191">
        <f>('Plant loading'!E61)*54.5/1000</f>
        <v>48.9955</v>
      </c>
      <c r="C175" s="191">
        <f>('Plant loading'!AC61)*54.5/1000</f>
        <v>3.7605</v>
      </c>
      <c r="D175" s="191">
        <f>('Plant loading'!N61)*54.5/1000-C175</f>
        <v>0</v>
      </c>
      <c r="E175" s="192">
        <f>'Plant loading'!J61/2</f>
        <v>66</v>
      </c>
      <c r="F175" s="192" t="str">
        <f>'Plant loading'!C61</f>
        <v>HDR48-ES</v>
      </c>
      <c r="G175" s="193">
        <f t="shared" si="18"/>
        <v>13.244</v>
      </c>
    </row>
    <row r="176" spans="1:7">
      <c r="A176" s="190" t="str">
        <f>'Plant loading'!B64</f>
        <v>PEAMS</v>
      </c>
      <c r="B176" s="191">
        <f>('Plant loading'!E64)*54.5/1000</f>
        <v>57.225000000000001</v>
      </c>
      <c r="C176" s="191">
        <f>('Plant loading'!AC64)*54.5/1000</f>
        <v>3.2155</v>
      </c>
      <c r="D176" s="191">
        <f>('Plant loading'!N64)*54.5/1000-C176</f>
        <v>0</v>
      </c>
      <c r="E176" s="192">
        <f>'Plant loading'!J64/2</f>
        <v>73.5</v>
      </c>
      <c r="F176" s="192" t="str">
        <f>'Plant loading'!C64</f>
        <v>eSure</v>
      </c>
      <c r="G176" s="193">
        <f t="shared" si="18"/>
        <v>13.059499999999998</v>
      </c>
    </row>
    <row r="177" spans="1:7">
      <c r="A177" s="190" t="str">
        <f>'Plant loading'!B65</f>
        <v>PEBMS</v>
      </c>
      <c r="B177" s="191">
        <f>('Plant loading'!E65)*54.5/1000</f>
        <v>53.682499999999997</v>
      </c>
      <c r="C177" s="191">
        <f>('Plant loading'!AC65)*54.5/1000</f>
        <v>3.6515</v>
      </c>
      <c r="D177" s="191">
        <f>('Plant loading'!N65)*54.5/1000-C177</f>
        <v>0</v>
      </c>
      <c r="E177" s="192">
        <f>'Plant loading'!J65/2</f>
        <v>73.5</v>
      </c>
      <c r="F177" s="192" t="str">
        <f>'Plant loading'!C65</f>
        <v>eSure</v>
      </c>
      <c r="G177" s="193">
        <f t="shared" si="18"/>
        <v>16.166000000000004</v>
      </c>
    </row>
    <row r="178" spans="1:7">
      <c r="A178" s="190" t="str">
        <f>'Plant loading'!B66</f>
        <v>PECMS</v>
      </c>
      <c r="B178" s="191">
        <f>('Plant loading'!E66)*54.5/1000</f>
        <v>53.301000000000002</v>
      </c>
      <c r="C178" s="191">
        <f>('Plant loading'!AC66)*54.5/1000</f>
        <v>4.6325000000000003</v>
      </c>
      <c r="D178" s="191">
        <f>('Plant loading'!N66)*54.5/1000-C178</f>
        <v>0</v>
      </c>
      <c r="E178" s="192">
        <f>'Plant loading'!J66/2</f>
        <v>73.5</v>
      </c>
      <c r="F178" s="192" t="str">
        <f>'Plant loading'!C66</f>
        <v>eSure</v>
      </c>
      <c r="G178" s="193">
        <f t="shared" si="18"/>
        <v>15.566499999999998</v>
      </c>
    </row>
    <row r="179" spans="1:7">
      <c r="A179" s="190" t="str">
        <f>'Plant loading'!B67</f>
        <v>PEDMS</v>
      </c>
      <c r="B179" s="191">
        <f>('Plant loading'!E67)*54.5/1000</f>
        <v>61.585000000000001</v>
      </c>
      <c r="C179" s="191">
        <f>('Plant loading'!AC67)*54.5/1000</f>
        <v>4.9595000000000002</v>
      </c>
      <c r="D179" s="191">
        <f>('Plant loading'!N67)*54.5/1000-C179</f>
        <v>0</v>
      </c>
      <c r="E179" s="192">
        <f>'Plant loading'!J67/2</f>
        <v>73.5</v>
      </c>
      <c r="F179" s="192" t="str">
        <f>'Plant loading'!C67</f>
        <v>eSure</v>
      </c>
      <c r="G179" s="193">
        <f t="shared" si="18"/>
        <v>6.9554999999999989</v>
      </c>
    </row>
    <row r="180" spans="1:7">
      <c r="A180" s="190" t="str">
        <f>'Plant loading'!B68</f>
        <v>PEEMS</v>
      </c>
      <c r="B180" s="191">
        <f>('Plant loading'!E68)*54.5/1000</f>
        <v>57.006999999999998</v>
      </c>
      <c r="C180" s="191">
        <f>('Plant loading'!AC68)*54.5/1000</f>
        <v>2.5070000000000001</v>
      </c>
      <c r="D180" s="191">
        <f>('Plant loading'!N68)*54.5/1000-C180</f>
        <v>0</v>
      </c>
      <c r="E180" s="192">
        <f>'Plant loading'!J68/2</f>
        <v>73.5</v>
      </c>
      <c r="F180" s="192" t="str">
        <f>'Plant loading'!C68</f>
        <v>eSure</v>
      </c>
      <c r="G180" s="193">
        <f t="shared" si="18"/>
        <v>13.986000000000002</v>
      </c>
    </row>
    <row r="181" spans="1:7" ht="10.9" thickBot="1">
      <c r="A181" s="194" t="str">
        <f>'Plant loading'!B69</f>
        <v>PEFMS</v>
      </c>
      <c r="B181" s="195">
        <f>('Plant loading'!E69)*54.5/1000</f>
        <v>56.625500000000002</v>
      </c>
      <c r="C181" s="195">
        <f>('Plant loading'!AC69)*54.5/1000</f>
        <v>3.2155</v>
      </c>
      <c r="D181" s="195">
        <f>('Plant loading'!N69)*54.5/1000-C181</f>
        <v>0</v>
      </c>
      <c r="E181" s="196">
        <f>'Plant loading'!J69/2</f>
        <v>73.5</v>
      </c>
      <c r="F181" s="196" t="str">
        <f>'Plant loading'!C69</f>
        <v>eSure</v>
      </c>
      <c r="G181" s="193">
        <f t="shared" si="18"/>
        <v>13.658999999999997</v>
      </c>
    </row>
    <row r="183" spans="1:7" ht="10.9" thickBot="1"/>
    <row r="184" spans="1:7" ht="13.15">
      <c r="A184" s="183" t="s">
        <v>730</v>
      </c>
      <c r="B184" s="184"/>
      <c r="C184" s="184"/>
      <c r="D184" s="184"/>
      <c r="E184" s="184"/>
      <c r="F184" s="185"/>
      <c r="G184" s="186"/>
    </row>
    <row r="185" spans="1:7">
      <c r="A185" s="187"/>
      <c r="B185" s="188" t="s">
        <v>598</v>
      </c>
      <c r="C185" s="188" t="s">
        <v>379</v>
      </c>
      <c r="D185" s="188" t="s">
        <v>380</v>
      </c>
      <c r="E185" s="188" t="s">
        <v>723</v>
      </c>
      <c r="F185" s="188" t="s">
        <v>584</v>
      </c>
      <c r="G185" s="189" t="s">
        <v>701</v>
      </c>
    </row>
    <row r="186" spans="1:7">
      <c r="A186" s="192" t="str">
        <f>'Plant loading'!B4</f>
        <v>PEAAN</v>
      </c>
      <c r="B186" s="191">
        <f>('Plant loading'!E4)*54.5/1000</f>
        <v>34.552999999999997</v>
      </c>
      <c r="C186" s="191">
        <f>('Plant loading'!AC4)*54.5/1000</f>
        <v>2.9430000000000001</v>
      </c>
      <c r="D186" s="191">
        <f>('Plant loading'!N4)*54.5/1000-C186</f>
        <v>0</v>
      </c>
      <c r="E186" s="192">
        <f>'Plant loading'!J4/2</f>
        <v>63</v>
      </c>
      <c r="F186" s="192" t="str">
        <f>'Plant loading'!C4</f>
        <v>eSure</v>
      </c>
      <c r="G186" s="191">
        <f t="shared" ref="G186:G211" si="19">E186-D186-B186</f>
        <v>28.447000000000003</v>
      </c>
    </row>
    <row r="187" spans="1:7">
      <c r="A187" s="192" t="str">
        <f>'Plant loading'!B5</f>
        <v>PEBAN</v>
      </c>
      <c r="B187" s="191">
        <f>('Plant loading'!E5)*54.5/1000</f>
        <v>33.299500000000002</v>
      </c>
      <c r="C187" s="191">
        <f>('Plant loading'!AC5)*54.5/1000</f>
        <v>2.9430000000000001</v>
      </c>
      <c r="D187" s="191">
        <f>('Plant loading'!N5)*54.5/1000-C187</f>
        <v>0</v>
      </c>
      <c r="E187" s="192">
        <f>'Plant loading'!J5/2</f>
        <v>63</v>
      </c>
      <c r="F187" s="192" t="str">
        <f>'Plant loading'!C5</f>
        <v>eSure</v>
      </c>
      <c r="G187" s="191">
        <f t="shared" si="19"/>
        <v>29.700499999999998</v>
      </c>
    </row>
    <row r="188" spans="1:7">
      <c r="A188" s="192" t="str">
        <f>'Plant loading'!B6</f>
        <v>PECAN</v>
      </c>
      <c r="B188" s="191">
        <f>('Plant loading'!E6)*54.5/1000</f>
        <v>26.16</v>
      </c>
      <c r="C188" s="191">
        <f>('Plant loading'!AC6)*54.5/1000</f>
        <v>2.6160000000000001</v>
      </c>
      <c r="D188" s="191">
        <f>('Plant loading'!N6)*54.5/1000-C188</f>
        <v>0</v>
      </c>
      <c r="E188" s="192">
        <f>'Plant loading'!J6/2</f>
        <v>63</v>
      </c>
      <c r="F188" s="192" t="str">
        <f>'Plant loading'!C6</f>
        <v>eSure</v>
      </c>
      <c r="G188" s="191">
        <f t="shared" si="19"/>
        <v>36.840000000000003</v>
      </c>
    </row>
    <row r="189" spans="1:7">
      <c r="A189" s="192" t="str">
        <f>'Plant loading'!B7</f>
        <v>PEFAN</v>
      </c>
      <c r="B189" s="191">
        <f>('Plant loading'!E7)*54.5/1000</f>
        <v>37.986499999999999</v>
      </c>
      <c r="C189" s="191">
        <f>('Plant loading'!AC7)*54.5/1000</f>
        <v>2.7250000000000001</v>
      </c>
      <c r="D189" s="191">
        <f>('Plant loading'!N7)*54.5/1000-C189</f>
        <v>0</v>
      </c>
      <c r="E189" s="192">
        <f>'Plant loading'!J7/2</f>
        <v>63</v>
      </c>
      <c r="F189" s="192" t="str">
        <f>'Plant loading'!C7</f>
        <v>eSure</v>
      </c>
      <c r="G189" s="191">
        <f t="shared" si="19"/>
        <v>25.013500000000001</v>
      </c>
    </row>
    <row r="190" spans="1:7">
      <c r="A190" s="192" t="str">
        <f>'Plant loading'!B8</f>
        <v>PEGAN</v>
      </c>
      <c r="B190" s="191">
        <f>('Plant loading'!E8)*54.5/1000</f>
        <v>40.384500000000003</v>
      </c>
      <c r="C190" s="191">
        <f>('Plant loading'!AC8)*54.5/1000</f>
        <v>2.6705000000000001</v>
      </c>
      <c r="D190" s="191">
        <f>('Plant loading'!N8)*54.5/1000-C190</f>
        <v>0</v>
      </c>
      <c r="E190" s="192">
        <f>'Plant loading'!J8/2</f>
        <v>63</v>
      </c>
      <c r="F190" s="192" t="str">
        <f>'Plant loading'!C8</f>
        <v>eSure</v>
      </c>
      <c r="G190" s="191">
        <f t="shared" si="19"/>
        <v>22.615499999999997</v>
      </c>
    </row>
    <row r="191" spans="1:7">
      <c r="A191" s="190" t="str">
        <f>'Plant loading'!B17</f>
        <v>PEACY</v>
      </c>
      <c r="B191" s="191">
        <f>('Plant loading'!E17)*54.5/1000</f>
        <v>21.418500000000002</v>
      </c>
      <c r="C191" s="191">
        <f>('Plant loading'!AC17)*54.5/1000</f>
        <v>0</v>
      </c>
      <c r="D191" s="191">
        <f>('Plant loading'!N17)*54.5/1000-C191</f>
        <v>0</v>
      </c>
      <c r="E191" s="192">
        <f>'Plant loading'!J17/2</f>
        <v>63</v>
      </c>
      <c r="F191" s="192" t="str">
        <f>'Plant loading'!C17</f>
        <v>eSure</v>
      </c>
      <c r="G191" s="193">
        <f t="shared" si="19"/>
        <v>41.581499999999998</v>
      </c>
    </row>
    <row r="192" spans="1:7">
      <c r="A192" s="190" t="str">
        <f>'Plant loading'!B18</f>
        <v>PEBCY</v>
      </c>
      <c r="B192" s="191">
        <f>('Plant loading'!E18)*54.5/1000</f>
        <v>27.304500000000001</v>
      </c>
      <c r="C192" s="191">
        <f>('Plant loading'!AC18)*54.5/1000</f>
        <v>0</v>
      </c>
      <c r="D192" s="191">
        <f>('Plant loading'!N18)*54.5/1000-C192</f>
        <v>0</v>
      </c>
      <c r="E192" s="192">
        <f>'Plant loading'!J18/2</f>
        <v>63</v>
      </c>
      <c r="F192" s="192" t="str">
        <f>'Plant loading'!C18</f>
        <v>eSure</v>
      </c>
      <c r="G192" s="193">
        <f t="shared" si="19"/>
        <v>35.695499999999996</v>
      </c>
    </row>
    <row r="193" spans="1:7">
      <c r="A193" s="190" t="str">
        <f>'Plant loading'!B19</f>
        <v>PECCY</v>
      </c>
      <c r="B193" s="191">
        <f>('Plant loading'!E19)*54.5/1000</f>
        <v>33.244999999999997</v>
      </c>
      <c r="C193" s="191">
        <f>('Plant loading'!AC19)*54.5/1000</f>
        <v>0</v>
      </c>
      <c r="D193" s="191">
        <f>('Plant loading'!N19)*54.5/1000-C193</f>
        <v>0</v>
      </c>
      <c r="E193" s="192">
        <f>'Plant loading'!J19/2</f>
        <v>63</v>
      </c>
      <c r="F193" s="192" t="str">
        <f>'Plant loading'!C19</f>
        <v>eSure</v>
      </c>
      <c r="G193" s="193">
        <f t="shared" si="19"/>
        <v>29.755000000000003</v>
      </c>
    </row>
    <row r="194" spans="1:7">
      <c r="A194" s="190" t="str">
        <f>'Plant loading'!B20</f>
        <v>PEDCY</v>
      </c>
      <c r="B194" s="191">
        <f>('Plant loading'!E20)*54.5/1000</f>
        <v>25.887499999999999</v>
      </c>
      <c r="C194" s="191">
        <f>('Plant loading'!AC20)*54.5/1000</f>
        <v>0</v>
      </c>
      <c r="D194" s="191">
        <f>('Plant loading'!N20)*54.5/1000-C194</f>
        <v>0</v>
      </c>
      <c r="E194" s="192">
        <f>'Plant loading'!J20/2</f>
        <v>63</v>
      </c>
      <c r="F194" s="192" t="str">
        <f>'Plant loading'!C20</f>
        <v>eSure</v>
      </c>
      <c r="G194" s="193">
        <f t="shared" si="19"/>
        <v>37.112499999999997</v>
      </c>
    </row>
    <row r="195" spans="1:7">
      <c r="A195" s="190" t="str">
        <f>'Plant loading'!B21</f>
        <v>PEECY</v>
      </c>
      <c r="B195" s="191">
        <f>('Plant loading'!E21)*54.5/1000</f>
        <v>19.3475</v>
      </c>
      <c r="C195" s="191">
        <f>('Plant loading'!AC21)*54.5/1000</f>
        <v>0</v>
      </c>
      <c r="D195" s="191">
        <f>('Plant loading'!N21)*54.5/1000-C195</f>
        <v>0</v>
      </c>
      <c r="E195" s="192">
        <f>'Plant loading'!J21/2</f>
        <v>63</v>
      </c>
      <c r="F195" s="192" t="str">
        <f>'Plant loading'!C21</f>
        <v>eSure</v>
      </c>
      <c r="G195" s="193">
        <f t="shared" si="19"/>
        <v>43.652500000000003</v>
      </c>
    </row>
    <row r="196" spans="1:7">
      <c r="A196" s="190" t="str">
        <f>'Plant loading'!B32</f>
        <v>PEAGR</v>
      </c>
      <c r="B196" s="191">
        <f>('Plant loading'!E32)*54.5/1000</f>
        <v>35.207000000000001</v>
      </c>
      <c r="C196" s="191">
        <f>('Plant loading'!AC32)*54.5/1000</f>
        <v>9.6464999999999996</v>
      </c>
      <c r="D196" s="191">
        <f>('Plant loading'!N32)*54.5/1000-C196</f>
        <v>0</v>
      </c>
      <c r="E196" s="192">
        <f>'Plant loading'!J32/2</f>
        <v>63</v>
      </c>
      <c r="F196" s="192" t="str">
        <f>'Plant loading'!C32</f>
        <v>eSure</v>
      </c>
      <c r="G196" s="193">
        <f t="shared" si="19"/>
        <v>27.792999999999999</v>
      </c>
    </row>
    <row r="197" spans="1:7">
      <c r="A197" s="190" t="str">
        <f>'Plant loading'!B33</f>
        <v>PEBGR</v>
      </c>
      <c r="B197" s="191">
        <f>('Plant loading'!E33)*54.5/1000</f>
        <v>41.692500000000003</v>
      </c>
      <c r="C197" s="191">
        <f>('Plant loading'!AC33)*54.5/1000</f>
        <v>9.7554999999999996</v>
      </c>
      <c r="D197" s="191">
        <f>('Plant loading'!N33)*54.5/1000-C197</f>
        <v>0</v>
      </c>
      <c r="E197" s="192">
        <f>'Plant loading'!J33/2</f>
        <v>63</v>
      </c>
      <c r="F197" s="192" t="str">
        <f>'Plant loading'!C33</f>
        <v>eSure</v>
      </c>
      <c r="G197" s="193">
        <f t="shared" si="19"/>
        <v>21.307499999999997</v>
      </c>
    </row>
    <row r="198" spans="1:7">
      <c r="A198" s="190" t="str">
        <f>'Plant loading'!B34</f>
        <v>PECGR</v>
      </c>
      <c r="B198" s="191">
        <f>('Plant loading'!E34)*54.5/1000</f>
        <v>39.021999999999998</v>
      </c>
      <c r="C198" s="191">
        <f>('Plant loading'!AC34)*54.5/1000</f>
        <v>12.753</v>
      </c>
      <c r="D198" s="191">
        <f>('Plant loading'!N34)*54.5/1000-C198</f>
        <v>0</v>
      </c>
      <c r="E198" s="192">
        <f>'Plant loading'!J34/2</f>
        <v>63</v>
      </c>
      <c r="F198" s="192" t="str">
        <f>'Plant loading'!C34</f>
        <v>eSure</v>
      </c>
      <c r="G198" s="193">
        <f t="shared" si="19"/>
        <v>23.978000000000002</v>
      </c>
    </row>
    <row r="199" spans="1:7">
      <c r="A199" s="190" t="str">
        <f>'Plant loading'!B35</f>
        <v>PEDGR</v>
      </c>
      <c r="B199" s="191">
        <f>('Plant loading'!E35)*54.5/1000</f>
        <v>38.749499999999998</v>
      </c>
      <c r="C199" s="191">
        <f>('Plant loading'!AC35)*54.5/1000</f>
        <v>13.570499999999999</v>
      </c>
      <c r="D199" s="191">
        <f>('Plant loading'!N35)*54.5/1000-C199</f>
        <v>0</v>
      </c>
      <c r="E199" s="192">
        <f>'Plant loading'!J35/2</f>
        <v>63</v>
      </c>
      <c r="F199" s="192" t="str">
        <f>'Plant loading'!C35</f>
        <v>eSure</v>
      </c>
      <c r="G199" s="193">
        <f t="shared" si="19"/>
        <v>24.250500000000002</v>
      </c>
    </row>
    <row r="200" spans="1:7">
      <c r="A200" s="190" t="str">
        <f>'Plant loading'!B36</f>
        <v>PEEGR</v>
      </c>
      <c r="B200" s="191">
        <f>('Plant loading'!E36)*54.5/1000</f>
        <v>38.531500000000001</v>
      </c>
      <c r="C200" s="191">
        <f>('Plant loading'!AC36)*54.5/1000</f>
        <v>12.208</v>
      </c>
      <c r="D200" s="191">
        <f>('Plant loading'!N36)*54.5/1000-C200</f>
        <v>0</v>
      </c>
      <c r="E200" s="192">
        <f>'Plant loading'!J36/2</f>
        <v>63</v>
      </c>
      <c r="F200" s="192" t="str">
        <f>'Plant loading'!C36</f>
        <v>eSure</v>
      </c>
      <c r="G200" s="193">
        <f t="shared" si="19"/>
        <v>24.468499999999999</v>
      </c>
    </row>
    <row r="201" spans="1:7">
      <c r="A201" s="190" t="str">
        <f>'Plant loading'!B72</f>
        <v>OLDMTX-DCSYS01</v>
      </c>
      <c r="B201" s="191">
        <f>('Plant loading'!E72)*54.5/1000</f>
        <v>48.5595</v>
      </c>
      <c r="C201" s="191">
        <f>('Plant loading'!AC72)*54.5/1000</f>
        <v>8.7744999999999997</v>
      </c>
      <c r="D201" s="191">
        <f>('Plant loading'!N72)*54.5/1000-C201</f>
        <v>0</v>
      </c>
      <c r="E201" s="192">
        <f>'Plant loading'!J72/2</f>
        <v>66</v>
      </c>
      <c r="F201" s="192" t="str">
        <f>'Plant loading'!C72</f>
        <v>HDR48-ES</v>
      </c>
      <c r="G201" s="193">
        <f t="shared" si="19"/>
        <v>17.4405</v>
      </c>
    </row>
    <row r="202" spans="1:7">
      <c r="A202" s="190" t="str">
        <f>'Plant loading'!B73</f>
        <v>OLDMTX-DCSYS02</v>
      </c>
      <c r="B202" s="191">
        <f>('Plant loading'!E73)*54.5/1000</f>
        <v>44.962499999999999</v>
      </c>
      <c r="C202" s="191">
        <f>('Plant loading'!AC73)*54.5/1000</f>
        <v>11.663</v>
      </c>
      <c r="D202" s="191">
        <f>('Plant loading'!N73)*54.5/1000-C202</f>
        <v>0</v>
      </c>
      <c r="E202" s="192">
        <f>'Plant loading'!J73/2</f>
        <v>66</v>
      </c>
      <c r="F202" s="192" t="str">
        <f>'Plant loading'!C73</f>
        <v>HDR48-ES</v>
      </c>
      <c r="G202" s="193">
        <f t="shared" si="19"/>
        <v>21.037500000000001</v>
      </c>
    </row>
    <row r="203" spans="1:7">
      <c r="A203" s="190" t="str">
        <f>'Plant loading'!B74</f>
        <v>OLDMTX-DCSYS03</v>
      </c>
      <c r="B203" s="191">
        <f>('Plant loading'!E74)*54.5/1000</f>
        <v>44.526499999999999</v>
      </c>
      <c r="C203" s="191">
        <f>('Plant loading'!AC74)*54.5/1000</f>
        <v>5.6135000000000002</v>
      </c>
      <c r="D203" s="191">
        <f>('Plant loading'!N74)*54.5/1000-C203</f>
        <v>0</v>
      </c>
      <c r="E203" s="192">
        <f>'Plant loading'!J74/2</f>
        <v>66</v>
      </c>
      <c r="F203" s="192" t="str">
        <f>'Plant loading'!C74</f>
        <v>HDR48-ES</v>
      </c>
      <c r="G203" s="193">
        <f t="shared" si="19"/>
        <v>21.473500000000001</v>
      </c>
    </row>
    <row r="204" spans="1:7">
      <c r="A204" s="190" t="str">
        <f>'Plant loading'!B75</f>
        <v>OLDMTX-DCSYS04</v>
      </c>
      <c r="B204" s="191">
        <f>('Plant loading'!E75)*54.5/1000</f>
        <v>33.899000000000001</v>
      </c>
      <c r="C204" s="191">
        <f>('Plant loading'!AC75)*54.5/1000</f>
        <v>10.791</v>
      </c>
      <c r="D204" s="191">
        <f>('Plant loading'!N75)*54.5/1000-C204</f>
        <v>0</v>
      </c>
      <c r="E204" s="192">
        <f>'Plant loading'!J75/2</f>
        <v>51</v>
      </c>
      <c r="F204" s="192" t="str">
        <f>'Plant loading'!C75</f>
        <v>HDR48-ES</v>
      </c>
      <c r="G204" s="193">
        <f t="shared" si="19"/>
        <v>17.100999999999999</v>
      </c>
    </row>
    <row r="205" spans="1:7">
      <c r="A205" s="190" t="str">
        <f>'Plant loading'!B76</f>
        <v>OLDMTX-DCSYS05</v>
      </c>
      <c r="B205" s="191">
        <f>('Plant loading'!E76)*54.5/1000</f>
        <v>35.316000000000003</v>
      </c>
      <c r="C205" s="191">
        <f>('Plant loading'!AC76)*54.5/1000</f>
        <v>8.6110000000000007</v>
      </c>
      <c r="D205" s="191">
        <f>('Plant loading'!N76)*54.5/1000-C205</f>
        <v>0</v>
      </c>
      <c r="E205" s="192">
        <f>'Plant loading'!J76/2</f>
        <v>66</v>
      </c>
      <c r="F205" s="192" t="str">
        <f>'Plant loading'!C76</f>
        <v>HDR48-ES</v>
      </c>
      <c r="G205" s="193">
        <f t="shared" si="19"/>
        <v>30.683999999999997</v>
      </c>
    </row>
    <row r="206" spans="1:7">
      <c r="A206" s="190" t="str">
        <f>'Plant loading'!B77</f>
        <v>OLDMTX-DCSYS06</v>
      </c>
      <c r="B206" s="191">
        <f>('Plant loading'!E77)*54.5/1000</f>
        <v>35.152500000000003</v>
      </c>
      <c r="C206" s="191">
        <f>('Plant loading'!AC77)*54.5/1000</f>
        <v>12.426</v>
      </c>
      <c r="D206" s="191">
        <f>('Plant loading'!N77)*54.5/1000-C206</f>
        <v>0</v>
      </c>
      <c r="E206" s="192">
        <f>'Plant loading'!J77/2</f>
        <v>66</v>
      </c>
      <c r="F206" s="192" t="str">
        <f>'Plant loading'!C77</f>
        <v>HDR48-ES</v>
      </c>
      <c r="G206" s="193">
        <f t="shared" si="19"/>
        <v>30.847499999999997</v>
      </c>
    </row>
    <row r="207" spans="1:7">
      <c r="A207" s="190" t="str">
        <f>'Plant loading'!B80</f>
        <v>PEARM</v>
      </c>
      <c r="B207" s="191">
        <f>('Plant loading'!E80)*54.5/1000</f>
        <v>21.582000000000001</v>
      </c>
      <c r="C207" s="191">
        <f>('Plant loading'!AC80)*54.5/1000</f>
        <v>0</v>
      </c>
      <c r="D207" s="191">
        <f>('Plant loading'!N80)*54.5/1000-C207</f>
        <v>0</v>
      </c>
      <c r="E207" s="192">
        <f>'Plant loading'!J80/2</f>
        <v>63</v>
      </c>
      <c r="F207" s="192" t="str">
        <f>'Plant loading'!C80</f>
        <v>eSure</v>
      </c>
      <c r="G207" s="193">
        <f t="shared" si="19"/>
        <v>41.417999999999999</v>
      </c>
    </row>
    <row r="208" spans="1:7">
      <c r="A208" s="190" t="str">
        <f>'Plant loading'!B81</f>
        <v>PEBRM</v>
      </c>
      <c r="B208" s="191">
        <f>('Plant loading'!E81)*54.5/1000</f>
        <v>23.598500000000001</v>
      </c>
      <c r="C208" s="191">
        <f>('Plant loading'!AC81)*54.5/1000</f>
        <v>0</v>
      </c>
      <c r="D208" s="191">
        <f>('Plant loading'!N81)*54.5/1000-C208</f>
        <v>0</v>
      </c>
      <c r="E208" s="192">
        <f>'Plant loading'!J81/2</f>
        <v>63</v>
      </c>
      <c r="F208" s="192" t="str">
        <f>'Plant loading'!C81</f>
        <v>eSure</v>
      </c>
      <c r="G208" s="193">
        <f t="shared" si="19"/>
        <v>39.401499999999999</v>
      </c>
    </row>
    <row r="209" spans="1:7">
      <c r="A209" s="190" t="str">
        <f>'Plant loading'!B82</f>
        <v>PECRM</v>
      </c>
      <c r="B209" s="191">
        <f>('Plant loading'!E82)*54.5/1000</f>
        <v>28.721499999999999</v>
      </c>
      <c r="C209" s="191">
        <f>('Plant loading'!AC82)*54.5/1000</f>
        <v>0</v>
      </c>
      <c r="D209" s="191">
        <f>('Plant loading'!N82)*54.5/1000-C209</f>
        <v>0</v>
      </c>
      <c r="E209" s="192">
        <f>'Plant loading'!J82/2</f>
        <v>63</v>
      </c>
      <c r="F209" s="192" t="str">
        <f>'Plant loading'!C82</f>
        <v>eSure</v>
      </c>
      <c r="G209" s="193">
        <f t="shared" si="19"/>
        <v>34.278500000000001</v>
      </c>
    </row>
    <row r="210" spans="1:7">
      <c r="A210" s="190" t="str">
        <f>'Plant loading'!B83</f>
        <v>PEDRM</v>
      </c>
      <c r="B210" s="191">
        <f>('Plant loading'!E83)*54.5/1000</f>
        <v>13.952</v>
      </c>
      <c r="C210" s="191">
        <f>('Plant loading'!AC83)*54.5/1000</f>
        <v>0</v>
      </c>
      <c r="D210" s="191">
        <f>('Plant loading'!N83)*54.5/1000-C210</f>
        <v>0</v>
      </c>
      <c r="E210" s="192">
        <f>'Plant loading'!J83/2</f>
        <v>63</v>
      </c>
      <c r="F210" s="192" t="str">
        <f>'Plant loading'!C83</f>
        <v>eSure</v>
      </c>
      <c r="G210" s="193">
        <f t="shared" si="19"/>
        <v>49.048000000000002</v>
      </c>
    </row>
    <row r="211" spans="1:7" ht="10.9" thickBot="1">
      <c r="A211" s="194" t="str">
        <f>'Plant loading'!B84</f>
        <v>PEERM</v>
      </c>
      <c r="B211" s="195">
        <f>('Plant loading'!E84)*54.5/1000</f>
        <v>11.608499999999999</v>
      </c>
      <c r="C211" s="195">
        <f>('Plant loading'!AC84)*54.5/1000</f>
        <v>0</v>
      </c>
      <c r="D211" s="195">
        <f>('Plant loading'!N84)*54.5/1000-C211</f>
        <v>0</v>
      </c>
      <c r="E211" s="196">
        <f>'Plant loading'!J84/2</f>
        <v>63</v>
      </c>
      <c r="F211" s="196" t="str">
        <f>'Plant loading'!C84</f>
        <v>eSure</v>
      </c>
      <c r="G211" s="197">
        <f t="shared" si="19"/>
        <v>51.391500000000001</v>
      </c>
    </row>
    <row r="212" spans="1:7">
      <c r="A212" s="5"/>
      <c r="B212" s="5"/>
      <c r="C212" s="5"/>
      <c r="D212" s="5"/>
      <c r="E212" s="5"/>
      <c r="F212" s="5"/>
    </row>
    <row r="213" spans="1:7">
      <c r="A213" s="198" t="s">
        <v>731</v>
      </c>
      <c r="B213" s="5"/>
      <c r="C213" s="5"/>
      <c r="D213" s="5"/>
      <c r="E213" s="5"/>
      <c r="F213" s="5"/>
    </row>
    <row r="214" spans="1:7">
      <c r="A214" s="5"/>
      <c r="B214" s="9" t="s">
        <v>598</v>
      </c>
      <c r="C214" s="9" t="s">
        <v>379</v>
      </c>
      <c r="D214" s="9" t="s">
        <v>380</v>
      </c>
      <c r="E214" s="9" t="s">
        <v>723</v>
      </c>
      <c r="F214" s="9" t="s">
        <v>584</v>
      </c>
      <c r="G214" s="9" t="s">
        <v>701</v>
      </c>
    </row>
    <row r="215" spans="1:7">
      <c r="A215" s="5" t="str">
        <f>'Plant loading'!B22</f>
        <v>PECEH</v>
      </c>
      <c r="B215" s="43">
        <f>('Plant loading'!E22)*54.5/1000</f>
        <v>46.433999999999997</v>
      </c>
      <c r="C215" s="43">
        <f>('Plant loading'!AC22)*54.5/1000</f>
        <v>10.5185</v>
      </c>
      <c r="D215" s="43">
        <f>('Plant loading'!N22)*54.5/1000-C215</f>
        <v>0</v>
      </c>
      <c r="E215" s="5">
        <f>'Plant loading'!J22/2</f>
        <v>63</v>
      </c>
      <c r="F215" s="5" t="str">
        <f>'Plant loading'!C22</f>
        <v>eSure</v>
      </c>
      <c r="G215" s="43">
        <f t="shared" ref="G215:G243" si="20">E215-D215-B215</f>
        <v>16.566000000000003</v>
      </c>
    </row>
    <row r="216" spans="1:7">
      <c r="A216" s="5" t="str">
        <f>'Plant loading'!B23</f>
        <v>PEDEH</v>
      </c>
      <c r="B216" s="43">
        <f>('Plant loading'!E23)*54.5/1000</f>
        <v>49.704000000000001</v>
      </c>
      <c r="C216" s="43">
        <f>('Plant loading'!AC23)*54.5/1000</f>
        <v>10.3005</v>
      </c>
      <c r="D216" s="43">
        <f>('Plant loading'!N23)*54.5/1000-C216</f>
        <v>0</v>
      </c>
      <c r="E216" s="5">
        <f>'Plant loading'!J23/2</f>
        <v>63</v>
      </c>
      <c r="F216" s="5" t="str">
        <f>'Plant loading'!C23</f>
        <v>eSure</v>
      </c>
      <c r="G216" s="43">
        <f t="shared" si="20"/>
        <v>13.295999999999999</v>
      </c>
    </row>
    <row r="217" spans="1:7">
      <c r="A217" s="5" t="str">
        <f>'Plant loading'!B24</f>
        <v>PEEEH</v>
      </c>
      <c r="B217" s="43">
        <f>('Plant loading'!E24)*54.5/1000</f>
        <v>48.014499999999998</v>
      </c>
      <c r="C217" s="43">
        <f>('Plant loading'!AC24)*54.5/1000</f>
        <v>10.0825</v>
      </c>
      <c r="D217" s="43">
        <f>('Plant loading'!N24)*54.5/1000-C217</f>
        <v>0</v>
      </c>
      <c r="E217" s="5">
        <f>'Plant loading'!J24/2</f>
        <v>63</v>
      </c>
      <c r="F217" s="5" t="str">
        <f>'Plant loading'!C24</f>
        <v>eSure</v>
      </c>
      <c r="G217" s="43">
        <f t="shared" si="20"/>
        <v>14.985500000000002</v>
      </c>
    </row>
    <row r="218" spans="1:7">
      <c r="A218" s="5" t="str">
        <f>'Plant loading'!B25</f>
        <v>PEFEH</v>
      </c>
      <c r="B218" s="43">
        <f>('Plant loading'!E25)*54.5/1000</f>
        <v>45.234999999999999</v>
      </c>
      <c r="C218" s="43">
        <f>('Plant loading'!AC25)*54.5/1000</f>
        <v>8.8834999999999997</v>
      </c>
      <c r="D218" s="43">
        <f>('Plant loading'!N25)*54.5/1000-C218</f>
        <v>0</v>
      </c>
      <c r="E218" s="5">
        <f>'Plant loading'!J25/2</f>
        <v>63</v>
      </c>
      <c r="F218" s="5" t="str">
        <f>'Plant loading'!C25</f>
        <v>eSure</v>
      </c>
      <c r="G218" s="43">
        <f t="shared" si="20"/>
        <v>17.765000000000001</v>
      </c>
    </row>
    <row r="219" spans="1:7">
      <c r="A219" s="5" t="str">
        <f>'Plant loading'!B26</f>
        <v>PEGEH</v>
      </c>
      <c r="B219" s="43">
        <f>('Plant loading'!E26)*54.5/1000</f>
        <v>52.592500000000001</v>
      </c>
      <c r="C219" s="43">
        <f>('Plant loading'!AC26)*54.5/1000</f>
        <v>10.3005</v>
      </c>
      <c r="D219" s="43">
        <f>('Plant loading'!N26)*54.5/1000-C219</f>
        <v>0</v>
      </c>
      <c r="E219" s="5">
        <f>'Plant loading'!J26/2</f>
        <v>63</v>
      </c>
      <c r="F219" s="5" t="str">
        <f>'Plant loading'!C26</f>
        <v>eSure</v>
      </c>
      <c r="G219" s="43">
        <f t="shared" si="20"/>
        <v>10.407499999999999</v>
      </c>
    </row>
    <row r="220" spans="1:7">
      <c r="A220" s="5" t="str">
        <f>'Plant loading'!B28</f>
        <v>PEDER</v>
      </c>
      <c r="B220" s="43">
        <f>('Plant loading'!E28)*54.5/1000</f>
        <v>22.89</v>
      </c>
      <c r="C220" s="43">
        <f>('Plant loading'!AC28)*54.5/1000</f>
        <v>0</v>
      </c>
      <c r="D220" s="43">
        <f>('Plant loading'!N28)*54.5/1000-C220</f>
        <v>0</v>
      </c>
      <c r="E220" s="5">
        <f>'Plant loading'!J28/2</f>
        <v>63</v>
      </c>
      <c r="F220" s="5" t="str">
        <f>'Plant loading'!C28</f>
        <v>eSure</v>
      </c>
      <c r="G220" s="43">
        <f t="shared" si="20"/>
        <v>40.11</v>
      </c>
    </row>
    <row r="221" spans="1:7">
      <c r="A221" s="5" t="str">
        <f>'Plant loading'!B29</f>
        <v>PEEER</v>
      </c>
      <c r="B221" s="43">
        <f>('Plant loading'!E29)*54.5/1000</f>
        <v>18.9115</v>
      </c>
      <c r="C221" s="43">
        <f>('Plant loading'!AC29)*54.5/1000</f>
        <v>0</v>
      </c>
      <c r="D221" s="43">
        <f>('Plant loading'!N29)*54.5/1000-C221</f>
        <v>0</v>
      </c>
      <c r="E221" s="5">
        <f>'Plant loading'!J29/2</f>
        <v>63</v>
      </c>
      <c r="F221" s="5" t="str">
        <f>'Plant loading'!C29</f>
        <v>eSure</v>
      </c>
      <c r="G221" s="43">
        <f t="shared" si="20"/>
        <v>44.088499999999996</v>
      </c>
    </row>
    <row r="222" spans="1:7">
      <c r="A222" s="5" t="str">
        <f>'Plant loading'!B30</f>
        <v>PEFER</v>
      </c>
      <c r="B222" s="43">
        <f>('Plant loading'!E30)*54.5/1000</f>
        <v>23.762</v>
      </c>
      <c r="C222" s="43">
        <f>('Plant loading'!AC30)*54.5/1000</f>
        <v>0</v>
      </c>
      <c r="D222" s="43">
        <f>('Plant loading'!N30)*54.5/1000-C222</f>
        <v>0</v>
      </c>
      <c r="E222" s="5">
        <f>'Plant loading'!J30/2</f>
        <v>63</v>
      </c>
      <c r="F222" s="5" t="str">
        <f>'Plant loading'!C30</f>
        <v>eSure</v>
      </c>
      <c r="G222" s="43">
        <f t="shared" si="20"/>
        <v>39.238</v>
      </c>
    </row>
    <row r="223" spans="1:7">
      <c r="A223" s="5" t="str">
        <f>'Plant loading'!B31</f>
        <v>PEGER</v>
      </c>
      <c r="B223" s="43">
        <f>('Plant loading'!E31)*54.5/1000</f>
        <v>17.004000000000001</v>
      </c>
      <c r="C223" s="43">
        <f>('Plant loading'!AC31)*54.5/1000</f>
        <v>0</v>
      </c>
      <c r="D223" s="43">
        <f>('Plant loading'!N31)*54.5/1000-C223</f>
        <v>0</v>
      </c>
      <c r="E223" s="5">
        <f>'Plant loading'!J31/2</f>
        <v>63</v>
      </c>
      <c r="F223" s="5" t="str">
        <f>'Plant loading'!C31</f>
        <v>eSure</v>
      </c>
      <c r="G223" s="43">
        <f t="shared" si="20"/>
        <v>45.995999999999995</v>
      </c>
    </row>
    <row r="224" spans="1:7">
      <c r="A224" s="5" t="str">
        <f>'Plant loading'!B47</f>
        <v>PEAKS</v>
      </c>
      <c r="B224" s="43">
        <f>('Plant loading'!E47)*54.5/1000</f>
        <v>13.243499999999999</v>
      </c>
      <c r="C224" s="43">
        <f>('Plant loading'!AC47)*54.5/1000</f>
        <v>0</v>
      </c>
      <c r="D224" s="43">
        <f>('Plant loading'!N47)*54.5/1000-C224</f>
        <v>0</v>
      </c>
      <c r="E224" s="5">
        <f>'Plant loading'!J47/2</f>
        <v>42</v>
      </c>
      <c r="F224" s="5" t="str">
        <f>'Plant loading'!C47</f>
        <v>eSure</v>
      </c>
      <c r="G224" s="43">
        <f t="shared" si="20"/>
        <v>28.756500000000003</v>
      </c>
    </row>
    <row r="225" spans="1:7">
      <c r="A225" s="5" t="str">
        <f>'Plant loading'!B48</f>
        <v>PEBKS</v>
      </c>
      <c r="B225" s="43">
        <f>('Plant loading'!E48)*54.5/1000</f>
        <v>17.876000000000001</v>
      </c>
      <c r="C225" s="43">
        <f>('Plant loading'!AC48)*54.5/1000</f>
        <v>0</v>
      </c>
      <c r="D225" s="43">
        <f>('Plant loading'!N48)*54.5/1000-C225</f>
        <v>0</v>
      </c>
      <c r="E225" s="5">
        <f>'Plant loading'!J48/2</f>
        <v>52.5</v>
      </c>
      <c r="F225" s="5" t="str">
        <f>'Plant loading'!C48</f>
        <v>eSure</v>
      </c>
      <c r="G225" s="43">
        <f t="shared" si="20"/>
        <v>34.623999999999995</v>
      </c>
    </row>
    <row r="226" spans="1:7">
      <c r="A226" s="5" t="e">
        <f>'Plant loading'!#REF!</f>
        <v>#REF!</v>
      </c>
      <c r="B226" s="43" t="e">
        <f>('Plant loading'!#REF!)*54.5/1000</f>
        <v>#REF!</v>
      </c>
      <c r="C226" s="43" t="e">
        <f>('Plant loading'!#REF!)*54.5/1000</f>
        <v>#REF!</v>
      </c>
      <c r="D226" s="43" t="e">
        <f>('Plant loading'!#REF!)*54.5/1000-C226</f>
        <v>#REF!</v>
      </c>
      <c r="E226" s="5" t="e">
        <f>'Plant loading'!#REF!/2</f>
        <v>#REF!</v>
      </c>
      <c r="F226" s="5" t="e">
        <f>'Plant loading'!#REF!</f>
        <v>#REF!</v>
      </c>
      <c r="G226" s="43" t="e">
        <f t="shared" si="20"/>
        <v>#REF!</v>
      </c>
    </row>
    <row r="227" spans="1:7">
      <c r="A227" s="5" t="e">
        <f>'Plant loading'!#REF!</f>
        <v>#REF!</v>
      </c>
      <c r="B227" s="43" t="e">
        <f>('Plant loading'!#REF!)*54.5/1000</f>
        <v>#REF!</v>
      </c>
      <c r="C227" s="43" t="e">
        <f>('Plant loading'!#REF!)*54.5/1000</f>
        <v>#REF!</v>
      </c>
      <c r="D227" s="43" t="e">
        <f>('Plant loading'!#REF!)*54.5/1000-C227</f>
        <v>#REF!</v>
      </c>
      <c r="E227" s="5" t="e">
        <f>'Plant loading'!#REF!/2</f>
        <v>#REF!</v>
      </c>
      <c r="F227" s="5" t="e">
        <f>'Plant loading'!#REF!</f>
        <v>#REF!</v>
      </c>
      <c r="G227" s="43" t="e">
        <f t="shared" si="20"/>
        <v>#REF!</v>
      </c>
    </row>
    <row r="228" spans="1:7">
      <c r="A228" s="5" t="str">
        <f>'Plant loading'!B49</f>
        <v>PEEKS</v>
      </c>
      <c r="B228" s="43">
        <f>('Plant loading'!E49)*54.5/1000</f>
        <v>5.45</v>
      </c>
      <c r="C228" s="43">
        <f>('Plant loading'!AC49)*54.5/1000</f>
        <v>0</v>
      </c>
      <c r="D228" s="43">
        <f>('Plant loading'!N49)*54.5/1000-C228</f>
        <v>0</v>
      </c>
      <c r="E228" s="5">
        <f>'Plant loading'!J49/2</f>
        <v>21</v>
      </c>
      <c r="F228" s="5" t="str">
        <f>'Plant loading'!C49</f>
        <v>eSure</v>
      </c>
      <c r="G228" s="43">
        <f t="shared" si="20"/>
        <v>15.55</v>
      </c>
    </row>
    <row r="229" spans="1:7">
      <c r="A229" s="5" t="str">
        <f>'Plant loading'!B50</f>
        <v>PEIKS</v>
      </c>
      <c r="B229" s="43">
        <f>('Plant loading'!E50)*54.5/1000</f>
        <v>29.375499999999999</v>
      </c>
      <c r="C229" s="43">
        <f>('Plant loading'!AC50)*54.5/1000</f>
        <v>0</v>
      </c>
      <c r="D229" s="43">
        <f>('Plant loading'!N50)*54.5/1000-C229</f>
        <v>0</v>
      </c>
      <c r="E229" s="5">
        <f>'Plant loading'!J50/2</f>
        <v>63</v>
      </c>
      <c r="F229" s="5" t="str">
        <f>'Plant loading'!C50</f>
        <v>eSure</v>
      </c>
      <c r="G229" s="43">
        <f t="shared" si="20"/>
        <v>33.624499999999998</v>
      </c>
    </row>
    <row r="230" spans="1:7">
      <c r="A230" s="5" t="str">
        <f>'Plant loading'!B51</f>
        <v>PEJKS</v>
      </c>
      <c r="B230" s="43">
        <f>('Plant loading'!E51)*54.5/1000</f>
        <v>13.734</v>
      </c>
      <c r="C230" s="43">
        <f>('Plant loading'!AC51)*54.5/1000</f>
        <v>0</v>
      </c>
      <c r="D230" s="43">
        <f>('Plant loading'!N51)*54.5/1000-C230</f>
        <v>0</v>
      </c>
      <c r="E230" s="5">
        <f>'Plant loading'!J51/2</f>
        <v>63</v>
      </c>
      <c r="F230" s="5" t="str">
        <f>'Plant loading'!C51</f>
        <v>eSure</v>
      </c>
      <c r="G230" s="43">
        <f t="shared" si="20"/>
        <v>49.265999999999998</v>
      </c>
    </row>
    <row r="231" spans="1:7">
      <c r="A231" s="5" t="str">
        <f>'Plant loading'!B52</f>
        <v>PEKKS</v>
      </c>
      <c r="B231" s="43">
        <f>('Plant loading'!E52)*54.5/1000</f>
        <v>25.07</v>
      </c>
      <c r="C231" s="43">
        <f>('Plant loading'!AC52)*54.5/1000</f>
        <v>0</v>
      </c>
      <c r="D231" s="43">
        <f>('Plant loading'!N52)*54.5/1000-C231</f>
        <v>0</v>
      </c>
      <c r="E231" s="5">
        <f>'Plant loading'!J52/2</f>
        <v>52.5</v>
      </c>
      <c r="F231" s="5" t="str">
        <f>'Plant loading'!C52</f>
        <v>eSure</v>
      </c>
      <c r="G231" s="43">
        <f t="shared" si="20"/>
        <v>27.43</v>
      </c>
    </row>
    <row r="232" spans="1:7">
      <c r="A232" s="5" t="str">
        <f>'Plant loading'!B53</f>
        <v>PELKS</v>
      </c>
      <c r="B232" s="43">
        <f>('Plant loading'!E53)*54.5/1000</f>
        <v>8.7744999999999997</v>
      </c>
      <c r="C232" s="43">
        <f>('Plant loading'!AC53)*54.5/1000</f>
        <v>0</v>
      </c>
      <c r="D232" s="43">
        <f>('Plant loading'!N53)*54.5/1000-C232</f>
        <v>0</v>
      </c>
      <c r="E232" s="5">
        <f>'Plant loading'!J53/2</f>
        <v>42</v>
      </c>
      <c r="F232" s="5" t="str">
        <f>'Plant loading'!C53</f>
        <v>eSure</v>
      </c>
      <c r="G232" s="43">
        <f t="shared" si="20"/>
        <v>33.225499999999997</v>
      </c>
    </row>
    <row r="233" spans="1:7">
      <c r="A233" s="5" t="str">
        <f>'Plant loading'!B54</f>
        <v>PEMKS</v>
      </c>
      <c r="B233" s="43">
        <f>('Plant loading'!E54)*54.5/1000</f>
        <v>7.9024999999999999</v>
      </c>
      <c r="C233" s="43">
        <f>('Plant loading'!AC54)*54.5/1000</f>
        <v>0</v>
      </c>
      <c r="D233" s="43">
        <f>('Plant loading'!N54)*54.5/1000-C233</f>
        <v>0</v>
      </c>
      <c r="E233" s="5">
        <f>'Plant loading'!J54/2</f>
        <v>42</v>
      </c>
      <c r="F233" s="5" t="str">
        <f>'Plant loading'!C54</f>
        <v>eSure</v>
      </c>
      <c r="G233" s="43">
        <f t="shared" si="20"/>
        <v>34.097499999999997</v>
      </c>
    </row>
    <row r="234" spans="1:7">
      <c r="A234" s="5" t="str">
        <f>'Plant loading'!B55</f>
        <v>PENKS</v>
      </c>
      <c r="B234" s="43">
        <f>('Plant loading'!E55)*54.5/1000</f>
        <v>5.5590000000000002</v>
      </c>
      <c r="C234" s="43">
        <f>('Plant loading'!AC55)*54.5/1000</f>
        <v>0</v>
      </c>
      <c r="D234" s="43">
        <f>('Plant loading'!N55)*54.5/1000-C234</f>
        <v>0</v>
      </c>
      <c r="E234" s="5">
        <f>'Plant loading'!J55/2</f>
        <v>21</v>
      </c>
      <c r="F234" s="5" t="str">
        <f>'Plant loading'!C55</f>
        <v>eSure</v>
      </c>
      <c r="G234" s="43">
        <f t="shared" si="20"/>
        <v>15.440999999999999</v>
      </c>
    </row>
    <row r="235" spans="1:7">
      <c r="A235" s="5" t="str">
        <f>'Plant loading'!B85</f>
        <v>PEASN</v>
      </c>
      <c r="B235" s="43">
        <f>('Plant loading'!E85)*54.5/1000</f>
        <v>19.62</v>
      </c>
      <c r="C235" s="43">
        <f>('Plant loading'!AC85)*54.5/1000</f>
        <v>0</v>
      </c>
      <c r="D235" s="43">
        <f>('Plant loading'!N85)*54.5/1000-C235</f>
        <v>0</v>
      </c>
      <c r="E235" s="5">
        <f>'Plant loading'!J85/2</f>
        <v>63</v>
      </c>
      <c r="F235" s="5" t="str">
        <f>'Plant loading'!C85</f>
        <v>eSure</v>
      </c>
      <c r="G235" s="43">
        <f t="shared" si="20"/>
        <v>43.379999999999995</v>
      </c>
    </row>
    <row r="236" spans="1:7">
      <c r="A236" s="5" t="str">
        <f>'Plant loading'!B86</f>
        <v>PEBSN</v>
      </c>
      <c r="B236" s="43">
        <f>('Plant loading'!E86)*54.5/1000</f>
        <v>28.394500000000001</v>
      </c>
      <c r="C236" s="43">
        <f>('Plant loading'!AC86)*54.5/1000</f>
        <v>0</v>
      </c>
      <c r="D236" s="43">
        <f>('Plant loading'!N86)*54.5/1000-C236</f>
        <v>0</v>
      </c>
      <c r="E236" s="5">
        <f>'Plant loading'!J86/2</f>
        <v>63</v>
      </c>
      <c r="F236" s="5" t="str">
        <f>'Plant loading'!C86</f>
        <v>eSure</v>
      </c>
      <c r="G236" s="43">
        <f t="shared" si="20"/>
        <v>34.605499999999999</v>
      </c>
    </row>
    <row r="237" spans="1:7">
      <c r="A237" s="5" t="str">
        <f>'Plant loading'!B87</f>
        <v>PECSN</v>
      </c>
      <c r="B237" s="43">
        <f>('Plant loading'!E87)*54.5/1000</f>
        <v>25.942</v>
      </c>
      <c r="C237" s="43">
        <f>('Plant loading'!AC87)*54.5/1000</f>
        <v>0</v>
      </c>
      <c r="D237" s="43">
        <f>('Plant loading'!N87)*54.5/1000-C237</f>
        <v>0</v>
      </c>
      <c r="E237" s="5">
        <f>'Plant loading'!J87/2</f>
        <v>63</v>
      </c>
      <c r="F237" s="5" t="str">
        <f>'Plant loading'!C87</f>
        <v>eSure</v>
      </c>
      <c r="G237" s="43">
        <f t="shared" si="20"/>
        <v>37.058</v>
      </c>
    </row>
    <row r="238" spans="1:7">
      <c r="A238" s="5" t="str">
        <f>'Plant loading'!B88</f>
        <v>PEESN</v>
      </c>
      <c r="B238" s="43">
        <f>('Plant loading'!E88)*54.5/1000</f>
        <v>18.748000000000001</v>
      </c>
      <c r="C238" s="43">
        <f>('Plant loading'!AC88)*54.5/1000</f>
        <v>0</v>
      </c>
      <c r="D238" s="43">
        <f>('Plant loading'!N88)*54.5/1000-C238</f>
        <v>0</v>
      </c>
      <c r="E238" s="5">
        <f>'Plant loading'!J88/2</f>
        <v>63</v>
      </c>
      <c r="F238" s="5" t="str">
        <f>'Plant loading'!C88</f>
        <v>eSure</v>
      </c>
      <c r="G238" s="43">
        <f t="shared" si="20"/>
        <v>44.251999999999995</v>
      </c>
    </row>
    <row r="239" spans="1:7">
      <c r="A239" s="5" t="str">
        <f>'Plant loading'!B89</f>
        <v>PEASY</v>
      </c>
      <c r="B239" s="43">
        <f>('Plant loading'!E89)*54.5/1000</f>
        <v>29.811499999999999</v>
      </c>
      <c r="C239" s="43">
        <f>('Plant loading'!AC89)*54.5/1000</f>
        <v>0</v>
      </c>
      <c r="D239" s="43">
        <f>('Plant loading'!N89)*54.5/1000-C239</f>
        <v>0</v>
      </c>
      <c r="E239" s="5">
        <f>'Plant loading'!J89/2</f>
        <v>63</v>
      </c>
      <c r="F239" s="5" t="str">
        <f>'Plant loading'!C89</f>
        <v>eSure</v>
      </c>
      <c r="G239" s="43">
        <f t="shared" si="20"/>
        <v>33.188500000000005</v>
      </c>
    </row>
    <row r="240" spans="1:7">
      <c r="A240" s="5" t="str">
        <f>'Plant loading'!B90</f>
        <v>PEBSY</v>
      </c>
      <c r="B240" s="43">
        <f>('Plant loading'!E90)*54.5/1000</f>
        <v>25.614999999999998</v>
      </c>
      <c r="C240" s="43">
        <f>('Plant loading'!AC90)*54.5/1000</f>
        <v>0</v>
      </c>
      <c r="D240" s="43">
        <f>('Plant loading'!N90)*54.5/1000-C240</f>
        <v>0</v>
      </c>
      <c r="E240" s="5">
        <f>'Plant loading'!J90/2</f>
        <v>63</v>
      </c>
      <c r="F240" s="5" t="str">
        <f>'Plant loading'!C90</f>
        <v>eSure</v>
      </c>
      <c r="G240" s="43">
        <f t="shared" si="20"/>
        <v>37.385000000000005</v>
      </c>
    </row>
    <row r="241" spans="1:7">
      <c r="A241" s="5" t="str">
        <f>'Plant loading'!B91</f>
        <v>PECSY</v>
      </c>
      <c r="B241" s="43">
        <f>('Plant loading'!E91)*54.5/1000</f>
        <v>21.908999999999999</v>
      </c>
      <c r="C241" s="43">
        <f>('Plant loading'!AC91)*54.5/1000</f>
        <v>0</v>
      </c>
      <c r="D241" s="43">
        <f>('Plant loading'!N91)*54.5/1000-C241</f>
        <v>0</v>
      </c>
      <c r="E241" s="5">
        <f>'Plant loading'!J91/2</f>
        <v>63</v>
      </c>
      <c r="F241" s="5" t="str">
        <f>'Plant loading'!C91</f>
        <v>eSure</v>
      </c>
      <c r="G241" s="43">
        <f t="shared" si="20"/>
        <v>41.091000000000001</v>
      </c>
    </row>
    <row r="242" spans="1:7">
      <c r="A242" s="5" t="str">
        <f>'Plant loading'!B92</f>
        <v>PEDSY</v>
      </c>
      <c r="B242" s="43">
        <f>('Plant loading'!E92)*54.5/1000</f>
        <v>15.314500000000001</v>
      </c>
      <c r="C242" s="43">
        <f>('Plant loading'!AC92)*54.5/1000</f>
        <v>0</v>
      </c>
      <c r="D242" s="43">
        <f>('Plant loading'!N92)*54.5/1000-C242</f>
        <v>0</v>
      </c>
      <c r="E242" s="5">
        <f>'Plant loading'!J92/2</f>
        <v>63</v>
      </c>
      <c r="F242" s="5" t="str">
        <f>'Plant loading'!C92</f>
        <v>eSure</v>
      </c>
      <c r="G242" s="43">
        <f t="shared" si="20"/>
        <v>47.685499999999998</v>
      </c>
    </row>
    <row r="243" spans="1:7">
      <c r="A243" s="5" t="str">
        <f>'Plant loading'!B93</f>
        <v>PEESY</v>
      </c>
      <c r="B243" s="43">
        <f>('Plant loading'!E93)*54.5/1000</f>
        <v>17.222000000000001</v>
      </c>
      <c r="C243" s="43">
        <f>('Plant loading'!AC93)*54.5/1000</f>
        <v>0</v>
      </c>
      <c r="D243" s="43">
        <f>('Plant loading'!N93)*54.5/1000-C243</f>
        <v>0</v>
      </c>
      <c r="E243" s="5">
        <f>'Plant loading'!J93/2</f>
        <v>52.5</v>
      </c>
      <c r="F243" s="5" t="str">
        <f>'Plant loading'!C93</f>
        <v>eSure</v>
      </c>
      <c r="G243" s="43">
        <f t="shared" si="20"/>
        <v>35.277999999999999</v>
      </c>
    </row>
    <row r="244" spans="1:7">
      <c r="A244" s="5"/>
      <c r="B244" s="9" t="s">
        <v>732</v>
      </c>
      <c r="C244" s="9" t="s">
        <v>702</v>
      </c>
      <c r="D244" s="9" t="s">
        <v>733</v>
      </c>
      <c r="E244" s="9" t="s">
        <v>701</v>
      </c>
    </row>
    <row r="245" spans="1:7">
      <c r="A245" s="5" t="s">
        <v>734</v>
      </c>
      <c r="B245" s="10">
        <f>SUM('Inverter Loading'!O34:O35)/3</f>
        <v>18.53</v>
      </c>
      <c r="C245" s="10">
        <f>746*54.5/1000</f>
        <v>40.656999999999996</v>
      </c>
      <c r="D245" s="10">
        <f>186*54.5/1000</f>
        <v>10.137</v>
      </c>
      <c r="E245" s="10">
        <f>123*54.5/1000</f>
        <v>6.7035</v>
      </c>
    </row>
    <row r="246" spans="1:7">
      <c r="A246" s="5" t="s">
        <v>735</v>
      </c>
      <c r="B246" s="10">
        <f>SUM('Inverter Loading'!O34:O35)/3</f>
        <v>18.53</v>
      </c>
      <c r="C246" s="10">
        <f>640*54.5/1000</f>
        <v>34.880000000000003</v>
      </c>
      <c r="D246" s="10">
        <f>146*54.5/1000</f>
        <v>7.9569999999999999</v>
      </c>
      <c r="E246" s="10">
        <f>269*54.5/1000</f>
        <v>14.660500000000001</v>
      </c>
    </row>
    <row r="247" spans="1:7">
      <c r="A247" s="5" t="s">
        <v>736</v>
      </c>
      <c r="B247" s="10">
        <f>SUM('Inverter Loading'!O34:O35)/3</f>
        <v>18.53</v>
      </c>
      <c r="C247" s="10">
        <f>791*54.5/1000</f>
        <v>43.109499999999997</v>
      </c>
      <c r="D247" s="10">
        <f>90*54.5/1000</f>
        <v>4.9050000000000002</v>
      </c>
      <c r="E247" s="10">
        <f>174*54.5/1000</f>
        <v>9.4830000000000005</v>
      </c>
    </row>
    <row r="248" spans="1:7">
      <c r="A248" s="5" t="s">
        <v>737</v>
      </c>
      <c r="B248" s="10">
        <f>SUM('Inverter Loading'!O34:O35)/3</f>
        <v>18.53</v>
      </c>
      <c r="C248" s="10">
        <f>617*54.5/1000</f>
        <v>33.6265</v>
      </c>
      <c r="D248" s="10">
        <v>0</v>
      </c>
      <c r="E248" s="10">
        <f>438*54.5/1000</f>
        <v>23.870999999999999</v>
      </c>
    </row>
    <row r="249" spans="1:7">
      <c r="A249" s="5" t="s">
        <v>738</v>
      </c>
      <c r="B249" s="10">
        <f>SUM('Inverter Loading'!O34:O35)/3</f>
        <v>18.53</v>
      </c>
      <c r="C249" s="10">
        <f>690*54.5/1000</f>
        <v>37.604999999999997</v>
      </c>
      <c r="D249" s="10">
        <v>0</v>
      </c>
      <c r="E249" s="10">
        <f>365*54.5/1000</f>
        <v>19.892499999999998</v>
      </c>
    </row>
    <row r="250" spans="1:7">
      <c r="A250" s="5" t="s">
        <v>739</v>
      </c>
      <c r="B250" s="10">
        <f>SUM('Inverter Loading'!O34:O35)/3</f>
        <v>18.53</v>
      </c>
      <c r="C250" s="10">
        <f>634*54.5/1000</f>
        <v>34.552999999999997</v>
      </c>
      <c r="D250" s="10">
        <v>0</v>
      </c>
      <c r="E250" s="10">
        <f>421*54.5/1000</f>
        <v>22.944500000000001</v>
      </c>
    </row>
  </sheetData>
  <phoneticPr fontId="0" type="noConversion"/>
  <pageMargins left="0.75" right="0.75" top="1" bottom="1" header="0.5" footer="0.5"/>
  <pageSetup paperSize="9" orientation="portrait" r:id="rId1"/>
  <headerFooter alignWithMargins="0">
    <oddFooter>&amp;L&amp;1#&amp;"Calibri"&amp;7&amp;K000000C2 General</oddFooter>
  </headerFooter>
  <ignoredErrors>
    <ignoredError sqref="C24 A24 D24:E24"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P114"/>
  <sheetViews>
    <sheetView zoomScale="90" zoomScaleNormal="90" workbookViewId="0">
      <selection activeCell="D4" sqref="D4"/>
    </sheetView>
  </sheetViews>
  <sheetFormatPr defaultColWidth="8.6640625" defaultRowHeight="10.15"/>
  <cols>
    <col min="1" max="1" width="32.1640625" bestFit="1" customWidth="1"/>
    <col min="2" max="2" width="21.1640625" bestFit="1" customWidth="1"/>
    <col min="3" max="4" width="22.1640625" bestFit="1" customWidth="1"/>
    <col min="5" max="5" width="23.6640625" customWidth="1"/>
    <col min="6" max="6" width="4.1640625" bestFit="1" customWidth="1"/>
    <col min="7" max="7" width="24.6640625" bestFit="1" customWidth="1"/>
    <col min="8" max="8" width="24.1640625" bestFit="1" customWidth="1"/>
    <col min="9" max="9" width="16" bestFit="1" customWidth="1"/>
    <col min="10" max="11" width="15.1640625" bestFit="1" customWidth="1"/>
    <col min="12" max="12" width="10.5" bestFit="1" customWidth="1"/>
    <col min="13" max="13" width="11.1640625" customWidth="1"/>
    <col min="14" max="14" width="9.5" customWidth="1"/>
    <col min="15" max="15" width="6.1640625" bestFit="1" customWidth="1"/>
    <col min="16" max="16" width="12.5" customWidth="1"/>
  </cols>
  <sheetData>
    <row r="1" spans="1:8" ht="13.15">
      <c r="A1" s="2" t="s">
        <v>740</v>
      </c>
    </row>
    <row r="2" spans="1:8" ht="26.45">
      <c r="A2" s="2" t="s">
        <v>515</v>
      </c>
      <c r="B2" s="2"/>
      <c r="C2" s="3" t="s">
        <v>741</v>
      </c>
      <c r="D2" s="809" t="s">
        <v>544</v>
      </c>
      <c r="E2" s="3" t="s">
        <v>545</v>
      </c>
    </row>
    <row r="3" spans="1:8">
      <c r="A3" s="1392" t="str">
        <f>'Cab Floorspace'!A33</f>
        <v>XAN</v>
      </c>
      <c r="B3" s="812" t="s">
        <v>742</v>
      </c>
      <c r="C3" s="5">
        <f>'Cab Floorspace'!B33</f>
        <v>847</v>
      </c>
      <c r="D3" s="5">
        <f>'Cab Floorspace'!D33</f>
        <v>2</v>
      </c>
      <c r="E3" s="5">
        <f>'Cab Floorspace'!E33</f>
        <v>94</v>
      </c>
    </row>
    <row r="4" spans="1:8">
      <c r="A4" s="1392"/>
      <c r="B4" s="812" t="s">
        <v>743</v>
      </c>
      <c r="C4" s="5">
        <f>'Cab Floorspace'!F33</f>
        <v>136</v>
      </c>
      <c r="D4" s="5">
        <f>'Cab Floorspace'!H33</f>
        <v>0</v>
      </c>
      <c r="E4" s="5">
        <f>'Cab Floorspace'!I33</f>
        <v>190</v>
      </c>
    </row>
    <row r="5" spans="1:8">
      <c r="A5" s="1392" t="str">
        <f>'Cab Floorspace'!A22</f>
        <v>XBE</v>
      </c>
      <c r="B5" s="812" t="s">
        <v>742</v>
      </c>
      <c r="C5" s="5">
        <f>'Cab Floorspace'!B22</f>
        <v>1353</v>
      </c>
      <c r="D5" s="5">
        <f>'Cab Floorspace'!D22</f>
        <v>0</v>
      </c>
      <c r="E5" s="5">
        <f>'Cab Floorspace'!E22</f>
        <v>261</v>
      </c>
    </row>
    <row r="6" spans="1:8">
      <c r="A6" s="1392"/>
      <c r="B6" s="812" t="s">
        <v>743</v>
      </c>
      <c r="C6" s="5">
        <f>'Cab Floorspace'!F22</f>
        <v>259</v>
      </c>
      <c r="D6" s="5">
        <f>'Cab Floorspace'!H22</f>
        <v>8</v>
      </c>
      <c r="E6" s="5">
        <f>'Cab Floorspace'!I22</f>
        <v>318</v>
      </c>
    </row>
    <row r="7" spans="1:8">
      <c r="A7" s="1392" t="str">
        <f>'Cab Floorspace'!A34</f>
        <v>XCY</v>
      </c>
      <c r="B7" s="812" t="s">
        <v>742</v>
      </c>
      <c r="C7" s="5">
        <f>'Cab Floorspace'!B34</f>
        <v>990</v>
      </c>
      <c r="D7" s="5">
        <f>'Cab Floorspace'!D34</f>
        <v>0</v>
      </c>
      <c r="E7" s="5">
        <f>'Cab Floorspace'!E34</f>
        <v>83</v>
      </c>
    </row>
    <row r="8" spans="1:8" ht="13.15">
      <c r="A8" s="1392"/>
      <c r="B8" s="812" t="s">
        <v>743</v>
      </c>
      <c r="C8" s="5">
        <f>'Cab Floorspace'!F34</f>
        <v>167</v>
      </c>
      <c r="D8" s="5">
        <f>'Cab Floorspace'!H34</f>
        <v>0</v>
      </c>
      <c r="E8" s="5">
        <f>'Cab Floorspace'!I34</f>
        <v>444</v>
      </c>
      <c r="G8" s="24" t="s">
        <v>505</v>
      </c>
      <c r="H8" s="25" t="s">
        <v>536</v>
      </c>
    </row>
    <row r="9" spans="1:8">
      <c r="A9" s="1392" t="str">
        <f>'Cab Floorspace'!A27</f>
        <v>XGR</v>
      </c>
      <c r="B9" s="812" t="s">
        <v>742</v>
      </c>
      <c r="C9" s="5">
        <f>'Cab Floorspace'!B27</f>
        <v>930</v>
      </c>
      <c r="D9" s="5">
        <f>'Cab Floorspace'!D27</f>
        <v>10</v>
      </c>
      <c r="E9" s="5">
        <f>'Cab Floorspace'!E27</f>
        <v>104</v>
      </c>
      <c r="G9">
        <v>26</v>
      </c>
      <c r="H9" s="354">
        <f>INT(G9*600)/800</f>
        <v>19.5</v>
      </c>
    </row>
    <row r="10" spans="1:8">
      <c r="A10" s="1392"/>
      <c r="B10" s="812" t="s">
        <v>743</v>
      </c>
      <c r="C10" s="5">
        <f>'Cab Floorspace'!F27</f>
        <v>210</v>
      </c>
      <c r="D10" s="5">
        <f>'Cab Floorspace'!H27</f>
        <v>2</v>
      </c>
      <c r="E10" s="5">
        <f>'Cab Floorspace'!I27</f>
        <v>303</v>
      </c>
      <c r="G10">
        <v>11</v>
      </c>
      <c r="H10" s="354">
        <f>INT(G10*600)/800</f>
        <v>8.25</v>
      </c>
    </row>
    <row r="11" spans="1:8">
      <c r="A11" s="1392" t="str">
        <f>'Cab Floorspace'!A26</f>
        <v>XGL</v>
      </c>
      <c r="B11" s="812" t="s">
        <v>742</v>
      </c>
      <c r="C11" s="5">
        <f>'Cab Floorspace'!B26</f>
        <v>878</v>
      </c>
      <c r="D11" s="5">
        <f>'Cab Floorspace'!D26</f>
        <v>0</v>
      </c>
      <c r="E11" s="5">
        <f>'Cab Floorspace'!E26</f>
        <v>155</v>
      </c>
      <c r="H11" s="354"/>
    </row>
    <row r="12" spans="1:8">
      <c r="A12" s="1392"/>
      <c r="B12" s="812" t="s">
        <v>743</v>
      </c>
      <c r="C12" s="5">
        <f>'Cab Floorspace'!F26</f>
        <v>265</v>
      </c>
      <c r="D12" s="5">
        <f>'Cab Floorspace'!H26</f>
        <v>0</v>
      </c>
      <c r="E12" s="5">
        <f>'Cab Floorspace'!I26</f>
        <v>133</v>
      </c>
      <c r="H12" s="354"/>
    </row>
    <row r="13" spans="1:8">
      <c r="A13" s="1392" t="str">
        <f>'Cab Floorspace'!A24</f>
        <v>XLD</v>
      </c>
      <c r="B13" s="812" t="s">
        <v>742</v>
      </c>
      <c r="C13" s="5">
        <f>'Cab Floorspace'!B24</f>
        <v>922</v>
      </c>
      <c r="D13" s="5">
        <f>'Cab Floorspace'!D24</f>
        <v>0</v>
      </c>
      <c r="E13" s="5">
        <f>'Cab Floorspace'!E24</f>
        <v>111</v>
      </c>
      <c r="H13" s="354"/>
    </row>
    <row r="14" spans="1:8">
      <c r="A14" s="1392"/>
      <c r="B14" s="812" t="s">
        <v>743</v>
      </c>
      <c r="C14" s="5">
        <f>'Cab Floorspace'!F24</f>
        <v>282</v>
      </c>
      <c r="D14" s="5">
        <f>'Cab Floorspace'!H24</f>
        <v>0</v>
      </c>
      <c r="E14" s="5">
        <f>'Cab Floorspace'!I24</f>
        <v>168</v>
      </c>
      <c r="H14" s="354"/>
    </row>
    <row r="15" spans="1:8">
      <c r="A15" s="1392" t="str">
        <f>'Cab Floorspace'!A23</f>
        <v>XMS</v>
      </c>
      <c r="B15" s="812" t="s">
        <v>742</v>
      </c>
      <c r="C15" s="5">
        <f>'Cab Floorspace'!B23</f>
        <v>837</v>
      </c>
      <c r="D15" s="5">
        <f>'Cab Floorspace'!D23</f>
        <v>6</v>
      </c>
      <c r="E15" s="5">
        <f>'Cab Floorspace'!E23</f>
        <v>200</v>
      </c>
      <c r="H15" s="354"/>
    </row>
    <row r="16" spans="1:8">
      <c r="A16" s="1392"/>
      <c r="B16" s="812" t="s">
        <v>743</v>
      </c>
      <c r="C16" s="5">
        <f>'Cab Floorspace'!F23</f>
        <v>198</v>
      </c>
      <c r="D16" s="5">
        <f>'Cab Floorspace'!H23</f>
        <v>6</v>
      </c>
      <c r="E16" s="5">
        <f>'Cab Floorspace'!I23</f>
        <v>182</v>
      </c>
      <c r="H16" s="354"/>
    </row>
    <row r="17" spans="1:16">
      <c r="A17" s="1392" t="str">
        <f>'Cab Floorspace'!A28</f>
        <v>XOM</v>
      </c>
      <c r="B17" s="812" t="s">
        <v>742</v>
      </c>
      <c r="C17" s="5">
        <f>'Cab Floorspace'!B28</f>
        <v>1298</v>
      </c>
      <c r="D17" s="5">
        <f>'Cab Floorspace'!D28</f>
        <v>0</v>
      </c>
      <c r="E17" s="5">
        <f>'Cab Floorspace'!E28</f>
        <v>106</v>
      </c>
      <c r="H17" s="354"/>
    </row>
    <row r="18" spans="1:16">
      <c r="A18" s="1392"/>
      <c r="B18" s="812" t="s">
        <v>743</v>
      </c>
      <c r="C18" s="5">
        <f>'Cab Floorspace'!F28</f>
        <v>179</v>
      </c>
      <c r="D18" s="5">
        <f>'Cab Floorspace'!H28</f>
        <v>0</v>
      </c>
      <c r="E18" s="5">
        <f>'Cab Floorspace'!I28</f>
        <v>357</v>
      </c>
      <c r="H18" s="354"/>
    </row>
    <row r="19" spans="1:16">
      <c r="A19" s="1392" t="str">
        <f>'Cab Floorspace'!A40</f>
        <v>XRM</v>
      </c>
      <c r="B19" s="812" t="s">
        <v>742</v>
      </c>
      <c r="C19" s="5">
        <f>'Cab Floorspace'!B40</f>
        <v>1015</v>
      </c>
      <c r="D19" s="5">
        <f>'Cab Floorspace'!D40</f>
        <v>2</v>
      </c>
      <c r="E19" s="5">
        <f>'Cab Floorspace'!E40</f>
        <v>61</v>
      </c>
      <c r="H19" s="354"/>
    </row>
    <row r="20" spans="1:16" ht="13.15">
      <c r="A20" s="1392"/>
      <c r="B20" s="812" t="s">
        <v>743</v>
      </c>
      <c r="C20" s="5">
        <f>'Cab Floorspace'!F40</f>
        <v>216</v>
      </c>
      <c r="D20" s="5">
        <f>'Cab Floorspace'!H40</f>
        <v>2</v>
      </c>
      <c r="E20" s="5">
        <f>'Cab Floorspace'!I40</f>
        <v>377</v>
      </c>
      <c r="G20" s="2" t="s">
        <v>744</v>
      </c>
    </row>
    <row r="21" spans="1:16" ht="39.6">
      <c r="A21" s="813"/>
      <c r="B21" s="812"/>
      <c r="C21" s="5"/>
      <c r="D21" s="5"/>
      <c r="E21" s="5"/>
      <c r="G21" s="55" t="s">
        <v>515</v>
      </c>
      <c r="H21" s="56" t="s">
        <v>745</v>
      </c>
      <c r="I21" s="59" t="s">
        <v>746</v>
      </c>
      <c r="J21" s="59" t="s">
        <v>544</v>
      </c>
      <c r="K21" s="59" t="s">
        <v>747</v>
      </c>
      <c r="L21" s="52" t="s">
        <v>748</v>
      </c>
      <c r="M21" s="168" t="s">
        <v>749</v>
      </c>
      <c r="N21" s="168" t="s">
        <v>526</v>
      </c>
      <c r="O21" s="59" t="s">
        <v>524</v>
      </c>
      <c r="P21" s="59" t="s">
        <v>529</v>
      </c>
    </row>
    <row r="22" spans="1:16" ht="13.15">
      <c r="A22" s="72" t="s">
        <v>750</v>
      </c>
      <c r="B22" s="812"/>
      <c r="C22" s="5"/>
      <c r="D22" s="5"/>
      <c r="E22" s="5"/>
      <c r="G22" s="482" t="s">
        <v>277</v>
      </c>
      <c r="H22" s="436">
        <v>48</v>
      </c>
      <c r="I22" s="436">
        <v>1</v>
      </c>
      <c r="J22" s="436">
        <v>2</v>
      </c>
      <c r="K22" s="436">
        <f>60-(H22+I22+J22)</f>
        <v>9</v>
      </c>
      <c r="L22" s="45">
        <f t="shared" ref="L22:L27" si="0">(H22+I22+J22+K22)*1.6</f>
        <v>96</v>
      </c>
      <c r="M22" s="45">
        <f t="shared" ref="M22:N27" si="1">I22*1.6</f>
        <v>1.6</v>
      </c>
      <c r="N22" s="45">
        <f t="shared" si="1"/>
        <v>3.2</v>
      </c>
      <c r="O22" s="45">
        <f t="shared" ref="O22:O27" si="2">H22*1.6</f>
        <v>76.800000000000011</v>
      </c>
      <c r="P22" s="45">
        <f t="shared" ref="P22:P27" si="3">L22-M22-N22-O22</f>
        <v>14.399999999999991</v>
      </c>
    </row>
    <row r="23" spans="1:16" ht="26.45">
      <c r="A23" s="2" t="s">
        <v>515</v>
      </c>
      <c r="B23" s="2"/>
      <c r="C23" s="3" t="s">
        <v>741</v>
      </c>
      <c r="D23" s="809" t="s">
        <v>544</v>
      </c>
      <c r="E23" s="3" t="s">
        <v>545</v>
      </c>
      <c r="G23" s="482" t="s">
        <v>322</v>
      </c>
      <c r="H23" s="436">
        <v>58</v>
      </c>
      <c r="I23" s="436">
        <v>0</v>
      </c>
      <c r="J23" s="436">
        <v>1</v>
      </c>
      <c r="K23" s="436">
        <f>59-(H23+I23+J23)</f>
        <v>0</v>
      </c>
      <c r="L23" s="45">
        <f t="shared" si="0"/>
        <v>94.4</v>
      </c>
      <c r="M23" s="45">
        <f t="shared" ref="M23:N25" si="4">I23*1.6</f>
        <v>0</v>
      </c>
      <c r="N23" s="45">
        <f t="shared" si="4"/>
        <v>1.6</v>
      </c>
      <c r="O23" s="45">
        <f t="shared" si="2"/>
        <v>92.800000000000011</v>
      </c>
      <c r="P23" s="45">
        <f t="shared" si="3"/>
        <v>0</v>
      </c>
    </row>
    <row r="24" spans="1:16">
      <c r="A24" s="1392" t="str">
        <f>'Cab Floorspace'!A25</f>
        <v>XEH</v>
      </c>
      <c r="B24" s="812" t="s">
        <v>742</v>
      </c>
      <c r="C24" s="5">
        <f>'Cab Floorspace'!B25</f>
        <v>724</v>
      </c>
      <c r="D24" s="5">
        <f>'Cab Floorspace'!D25</f>
        <v>4</v>
      </c>
      <c r="E24" s="5">
        <f>'Cab Floorspace'!E25</f>
        <v>103</v>
      </c>
      <c r="G24" s="482" t="s">
        <v>317</v>
      </c>
      <c r="H24" s="436">
        <v>51</v>
      </c>
      <c r="I24" s="436">
        <v>0</v>
      </c>
      <c r="J24" s="436">
        <v>0</v>
      </c>
      <c r="K24" s="436">
        <f>51-(H24+I24+J24)</f>
        <v>0</v>
      </c>
      <c r="L24" s="45">
        <f t="shared" si="0"/>
        <v>81.600000000000009</v>
      </c>
      <c r="M24" s="45">
        <f t="shared" si="4"/>
        <v>0</v>
      </c>
      <c r="N24" s="45">
        <f t="shared" si="4"/>
        <v>0</v>
      </c>
      <c r="O24" s="45">
        <f t="shared" si="2"/>
        <v>81.600000000000009</v>
      </c>
      <c r="P24" s="45">
        <f t="shared" si="3"/>
        <v>0</v>
      </c>
    </row>
    <row r="25" spans="1:16">
      <c r="A25" s="1392"/>
      <c r="B25" s="812" t="s">
        <v>743</v>
      </c>
      <c r="C25" s="5">
        <f>'Cab Floorspace'!F25</f>
        <v>227</v>
      </c>
      <c r="D25" s="5">
        <f>'Cab Floorspace'!H25</f>
        <v>0</v>
      </c>
      <c r="E25" s="5">
        <f>'Cab Floorspace'!I25</f>
        <v>109</v>
      </c>
      <c r="G25" s="482" t="s">
        <v>288</v>
      </c>
      <c r="H25" s="436">
        <v>56</v>
      </c>
      <c r="I25" s="436">
        <v>0</v>
      </c>
      <c r="J25" s="436">
        <v>3</v>
      </c>
      <c r="K25" s="436">
        <f>62-(H25+I25+J25)</f>
        <v>3</v>
      </c>
      <c r="L25" s="45">
        <f t="shared" si="0"/>
        <v>99.2</v>
      </c>
      <c r="M25" s="45">
        <f t="shared" si="4"/>
        <v>0</v>
      </c>
      <c r="N25" s="45">
        <f t="shared" si="4"/>
        <v>4.8000000000000007</v>
      </c>
      <c r="O25" s="45">
        <f t="shared" si="2"/>
        <v>89.600000000000009</v>
      </c>
      <c r="P25" s="45">
        <f t="shared" si="3"/>
        <v>4.7999999999999972</v>
      </c>
    </row>
    <row r="26" spans="1:16">
      <c r="A26" s="1392" t="str">
        <f>'Cab Floorspace'!A35</f>
        <v>XER</v>
      </c>
      <c r="B26" s="812" t="s">
        <v>742</v>
      </c>
      <c r="C26" s="5">
        <f>'Cab Floorspace'!B35</f>
        <v>669</v>
      </c>
      <c r="D26" s="5">
        <f>'Cab Floorspace'!D35</f>
        <v>0</v>
      </c>
      <c r="E26" s="5">
        <f>'Cab Floorspace'!E35</f>
        <v>32</v>
      </c>
      <c r="G26" s="482" t="s">
        <v>297</v>
      </c>
      <c r="H26" s="436">
        <v>20</v>
      </c>
      <c r="I26" s="436">
        <v>0</v>
      </c>
      <c r="J26" s="436">
        <v>6</v>
      </c>
      <c r="K26" s="436">
        <f>39-(H26+I26+J26)</f>
        <v>13</v>
      </c>
      <c r="L26" s="45">
        <f t="shared" si="0"/>
        <v>62.400000000000006</v>
      </c>
      <c r="M26" s="45">
        <f t="shared" si="1"/>
        <v>0</v>
      </c>
      <c r="N26" s="45">
        <f t="shared" si="1"/>
        <v>9.6000000000000014</v>
      </c>
      <c r="O26" s="45">
        <f t="shared" si="2"/>
        <v>32</v>
      </c>
      <c r="P26" s="45">
        <f t="shared" si="3"/>
        <v>20.800000000000004</v>
      </c>
    </row>
    <row r="27" spans="1:16">
      <c r="A27" s="1392"/>
      <c r="B27" s="812" t="s">
        <v>743</v>
      </c>
      <c r="C27" s="5">
        <f>'Cab Floorspace'!F35</f>
        <v>183</v>
      </c>
      <c r="D27" s="5">
        <f>'Cab Floorspace'!H35</f>
        <v>0</v>
      </c>
      <c r="E27" s="5">
        <f>'Cab Floorspace'!I35</f>
        <v>201</v>
      </c>
      <c r="G27" s="332" t="s">
        <v>271</v>
      </c>
      <c r="H27" s="436">
        <v>8</v>
      </c>
      <c r="I27" s="436">
        <v>0</v>
      </c>
      <c r="J27" s="436">
        <v>4</v>
      </c>
      <c r="K27" s="436">
        <v>5</v>
      </c>
      <c r="L27" s="45">
        <f t="shared" si="0"/>
        <v>27.200000000000003</v>
      </c>
      <c r="M27" s="45">
        <f t="shared" si="1"/>
        <v>0</v>
      </c>
      <c r="N27" s="45">
        <f t="shared" si="1"/>
        <v>6.4</v>
      </c>
      <c r="O27" s="45">
        <f t="shared" si="2"/>
        <v>12.8</v>
      </c>
      <c r="P27" s="45">
        <f t="shared" si="3"/>
        <v>8.0000000000000036</v>
      </c>
    </row>
    <row r="28" spans="1:16">
      <c r="A28" s="1392" t="str">
        <f>'Cab Floorspace'!A37</f>
        <v>XKS (1st)</v>
      </c>
      <c r="B28" s="812" t="s">
        <v>742</v>
      </c>
      <c r="C28" s="5">
        <f>'Cab Floorspace'!B37</f>
        <v>580</v>
      </c>
      <c r="D28" s="5">
        <f>'Cab Floorspace'!D37</f>
        <v>0</v>
      </c>
      <c r="E28" s="5">
        <f>'Cab Floorspace'!E37</f>
        <v>39</v>
      </c>
      <c r="G28" s="332" t="s">
        <v>305</v>
      </c>
      <c r="H28" s="436">
        <v>7</v>
      </c>
      <c r="I28" s="436">
        <v>2</v>
      </c>
      <c r="J28" s="436">
        <v>0</v>
      </c>
      <c r="K28" s="436">
        <f>21-(H28+I28+J28)</f>
        <v>12</v>
      </c>
      <c r="L28" s="45">
        <f t="shared" ref="L28" si="5">(H28+I28+J28+K28)*1.6</f>
        <v>33.6</v>
      </c>
      <c r="M28" s="45">
        <f t="shared" ref="M28" si="6">I28*1.6</f>
        <v>3.2</v>
      </c>
      <c r="N28" s="45">
        <f t="shared" ref="N28" si="7">J28*1.6</f>
        <v>0</v>
      </c>
      <c r="O28" s="45">
        <f t="shared" ref="O28" si="8">H28*1.6</f>
        <v>11.200000000000001</v>
      </c>
      <c r="P28" s="45">
        <f t="shared" ref="P28" si="9">L28-M28-N28-O28</f>
        <v>19.200000000000003</v>
      </c>
    </row>
    <row r="29" spans="1:16">
      <c r="A29" s="1392"/>
      <c r="B29" s="812" t="s">
        <v>743</v>
      </c>
      <c r="C29" s="5">
        <f>'Cab Floorspace'!F37</f>
        <v>131</v>
      </c>
      <c r="D29" s="5">
        <f>'Cab Floorspace'!H37</f>
        <v>0</v>
      </c>
      <c r="E29" s="5">
        <f>'Cab Floorspace'!I37</f>
        <v>171</v>
      </c>
      <c r="G29" s="812"/>
      <c r="H29" s="5"/>
      <c r="I29" s="5"/>
      <c r="J29" s="5"/>
    </row>
    <row r="30" spans="1:16">
      <c r="A30" s="1392" t="str">
        <f>'Cab Floorspace'!A38</f>
        <v>XKS (2nd)</v>
      </c>
      <c r="B30" s="812" t="s">
        <v>742</v>
      </c>
      <c r="C30" s="5">
        <f>'Cab Floorspace'!B38</f>
        <v>582</v>
      </c>
      <c r="D30" s="5">
        <f>'Cab Floorspace'!D38</f>
        <v>0</v>
      </c>
      <c r="E30" s="5">
        <f>'Cab Floorspace'!E38</f>
        <v>39</v>
      </c>
      <c r="G30" s="812"/>
      <c r="H30" s="5"/>
      <c r="I30" s="5"/>
      <c r="J30" s="5"/>
    </row>
    <row r="31" spans="1:16">
      <c r="A31" s="1392"/>
      <c r="B31" s="812" t="s">
        <v>743</v>
      </c>
      <c r="C31" s="5">
        <f>'Cab Floorspace'!F38</f>
        <v>125</v>
      </c>
      <c r="D31" s="5">
        <f>'Cab Floorspace'!H38</f>
        <v>0</v>
      </c>
      <c r="E31" s="5">
        <f>'Cab Floorspace'!I38</f>
        <v>148</v>
      </c>
      <c r="G31" s="812"/>
      <c r="H31" s="5"/>
      <c r="I31" s="5"/>
      <c r="J31" s="5"/>
    </row>
    <row r="32" spans="1:16">
      <c r="A32" s="1392" t="str">
        <f>'Cab Floorspace'!A39</f>
        <v>XKS (3rd)</v>
      </c>
      <c r="B32" s="812" t="s">
        <v>742</v>
      </c>
      <c r="C32" s="5">
        <f>'Cab Floorspace'!B39</f>
        <v>592</v>
      </c>
      <c r="D32" s="5">
        <f>'Cab Floorspace'!D39</f>
        <v>0</v>
      </c>
      <c r="E32" s="5">
        <f>'Cab Floorspace'!E39</f>
        <v>30</v>
      </c>
      <c r="G32" s="812"/>
      <c r="H32" s="5"/>
      <c r="I32" s="5"/>
      <c r="J32" s="5"/>
    </row>
    <row r="33" spans="1:10">
      <c r="A33" s="1392"/>
      <c r="B33" s="812" t="s">
        <v>743</v>
      </c>
      <c r="C33" s="5">
        <f>'Cab Floorspace'!F39</f>
        <v>45</v>
      </c>
      <c r="D33" s="5">
        <f>'Cab Floorspace'!H39</f>
        <v>0</v>
      </c>
      <c r="E33" s="5">
        <f>'Cab Floorspace'!I39</f>
        <v>195</v>
      </c>
      <c r="G33" s="812"/>
      <c r="H33" s="5"/>
      <c r="I33" s="5"/>
      <c r="J33" s="5"/>
    </row>
    <row r="34" spans="1:10">
      <c r="A34" s="1392" t="str">
        <f>'Cab Floorspace'!A41</f>
        <v>XSN</v>
      </c>
      <c r="B34" s="812" t="s">
        <v>742</v>
      </c>
      <c r="C34" s="5">
        <f>'Cab Floorspace'!B41</f>
        <v>1161</v>
      </c>
      <c r="D34" s="5">
        <f>'Cab Floorspace'!D41</f>
        <v>14</v>
      </c>
      <c r="E34" s="5">
        <f>'Cab Floorspace'!E41</f>
        <v>43</v>
      </c>
      <c r="G34" s="812"/>
      <c r="H34" s="5"/>
      <c r="I34" s="5"/>
      <c r="J34" s="5"/>
    </row>
    <row r="35" spans="1:10">
      <c r="A35" s="1392"/>
      <c r="B35" s="812" t="s">
        <v>743</v>
      </c>
      <c r="C35" s="5">
        <f>'Cab Floorspace'!F41</f>
        <v>145</v>
      </c>
      <c r="D35" s="5">
        <f>'Cab Floorspace'!H41</f>
        <v>0</v>
      </c>
      <c r="E35" s="5">
        <f>'Cab Floorspace'!I41</f>
        <v>521</v>
      </c>
    </row>
    <row r="36" spans="1:10">
      <c r="A36" s="1392" t="str">
        <f>'Cab Floorspace'!A42</f>
        <v>XSY</v>
      </c>
      <c r="B36" s="812" t="s">
        <v>742</v>
      </c>
      <c r="C36" s="5">
        <f>'Cab Floorspace'!B42</f>
        <v>818</v>
      </c>
      <c r="D36" s="5">
        <f>'Cab Floorspace'!D42</f>
        <v>0</v>
      </c>
      <c r="E36" s="5">
        <f>'Cab Floorspace'!E42</f>
        <v>43</v>
      </c>
    </row>
    <row r="37" spans="1:10">
      <c r="A37" s="1392"/>
      <c r="B37" s="812" t="s">
        <v>743</v>
      </c>
      <c r="C37" s="5">
        <f>'Cab Floorspace'!F42</f>
        <v>186</v>
      </c>
      <c r="D37" s="5">
        <f>'Cab Floorspace'!H42</f>
        <v>0</v>
      </c>
      <c r="E37" s="5">
        <f>'Cab Floorspace'!I42</f>
        <v>283</v>
      </c>
    </row>
    <row r="38" spans="1:10" ht="13.15">
      <c r="A38" s="2"/>
      <c r="B38" s="2"/>
      <c r="C38" s="3"/>
      <c r="D38" s="809"/>
      <c r="E38" s="3"/>
    </row>
    <row r="39" spans="1:10" ht="13.15">
      <c r="A39" s="2"/>
      <c r="B39" s="2"/>
      <c r="C39" s="3"/>
      <c r="D39" s="809"/>
      <c r="E39" s="3"/>
    </row>
    <row r="41" spans="1:10">
      <c r="A41" t="s">
        <v>751</v>
      </c>
      <c r="B41" s="813" t="s">
        <v>752</v>
      </c>
      <c r="C41" s="5" t="s">
        <v>753</v>
      </c>
      <c r="D41" s="813" t="s">
        <v>544</v>
      </c>
      <c r="E41" s="813" t="s">
        <v>754</v>
      </c>
    </row>
    <row r="42" spans="1:10">
      <c r="B42" s="813" t="e">
        <f>SUM(C3,C7,C24,C26,C9,#REF!,C28,C30,C32,C17,C19,C34,C36)</f>
        <v>#REF!</v>
      </c>
      <c r="C42" s="813">
        <f>(C5+C11+C13+C15)</f>
        <v>3990</v>
      </c>
      <c r="D42" s="813" t="e">
        <f>SUM(D3,D5,D7,D24,D26,D9,D11,#REF!,D28,D30,D32,D13,D15,D17,D19,D34,D36)</f>
        <v>#REF!</v>
      </c>
      <c r="E42" s="813" t="e">
        <f>SUM(E3,E5,E7,E24,E26,E9,E11,#REF!,E28,E30,E32,E13,E15,E17,E19,E34,E36)</f>
        <v>#REF!</v>
      </c>
    </row>
    <row r="43" spans="1:10">
      <c r="A43" t="s">
        <v>755</v>
      </c>
      <c r="B43" s="813" t="s">
        <v>752</v>
      </c>
      <c r="C43" s="5" t="s">
        <v>753</v>
      </c>
      <c r="D43" s="813" t="s">
        <v>544</v>
      </c>
      <c r="E43" s="813" t="s">
        <v>545</v>
      </c>
    </row>
    <row r="44" spans="1:10">
      <c r="B44" s="813" t="e">
        <f>SUM(C4,C8,C25,C27,C10,#REF!,C29,C31,C33,C18,C20,C35,C37)</f>
        <v>#REF!</v>
      </c>
      <c r="C44" s="813">
        <f>(C6+C12+C14+C16)</f>
        <v>1004</v>
      </c>
      <c r="D44" s="813" t="e">
        <f>SUM(D4,D6,D8,D25,D27,D10,D12,#REF!,D29,D31,D33,D14,D16,D18,D20,D35,D37)</f>
        <v>#REF!</v>
      </c>
      <c r="E44" s="813" t="e">
        <f>SUM(E4,E6,E8,E25,E27,E10,E12,#REF!,E29,E31,E33,E14,E16,E18,E20,E35,E37)</f>
        <v>#REF!</v>
      </c>
    </row>
    <row r="46" spans="1:10" ht="26.45">
      <c r="A46" s="2" t="s">
        <v>515</v>
      </c>
      <c r="C46" s="3" t="s">
        <v>741</v>
      </c>
      <c r="D46" s="809" t="s">
        <v>544</v>
      </c>
      <c r="E46" s="3" t="s">
        <v>545</v>
      </c>
    </row>
    <row r="47" spans="1:10">
      <c r="A47" s="1459" t="s">
        <v>350</v>
      </c>
      <c r="B47" s="347" t="s">
        <v>742</v>
      </c>
      <c r="C47">
        <f>'Cab Floorspace'!B68</f>
        <v>103</v>
      </c>
      <c r="D47">
        <f>'Cab Floorspace'!E68</f>
        <v>104</v>
      </c>
      <c r="E47">
        <f>'Cab Floorspace'!F68</f>
        <v>4</v>
      </c>
    </row>
    <row r="48" spans="1:10">
      <c r="A48" s="1460"/>
      <c r="B48" s="347" t="s">
        <v>743</v>
      </c>
      <c r="C48">
        <f>'Cab Floorspace'!G68</f>
        <v>0</v>
      </c>
      <c r="D48">
        <f>'Cab Floorspace'!H68</f>
        <v>0</v>
      </c>
      <c r="E48">
        <f>'Cab Floorspace'!I68</f>
        <v>9</v>
      </c>
    </row>
    <row r="49" spans="1:5">
      <c r="A49" s="1459" t="s">
        <v>355</v>
      </c>
      <c r="B49" s="347" t="s">
        <v>742</v>
      </c>
      <c r="C49">
        <f>'Cab Floorspace'!B69</f>
        <v>116</v>
      </c>
      <c r="D49">
        <f>'Cab Floorspace'!E69</f>
        <v>527</v>
      </c>
      <c r="E49">
        <f>'Cab Floorspace'!F69</f>
        <v>6</v>
      </c>
    </row>
    <row r="50" spans="1:5">
      <c r="A50" s="1460"/>
      <c r="B50" s="347" t="s">
        <v>743</v>
      </c>
      <c r="C50">
        <f>'Cab Floorspace'!G69</f>
        <v>0</v>
      </c>
      <c r="D50">
        <f>'Cab Floorspace'!H69</f>
        <v>0</v>
      </c>
      <c r="E50">
        <f>'Cab Floorspace'!I69</f>
        <v>46</v>
      </c>
    </row>
    <row r="51" spans="1:5">
      <c r="A51" s="1459" t="s">
        <v>352</v>
      </c>
      <c r="B51" s="347" t="s">
        <v>742</v>
      </c>
      <c r="C51">
        <f>'Cab Floorspace'!B70</f>
        <v>122</v>
      </c>
      <c r="D51">
        <f>'Cab Floorspace'!E70</f>
        <v>268</v>
      </c>
      <c r="E51">
        <f>'Cab Floorspace'!F70</f>
        <v>0</v>
      </c>
    </row>
    <row r="52" spans="1:5">
      <c r="A52" s="1460"/>
      <c r="B52" s="347" t="s">
        <v>743</v>
      </c>
      <c r="C52">
        <f>'Cab Floorspace'!G70</f>
        <v>0</v>
      </c>
      <c r="D52">
        <f>'Cab Floorspace'!H70</f>
        <v>0</v>
      </c>
      <c r="E52">
        <f>'Cab Floorspace'!I70</f>
        <v>12</v>
      </c>
    </row>
    <row r="53" spans="1:5">
      <c r="A53" s="1459" t="s">
        <v>357</v>
      </c>
      <c r="B53" s="347" t="s">
        <v>742</v>
      </c>
      <c r="C53">
        <f>'Cab Floorspace'!B71</f>
        <v>180</v>
      </c>
      <c r="D53">
        <f>'Cab Floorspace'!E71</f>
        <v>450</v>
      </c>
      <c r="E53">
        <f>'Cab Floorspace'!F71</f>
        <v>1</v>
      </c>
    </row>
    <row r="54" spans="1:5">
      <c r="A54" s="1459"/>
      <c r="B54" s="347" t="s">
        <v>743</v>
      </c>
      <c r="C54">
        <f>'Cab Floorspace'!G71</f>
        <v>0</v>
      </c>
      <c r="D54">
        <f>'Cab Floorspace'!H71</f>
        <v>0</v>
      </c>
      <c r="E54">
        <f>'Cab Floorspace'!I71</f>
        <v>5</v>
      </c>
    </row>
    <row r="55" spans="1:5">
      <c r="A55" s="1459" t="s">
        <v>359</v>
      </c>
      <c r="B55" s="347" t="s">
        <v>742</v>
      </c>
      <c r="C55">
        <f>'Cab Floorspace'!B72</f>
        <v>21</v>
      </c>
      <c r="D55">
        <f>'Cab Floorspace'!E72</f>
        <v>8</v>
      </c>
      <c r="E55">
        <f>'Cab Floorspace'!F72</f>
        <v>0</v>
      </c>
    </row>
    <row r="56" spans="1:5">
      <c r="A56" s="1459"/>
      <c r="B56" s="347" t="s">
        <v>743</v>
      </c>
      <c r="C56">
        <f>'Cab Floorspace'!G72</f>
        <v>0</v>
      </c>
      <c r="D56">
        <f>'Cab Floorspace'!H72</f>
        <v>0</v>
      </c>
      <c r="E56">
        <f>'Cab Floorspace'!I72</f>
        <v>0</v>
      </c>
    </row>
    <row r="57" spans="1:5">
      <c r="A57" s="1459" t="s">
        <v>361</v>
      </c>
      <c r="B57" s="347" t="s">
        <v>742</v>
      </c>
      <c r="C57">
        <f>'Cab Floorspace'!B73</f>
        <v>225</v>
      </c>
      <c r="D57">
        <f>'Cab Floorspace'!E73</f>
        <v>161</v>
      </c>
      <c r="E57">
        <f>'Cab Floorspace'!F73</f>
        <v>0</v>
      </c>
    </row>
    <row r="58" spans="1:5">
      <c r="A58" s="1459"/>
      <c r="B58" s="347" t="s">
        <v>743</v>
      </c>
      <c r="C58">
        <f>'Cab Floorspace'!G73</f>
        <v>0</v>
      </c>
      <c r="D58">
        <f>'Cab Floorspace'!H73</f>
        <v>0</v>
      </c>
      <c r="E58">
        <f>'Cab Floorspace'!I73</f>
        <v>0</v>
      </c>
    </row>
    <row r="59" spans="1:5">
      <c r="A59" s="1459" t="s">
        <v>363</v>
      </c>
      <c r="B59" s="347" t="s">
        <v>742</v>
      </c>
      <c r="C59">
        <f>'Cab Floorspace'!B75</f>
        <v>73</v>
      </c>
      <c r="D59">
        <f>'Cab Floorspace'!E75</f>
        <v>99</v>
      </c>
      <c r="E59">
        <f>'Cab Floorspace'!F75</f>
        <v>0</v>
      </c>
    </row>
    <row r="60" spans="1:5">
      <c r="A60" s="1459"/>
      <c r="B60" s="347" t="s">
        <v>743</v>
      </c>
      <c r="C60">
        <f>'Cab Floorspace'!G75</f>
        <v>0</v>
      </c>
      <c r="D60">
        <f>'Cab Floorspace'!H75</f>
        <v>1</v>
      </c>
      <c r="E60">
        <f>'Cab Floorspace'!I75</f>
        <v>6</v>
      </c>
    </row>
    <row r="61" spans="1:5">
      <c r="A61" s="1459" t="s">
        <v>365</v>
      </c>
      <c r="B61" s="347" t="s">
        <v>742</v>
      </c>
      <c r="C61">
        <f>'Cab Floorspace'!B76</f>
        <v>247</v>
      </c>
      <c r="D61">
        <f>'Cab Floorspace'!E76</f>
        <v>264</v>
      </c>
      <c r="E61">
        <f>'Cab Floorspace'!F76</f>
        <v>14</v>
      </c>
    </row>
    <row r="62" spans="1:5">
      <c r="A62" s="1459"/>
      <c r="B62" s="347" t="s">
        <v>743</v>
      </c>
      <c r="C62">
        <f>'Cab Floorspace'!G76</f>
        <v>0</v>
      </c>
      <c r="D62">
        <f>'Cab Floorspace'!H76</f>
        <v>0</v>
      </c>
      <c r="E62">
        <f>'Cab Floorspace'!I76</f>
        <v>7</v>
      </c>
    </row>
    <row r="63" spans="1:5">
      <c r="A63" s="1381" t="s">
        <v>539</v>
      </c>
      <c r="B63" s="347" t="s">
        <v>742</v>
      </c>
      <c r="C63">
        <f>'Cab Floorspace'!B83</f>
        <v>51</v>
      </c>
      <c r="D63">
        <f>'Cab Floorspace'!C83</f>
        <v>0</v>
      </c>
      <c r="E63">
        <f>'Cab Floorspace'!D83</f>
        <v>4</v>
      </c>
    </row>
    <row r="64" spans="1:5">
      <c r="A64" s="1381"/>
      <c r="B64" s="347" t="s">
        <v>743</v>
      </c>
      <c r="C64">
        <f>'Cab Floorspace'!E83</f>
        <v>0</v>
      </c>
      <c r="D64">
        <f>'Cab Floorspace'!F83</f>
        <v>0</v>
      </c>
      <c r="E64">
        <f>'Cab Floorspace'!G83</f>
        <v>0</v>
      </c>
    </row>
    <row r="65" spans="1:5">
      <c r="A65" s="1459" t="s">
        <v>370</v>
      </c>
      <c r="B65" s="347" t="s">
        <v>742</v>
      </c>
      <c r="C65">
        <f>'Cab Floorspace'!B78</f>
        <v>100</v>
      </c>
      <c r="D65">
        <f>'Cab Floorspace'!E78</f>
        <v>56</v>
      </c>
      <c r="E65">
        <f>'Cab Floorspace'!F78</f>
        <v>0</v>
      </c>
    </row>
    <row r="66" spans="1:5">
      <c r="A66" s="1459"/>
      <c r="B66" s="347" t="s">
        <v>743</v>
      </c>
      <c r="C66">
        <f>'Cab Floorspace'!G78</f>
        <v>0</v>
      </c>
      <c r="D66">
        <f>'Cab Floorspace'!H78</f>
        <v>0</v>
      </c>
      <c r="E66">
        <f>'Cab Floorspace'!I78</f>
        <v>0</v>
      </c>
    </row>
    <row r="67" spans="1:5">
      <c r="A67" s="1459" t="s">
        <v>372</v>
      </c>
      <c r="B67" s="347" t="s">
        <v>742</v>
      </c>
      <c r="C67">
        <f>'Cab Floorspace'!B80</f>
        <v>152</v>
      </c>
      <c r="D67">
        <f>'Cab Floorspace'!E80</f>
        <v>488</v>
      </c>
      <c r="E67">
        <f>'Cab Floorspace'!F80</f>
        <v>8</v>
      </c>
    </row>
    <row r="68" spans="1:5">
      <c r="A68" s="1459"/>
      <c r="B68" s="347" t="s">
        <v>743</v>
      </c>
      <c r="C68">
        <f>'Cab Floorspace'!G80</f>
        <v>0</v>
      </c>
      <c r="D68">
        <f>'Cab Floorspace'!H80</f>
        <v>1</v>
      </c>
      <c r="E68">
        <f>'Cab Floorspace'!I80</f>
        <v>0</v>
      </c>
    </row>
    <row r="69" spans="1:5">
      <c r="A69" s="1459" t="s">
        <v>374</v>
      </c>
      <c r="B69" s="347" t="s">
        <v>742</v>
      </c>
      <c r="C69">
        <f>'Cab Floorspace'!B81</f>
        <v>64</v>
      </c>
      <c r="D69">
        <f>'Cab Floorspace'!E81</f>
        <v>41</v>
      </c>
      <c r="E69">
        <f>'Cab Floorspace'!F81</f>
        <v>0</v>
      </c>
    </row>
    <row r="70" spans="1:5">
      <c r="A70" s="1459"/>
      <c r="B70" s="347" t="s">
        <v>743</v>
      </c>
      <c r="C70">
        <f>'Cab Floorspace'!G81</f>
        <v>0</v>
      </c>
      <c r="D70">
        <f>'Cab Floorspace'!H81</f>
        <v>0</v>
      </c>
      <c r="E70">
        <f>'Cab Floorspace'!I81</f>
        <v>0</v>
      </c>
    </row>
    <row r="72" spans="1:5">
      <c r="A72" t="s">
        <v>751</v>
      </c>
      <c r="B72" s="813" t="s">
        <v>543</v>
      </c>
      <c r="C72" s="813" t="s">
        <v>544</v>
      </c>
      <c r="D72" s="813" t="s">
        <v>754</v>
      </c>
    </row>
    <row r="73" spans="1:5">
      <c r="B73" s="813" t="e">
        <f>SUM(C47,C49,C51,C53,C55,#REF!,C57,C59,C61,C65,C67,C69)</f>
        <v>#REF!</v>
      </c>
      <c r="C73" s="813" t="e">
        <f>SUM(,D47,D49,D51,D53,D55,#REF!,D57,D59,D61,D65,D67,D69)</f>
        <v>#REF!</v>
      </c>
      <c r="D73" s="813" t="e">
        <f>SUM(E47,E49,E51,E53,E55,#REF!,E57,E59,E61,E65,E67,E69)</f>
        <v>#REF!</v>
      </c>
    </row>
    <row r="74" spans="1:5">
      <c r="A74" t="s">
        <v>755</v>
      </c>
      <c r="B74" s="813" t="s">
        <v>741</v>
      </c>
      <c r="C74" s="813" t="s">
        <v>544</v>
      </c>
      <c r="D74" s="813" t="s">
        <v>545</v>
      </c>
    </row>
    <row r="75" spans="1:5">
      <c r="B75" s="813" t="e">
        <f>SUM(C48,C50,C52,C54,C56,#REF!,C58,C60,C62,C66,C68,C70)</f>
        <v>#REF!</v>
      </c>
      <c r="C75" s="813">
        <v>3</v>
      </c>
      <c r="D75" s="813" t="e">
        <f>SUM(E48,E50,E52,E54,E56,#REF!,E58,E60,E62,E66,E68,E70)</f>
        <v>#REF!</v>
      </c>
    </row>
    <row r="82" spans="1:5">
      <c r="A82" s="14" t="s">
        <v>756</v>
      </c>
    </row>
    <row r="83" spans="1:5">
      <c r="C83" s="812" t="s">
        <v>757</v>
      </c>
      <c r="D83" s="812" t="s">
        <v>758</v>
      </c>
    </row>
    <row r="84" spans="1:5" ht="11.45">
      <c r="A84" s="347" t="s">
        <v>759</v>
      </c>
      <c r="B84" s="5">
        <f>((C84*D84)+2*((C84*(D84/2)))+2*((1200*((2*D84)/20))))/1000000</f>
        <v>1.1519999999999999</v>
      </c>
      <c r="C84" s="5">
        <v>600</v>
      </c>
      <c r="D84" s="5">
        <v>800</v>
      </c>
      <c r="E84" s="347" t="s">
        <v>760</v>
      </c>
    </row>
    <row r="85" spans="1:5" ht="11.45">
      <c r="A85" s="347" t="s">
        <v>761</v>
      </c>
      <c r="B85" s="5">
        <f>((C85*D85)+2*((C85*(D85/2)))+2*((1200*((2*D85)/20))))/1000000</f>
        <v>2.2080000000000002</v>
      </c>
      <c r="C85" s="5">
        <v>800</v>
      </c>
      <c r="D85" s="5">
        <v>1200</v>
      </c>
      <c r="E85" s="347" t="s">
        <v>762</v>
      </c>
    </row>
    <row r="87" spans="1:5" ht="11.45">
      <c r="B87" s="9" t="s">
        <v>763</v>
      </c>
      <c r="C87" s="9"/>
    </row>
    <row r="88" spans="1:5">
      <c r="A88" t="s">
        <v>271</v>
      </c>
      <c r="B88" s="10">
        <f>('Cab Floorspace'!B33*$B$84)+('Cab Floorspace'!F33*$B$85)</f>
        <v>1276.0319999999999</v>
      </c>
      <c r="C88" s="10"/>
      <c r="D88" s="10"/>
    </row>
    <row r="89" spans="1:5">
      <c r="A89" t="s">
        <v>277</v>
      </c>
      <c r="B89" s="10">
        <f>('Cab Floorspace'!B22*$B$84)+('Cab Floorspace'!F22*$B$85)</f>
        <v>2130.5280000000002</v>
      </c>
      <c r="C89" s="10"/>
      <c r="D89" s="10"/>
    </row>
    <row r="90" spans="1:5">
      <c r="A90" t="s">
        <v>284</v>
      </c>
      <c r="B90" s="10">
        <f>('Cab Floorspace'!B34*$B$84)+('Cab Floorspace'!F34*$B$85)</f>
        <v>1509.2160000000001</v>
      </c>
      <c r="C90" s="10"/>
      <c r="D90" s="10"/>
      <c r="E90" s="348"/>
    </row>
    <row r="91" spans="1:5">
      <c r="A91" t="s">
        <v>288</v>
      </c>
      <c r="B91" s="10">
        <f>('Cab Floorspace'!B25*$B$84)+('Cab Floorspace'!F25*$B$85)</f>
        <v>1335.2639999999999</v>
      </c>
    </row>
    <row r="92" spans="1:5">
      <c r="A92" t="s">
        <v>293</v>
      </c>
      <c r="B92" s="10">
        <f>('Cab Floorspace'!B35*$B$84)+('Cab Floorspace'!F35*$B$85)</f>
        <v>1174.752</v>
      </c>
    </row>
    <row r="93" spans="1:5">
      <c r="A93" t="s">
        <v>305</v>
      </c>
      <c r="B93" s="10">
        <f>('Cab Floorspace'!B27*$B$84)+('Cab Floorspace'!F27*$B$85)</f>
        <v>1535.04</v>
      </c>
    </row>
    <row r="94" spans="1:5">
      <c r="A94" t="s">
        <v>297</v>
      </c>
      <c r="B94" s="10">
        <f>('Cab Floorspace'!B26*$B$84)+('Cab Floorspace'!F26*$B$85)</f>
        <v>1596.576</v>
      </c>
    </row>
    <row r="95" spans="1:5">
      <c r="A95" s="347" t="s">
        <v>314</v>
      </c>
      <c r="B95" s="10" t="e">
        <f>(('Cab Floorspace'!#REF!+'Cab Floorspace'!B37+'Cab Floorspace'!B38+'Cab Floorspace'!B39)*$B$84)+(('Cab Floorspace'!#REF!+'Cab Floorspace'!F37+'Cab Floorspace'!F38+'Cab Floorspace'!F39)*$B$85)</f>
        <v>#REF!</v>
      </c>
    </row>
    <row r="96" spans="1:5">
      <c r="A96" t="s">
        <v>317</v>
      </c>
      <c r="B96" s="10">
        <f>('Cab Floorspace'!B24*$B$84)+('Cab Floorspace'!F24*$B$85)</f>
        <v>1684.8000000000002</v>
      </c>
    </row>
    <row r="97" spans="1:7">
      <c r="A97" t="s">
        <v>322</v>
      </c>
      <c r="B97" s="10">
        <f>('Cab Floorspace'!B23*$B$84)+('Cab Floorspace'!F23*$B$85)</f>
        <v>1401.4079999999999</v>
      </c>
    </row>
    <row r="98" spans="1:7">
      <c r="A98" t="s">
        <v>330</v>
      </c>
      <c r="B98" s="10">
        <f>('Cab Floorspace'!B28*$B$84)+('Cab Floorspace'!F28*$B$85)</f>
        <v>1890.5279999999998</v>
      </c>
      <c r="G98" s="348"/>
    </row>
    <row r="99" spans="1:7">
      <c r="A99" t="s">
        <v>335</v>
      </c>
      <c r="B99" s="10">
        <f>('Cab Floorspace'!B40*$B$84)+('Cab Floorspace'!F40*$B$85)</f>
        <v>1646.2080000000001</v>
      </c>
      <c r="G99" s="348"/>
    </row>
    <row r="100" spans="1:7">
      <c r="A100" t="s">
        <v>338</v>
      </c>
      <c r="B100" s="10">
        <f>('Cab Floorspace'!B41*$B$84)+('Cab Floorspace'!F41*$B$85)</f>
        <v>1657.6320000000001</v>
      </c>
      <c r="G100" s="348"/>
    </row>
    <row r="101" spans="1:7">
      <c r="A101" t="s">
        <v>341</v>
      </c>
      <c r="B101" s="10">
        <f>('Cab Floorspace'!B42*$B$84)+('Cab Floorspace'!F42*$B$85)</f>
        <v>1353.0239999999999</v>
      </c>
    </row>
    <row r="103" spans="1:7">
      <c r="A103" t="s">
        <v>350</v>
      </c>
      <c r="B103" s="10">
        <f>('Cab Floorspace'!B68*$B$84)+('Cab Floorspace'!G68*$B$85)</f>
        <v>118.65599999999999</v>
      </c>
    </row>
    <row r="104" spans="1:7">
      <c r="A104" t="s">
        <v>355</v>
      </c>
      <c r="B104" s="10">
        <f>('Cab Floorspace'!B69*$B$84)+('Cab Floorspace'!G69*$B$85)</f>
        <v>133.63199999999998</v>
      </c>
    </row>
    <row r="105" spans="1:7">
      <c r="A105" t="s">
        <v>352</v>
      </c>
      <c r="B105" s="10">
        <f>('Cab Floorspace'!B70*$B$84)+('Cab Floorspace'!G70*$B$85)</f>
        <v>140.54399999999998</v>
      </c>
    </row>
    <row r="106" spans="1:7">
      <c r="A106" t="s">
        <v>357</v>
      </c>
      <c r="B106" s="10">
        <f>('Cab Floorspace'!B71*$B$84)+('Cab Floorspace'!G71*$B$85)</f>
        <v>207.35999999999999</v>
      </c>
    </row>
    <row r="107" spans="1:7">
      <c r="A107" t="s">
        <v>359</v>
      </c>
      <c r="B107" s="10">
        <f>33*$B$84</f>
        <v>38.015999999999998</v>
      </c>
      <c r="C107" s="347" t="s">
        <v>764</v>
      </c>
    </row>
    <row r="108" spans="1:7">
      <c r="A108" t="s">
        <v>677</v>
      </c>
      <c r="B108" s="10">
        <f>29*$B$84</f>
        <v>33.407999999999994</v>
      </c>
      <c r="C108" s="347" t="s">
        <v>764</v>
      </c>
    </row>
    <row r="109" spans="1:7">
      <c r="A109" t="s">
        <v>361</v>
      </c>
      <c r="B109" s="10">
        <f>('Cab Floorspace'!B73*$B$84)+('Cab Floorspace'!G73*$B$85)</f>
        <v>259.2</v>
      </c>
    </row>
    <row r="110" spans="1:7">
      <c r="A110" s="347" t="s">
        <v>363</v>
      </c>
      <c r="B110" s="10">
        <f>(('Cab Floorspace'!B75+105)*$B$84)+('Cab Floorspace'!G75*$B$85)</f>
        <v>205.05599999999998</v>
      </c>
      <c r="C110" s="347" t="s">
        <v>765</v>
      </c>
    </row>
    <row r="111" spans="1:7">
      <c r="A111" t="s">
        <v>365</v>
      </c>
      <c r="B111" s="10">
        <f>('Cab Floorspace'!B76*$B$84)+('Cab Floorspace'!G76*$B$85)+'Cab Floorspace'!B85</f>
        <v>333.50399999999996</v>
      </c>
    </row>
    <row r="112" spans="1:7">
      <c r="A112" s="347" t="s">
        <v>370</v>
      </c>
      <c r="B112" s="10">
        <f>(('Cab Floorspace'!B78+29)*$B$84)+(('Cab Floorspace'!G78+11)*$B$85)</f>
        <v>172.89599999999999</v>
      </c>
      <c r="C112" s="347" t="s">
        <v>766</v>
      </c>
    </row>
    <row r="113" spans="1:2">
      <c r="A113" t="s">
        <v>372</v>
      </c>
      <c r="B113" s="10">
        <f>('Cab Floorspace'!B80*$B$84)+('Cab Floorspace'!G80*$B$85)</f>
        <v>175.10399999999998</v>
      </c>
    </row>
    <row r="114" spans="1:2">
      <c r="A114" t="s">
        <v>374</v>
      </c>
      <c r="B114" s="10">
        <f>('Cab Floorspace'!B81*$B$84)+('Cab Floorspace'!G81*$B$85)</f>
        <v>73.727999999999994</v>
      </c>
    </row>
  </sheetData>
  <mergeCells count="28">
    <mergeCell ref="A69:A70"/>
    <mergeCell ref="A57:A58"/>
    <mergeCell ref="A59:A60"/>
    <mergeCell ref="A61:A62"/>
    <mergeCell ref="A65:A66"/>
    <mergeCell ref="A67:A68"/>
    <mergeCell ref="A63:A64"/>
    <mergeCell ref="A49:A50"/>
    <mergeCell ref="A51:A52"/>
    <mergeCell ref="A53:A54"/>
    <mergeCell ref="A55:A56"/>
    <mergeCell ref="A15:A16"/>
    <mergeCell ref="A17:A18"/>
    <mergeCell ref="A19:A20"/>
    <mergeCell ref="A34:A35"/>
    <mergeCell ref="A36:A37"/>
    <mergeCell ref="A28:A29"/>
    <mergeCell ref="A30:A31"/>
    <mergeCell ref="A32:A33"/>
    <mergeCell ref="A13:A14"/>
    <mergeCell ref="A47:A48"/>
    <mergeCell ref="A3:A4"/>
    <mergeCell ref="A5:A6"/>
    <mergeCell ref="A7:A8"/>
    <mergeCell ref="A24:A25"/>
    <mergeCell ref="A26:A27"/>
    <mergeCell ref="A9:A10"/>
    <mergeCell ref="A11:A12"/>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S94"/>
  <sheetViews>
    <sheetView topLeftCell="E43" zoomScale="70" zoomScaleNormal="70" workbookViewId="0">
      <selection activeCell="AE53" sqref="AE53"/>
    </sheetView>
  </sheetViews>
  <sheetFormatPr defaultColWidth="8.6640625" defaultRowHeight="10.15"/>
  <cols>
    <col min="1" max="1" width="30.5" bestFit="1" customWidth="1"/>
    <col min="2" max="2" width="17.6640625" bestFit="1" customWidth="1"/>
    <col min="3" max="3" width="13.6640625" bestFit="1" customWidth="1"/>
    <col min="4" max="4" width="13.5" bestFit="1" customWidth="1"/>
    <col min="5" max="5" width="12.6640625" bestFit="1" customWidth="1"/>
    <col min="6" max="6" width="19.6640625" bestFit="1" customWidth="1"/>
  </cols>
  <sheetData>
    <row r="1" spans="1:6">
      <c r="A1" s="354"/>
      <c r="B1" s="354"/>
      <c r="C1" s="354"/>
      <c r="D1" s="354"/>
      <c r="E1" s="354"/>
      <c r="F1" s="354"/>
    </row>
    <row r="2" spans="1:6">
      <c r="A2" s="354"/>
      <c r="B2" s="354"/>
      <c r="C2" s="354"/>
      <c r="D2" s="354"/>
      <c r="E2" s="354"/>
      <c r="F2" s="354"/>
    </row>
    <row r="3" spans="1:6">
      <c r="A3" s="354"/>
      <c r="B3" s="354"/>
      <c r="D3" s="354"/>
      <c r="E3" s="354"/>
      <c r="F3" s="354"/>
    </row>
    <row r="4" spans="1:6">
      <c r="A4" s="450" t="s">
        <v>767</v>
      </c>
      <c r="B4" s="354"/>
      <c r="D4" s="354"/>
      <c r="E4" s="354"/>
      <c r="F4" s="354"/>
    </row>
    <row r="5" spans="1:6">
      <c r="A5" s="354"/>
      <c r="B5" s="354"/>
      <c r="C5" s="354"/>
      <c r="D5" s="354"/>
      <c r="E5" s="354"/>
      <c r="F5" s="354"/>
    </row>
    <row r="6" spans="1:6">
      <c r="A6" s="354"/>
      <c r="B6" s="354"/>
      <c r="C6" s="354"/>
      <c r="D6" s="354"/>
      <c r="E6" s="354"/>
      <c r="F6" s="354"/>
    </row>
    <row r="7" spans="1:6">
      <c r="A7" s="354"/>
      <c r="B7" s="354"/>
      <c r="C7" s="354"/>
      <c r="D7" s="354"/>
      <c r="E7" s="354"/>
      <c r="F7" s="354"/>
    </row>
    <row r="8" spans="1:6">
      <c r="A8" s="354"/>
      <c r="B8" s="354"/>
      <c r="C8" s="354"/>
      <c r="D8" s="354"/>
      <c r="E8" s="354"/>
      <c r="F8" s="354"/>
    </row>
    <row r="9" spans="1:6">
      <c r="A9" s="354"/>
      <c r="B9" s="354"/>
      <c r="C9" s="354"/>
      <c r="D9" s="354"/>
      <c r="E9" s="354"/>
      <c r="F9" s="354"/>
    </row>
    <row r="10" spans="1:6">
      <c r="A10" s="354"/>
      <c r="B10" s="354"/>
      <c r="C10" s="354"/>
      <c r="D10" s="354"/>
      <c r="E10" s="354"/>
      <c r="F10" s="354"/>
    </row>
    <row r="11" spans="1:6">
      <c r="B11" s="354"/>
      <c r="C11" s="354"/>
      <c r="D11" s="354"/>
      <c r="E11" s="354"/>
      <c r="F11" s="354"/>
    </row>
    <row r="39" spans="1:1">
      <c r="A39" s="347" t="s">
        <v>768</v>
      </c>
    </row>
    <row r="44" spans="1:1" ht="12" customHeight="1">
      <c r="A44" s="328" t="s">
        <v>769</v>
      </c>
    </row>
    <row r="56" spans="19:19">
      <c r="S56" s="347"/>
    </row>
    <row r="69" spans="1:1">
      <c r="A69" s="347" t="s">
        <v>770</v>
      </c>
    </row>
    <row r="94" spans="3:3">
      <c r="C94" s="347" t="s">
        <v>771</v>
      </c>
    </row>
  </sheetData>
  <pageMargins left="0.7" right="0.7" top="0.75" bottom="0.75" header="0.3" footer="0.3"/>
  <pageSetup paperSize="9" orientation="portrait" r:id="rId1"/>
  <headerFooter>
    <oddFooter>&amp;L&amp;1#&amp;"Calibri"&amp;7&amp;K000000C2 General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E168"/>
  <sheetViews>
    <sheetView topLeftCell="A61" zoomScale="90" zoomScaleNormal="90" workbookViewId="0">
      <selection activeCell="B99" sqref="B99"/>
    </sheetView>
  </sheetViews>
  <sheetFormatPr defaultColWidth="8.6640625" defaultRowHeight="10.15"/>
  <cols>
    <col min="1" max="2" width="9.1640625"/>
    <col min="4" max="4" width="20.5" bestFit="1" customWidth="1"/>
    <col min="5" max="5" width="9.1640625"/>
  </cols>
  <sheetData>
    <row r="1" spans="1:22">
      <c r="A1" s="358"/>
      <c r="B1" s="452"/>
      <c r="C1" s="453" t="s">
        <v>772</v>
      </c>
      <c r="D1" s="454" t="s">
        <v>694</v>
      </c>
      <c r="E1" s="812"/>
      <c r="J1" s="11"/>
      <c r="K1" s="11"/>
      <c r="L1" s="11"/>
      <c r="M1" s="11"/>
      <c r="N1" s="11"/>
      <c r="O1" s="11"/>
      <c r="P1" s="11"/>
      <c r="Q1" s="11"/>
      <c r="R1" s="11"/>
      <c r="S1" s="11"/>
      <c r="T1" s="11"/>
      <c r="U1" s="11"/>
      <c r="V1" s="11"/>
    </row>
    <row r="2" spans="1:22">
      <c r="A2" s="1394" t="s">
        <v>277</v>
      </c>
      <c r="B2" s="11">
        <v>45017</v>
      </c>
      <c r="C2" s="354">
        <v>377.29047708129895</v>
      </c>
      <c r="D2" s="460">
        <v>126.70952291870105</v>
      </c>
      <c r="E2" s="347"/>
    </row>
    <row r="3" spans="1:22">
      <c r="A3" s="1394"/>
      <c r="B3" s="11">
        <v>45047</v>
      </c>
      <c r="C3" s="354">
        <v>376.97649999999999</v>
      </c>
      <c r="D3" s="460">
        <v>127.02350000000001</v>
      </c>
      <c r="E3" s="347"/>
    </row>
    <row r="4" spans="1:22">
      <c r="A4" s="1394"/>
      <c r="B4" s="11">
        <v>45078</v>
      </c>
      <c r="C4" s="354">
        <v>378.24525827026378</v>
      </c>
      <c r="D4" s="460">
        <v>125.75474172973622</v>
      </c>
      <c r="E4" s="347"/>
    </row>
    <row r="5" spans="1:22">
      <c r="A5" s="1394"/>
      <c r="B5" s="11">
        <v>45108</v>
      </c>
      <c r="C5" s="354">
        <v>376.93262789916992</v>
      </c>
      <c r="D5" s="460">
        <v>127.06737210083008</v>
      </c>
      <c r="E5" s="347"/>
    </row>
    <row r="6" spans="1:22">
      <c r="A6" s="1394"/>
      <c r="B6" s="11">
        <v>45139</v>
      </c>
      <c r="C6" s="354">
        <v>376.54050000000001</v>
      </c>
      <c r="D6" s="460">
        <v>127.45949999999999</v>
      </c>
      <c r="E6" s="347"/>
    </row>
    <row r="7" spans="1:22">
      <c r="A7" s="1394"/>
      <c r="B7" s="11">
        <v>45170</v>
      </c>
      <c r="C7" s="354">
        <v>376.32249999999999</v>
      </c>
      <c r="D7" s="460">
        <v>127.67750000000001</v>
      </c>
      <c r="E7" s="347"/>
    </row>
    <row r="8" spans="1:22">
      <c r="A8" s="1394"/>
      <c r="B8" s="11">
        <v>45200</v>
      </c>
      <c r="C8" s="354">
        <v>376.75850000000003</v>
      </c>
      <c r="D8" s="460">
        <v>127.24149999999997</v>
      </c>
      <c r="E8" s="347"/>
      <c r="I8" s="347"/>
    </row>
    <row r="9" spans="1:22">
      <c r="A9" s="1394"/>
      <c r="B9" s="11">
        <v>45231</v>
      </c>
      <c r="C9" s="354">
        <v>376.97649999999999</v>
      </c>
      <c r="D9" s="460">
        <v>127.02350000000001</v>
      </c>
      <c r="E9" s="347"/>
    </row>
    <row r="10" spans="1:22">
      <c r="A10" s="1394"/>
      <c r="B10" s="11">
        <v>45261</v>
      </c>
      <c r="C10" s="354">
        <v>376.64949999999999</v>
      </c>
      <c r="D10" s="460">
        <v>127.35050000000001</v>
      </c>
      <c r="E10" s="347"/>
    </row>
    <row r="11" spans="1:22">
      <c r="A11" s="1394"/>
      <c r="B11" s="11">
        <v>45292</v>
      </c>
      <c r="C11" s="354">
        <v>378.91272027587888</v>
      </c>
      <c r="D11" s="460">
        <v>125.08727972412112</v>
      </c>
      <c r="E11" s="347"/>
    </row>
    <row r="12" spans="1:22">
      <c r="A12" s="1394"/>
      <c r="B12" s="11">
        <v>45323</v>
      </c>
      <c r="C12" s="354">
        <v>372.67099999999999</v>
      </c>
      <c r="D12" s="460">
        <v>131.32900000000001</v>
      </c>
      <c r="E12" s="347"/>
    </row>
    <row r="13" spans="1:22">
      <c r="A13" s="1394"/>
      <c r="B13" s="11">
        <v>45352</v>
      </c>
      <c r="C13" s="354">
        <v>367.548</v>
      </c>
      <c r="D13" s="460">
        <v>136.452</v>
      </c>
      <c r="E13" s="347"/>
    </row>
    <row r="14" spans="1:22" ht="10.9" thickBot="1">
      <c r="A14" s="1394"/>
      <c r="B14" s="11">
        <v>45383</v>
      </c>
      <c r="C14" s="354">
        <f>'Plant loading'!G9</f>
        <v>370.6</v>
      </c>
      <c r="D14" s="460">
        <f>504-C14</f>
        <v>133.39999999999998</v>
      </c>
      <c r="E14" s="347"/>
      <c r="S14" t="s">
        <v>271</v>
      </c>
      <c r="T14">
        <v>315</v>
      </c>
    </row>
    <row r="15" spans="1:22">
      <c r="A15" s="1393" t="s">
        <v>322</v>
      </c>
      <c r="B15" s="452"/>
      <c r="C15" s="453" t="s">
        <v>772</v>
      </c>
      <c r="D15" s="454" t="s">
        <v>694</v>
      </c>
      <c r="E15" s="347"/>
    </row>
    <row r="16" spans="1:22">
      <c r="A16" s="1394"/>
      <c r="B16" s="11">
        <v>45017</v>
      </c>
      <c r="C16" s="450">
        <v>384.98306106567412</v>
      </c>
      <c r="D16" s="460">
        <v>95.016938934325879</v>
      </c>
      <c r="S16" t="s">
        <v>773</v>
      </c>
      <c r="T16">
        <v>504</v>
      </c>
    </row>
    <row r="17" spans="1:20">
      <c r="A17" s="1394"/>
      <c r="B17" s="11">
        <v>45047</v>
      </c>
      <c r="C17" s="354">
        <v>384.61649999999997</v>
      </c>
      <c r="D17" s="460">
        <v>95.383500000000026</v>
      </c>
      <c r="S17" t="s">
        <v>774</v>
      </c>
      <c r="T17">
        <v>315</v>
      </c>
    </row>
    <row r="18" spans="1:20">
      <c r="A18" s="1394"/>
      <c r="B18" s="11">
        <v>45078</v>
      </c>
      <c r="C18" s="354">
        <v>385.57956729126067</v>
      </c>
      <c r="D18" s="460">
        <v>94.420432708739327</v>
      </c>
      <c r="S18" t="s">
        <v>688</v>
      </c>
      <c r="T18">
        <v>450</v>
      </c>
    </row>
    <row r="19" spans="1:20">
      <c r="A19" s="1394"/>
      <c r="B19" s="11">
        <v>45108</v>
      </c>
      <c r="C19" s="354">
        <v>390.32874798584072</v>
      </c>
      <c r="D19" s="460">
        <v>89.671252014159279</v>
      </c>
      <c r="S19" t="s">
        <v>775</v>
      </c>
      <c r="T19">
        <v>450</v>
      </c>
    </row>
    <row r="20" spans="1:20">
      <c r="A20" s="1394"/>
      <c r="B20" s="11">
        <v>45139</v>
      </c>
      <c r="C20" s="354">
        <v>389.63049999999998</v>
      </c>
      <c r="D20" s="460">
        <v>90.369500000000016</v>
      </c>
      <c r="S20" t="s">
        <v>776</v>
      </c>
      <c r="T20">
        <v>450</v>
      </c>
    </row>
    <row r="21" spans="1:20">
      <c r="A21" s="1394"/>
      <c r="B21" s="11">
        <v>45170</v>
      </c>
      <c r="C21" s="354">
        <v>385.43400000000003</v>
      </c>
      <c r="D21" s="460">
        <v>94.565999999999974</v>
      </c>
    </row>
    <row r="22" spans="1:20">
      <c r="A22" s="1394"/>
      <c r="B22" s="11">
        <v>45200</v>
      </c>
      <c r="C22" s="354">
        <v>381.18299999999999</v>
      </c>
      <c r="D22" s="460">
        <v>98.817000000000007</v>
      </c>
    </row>
    <row r="23" spans="1:20">
      <c r="A23" s="1394"/>
      <c r="B23" s="11">
        <v>45231</v>
      </c>
      <c r="C23" s="354">
        <v>377.85849999999999</v>
      </c>
      <c r="D23" s="460">
        <v>102.14150000000001</v>
      </c>
    </row>
    <row r="24" spans="1:20">
      <c r="A24" s="1394"/>
      <c r="B24" s="11">
        <v>45261</v>
      </c>
      <c r="C24" s="354">
        <v>379.43900000000002</v>
      </c>
      <c r="D24" s="460">
        <v>100.56099999999998</v>
      </c>
    </row>
    <row r="25" spans="1:20">
      <c r="A25" s="1394"/>
      <c r="B25" s="11">
        <v>45292</v>
      </c>
      <c r="C25" s="354">
        <v>380.27982815551775</v>
      </c>
      <c r="D25" s="460">
        <v>99.720171844482252</v>
      </c>
    </row>
    <row r="26" spans="1:20">
      <c r="A26" s="1394"/>
      <c r="B26" s="11">
        <v>45323</v>
      </c>
      <c r="C26" s="354">
        <v>379.76600000000002</v>
      </c>
      <c r="D26" s="460">
        <v>100.23399999999998</v>
      </c>
    </row>
    <row r="27" spans="1:20">
      <c r="A27" s="1394"/>
      <c r="B27" s="11">
        <v>45352</v>
      </c>
      <c r="C27" s="354">
        <v>380.09300000000002</v>
      </c>
      <c r="D27" s="457">
        <v>99.906999999999982</v>
      </c>
    </row>
    <row r="28" spans="1:20" ht="10.9" thickBot="1">
      <c r="A28" s="1394"/>
      <c r="B28" s="11">
        <v>45383</v>
      </c>
      <c r="C28" s="354">
        <f>'Plant loading'!G64+'Power figures'!J11</f>
        <v>383.14749999999998</v>
      </c>
      <c r="D28" s="457">
        <f>480-C28</f>
        <v>96.85250000000002</v>
      </c>
    </row>
    <row r="29" spans="1:20">
      <c r="A29" s="1393" t="s">
        <v>317</v>
      </c>
      <c r="B29" s="452"/>
      <c r="C29" s="453" t="s">
        <v>772</v>
      </c>
      <c r="D29" s="454" t="s">
        <v>694</v>
      </c>
    </row>
    <row r="30" spans="1:20">
      <c r="A30" s="1394"/>
      <c r="B30" s="11">
        <v>45017</v>
      </c>
      <c r="C30" s="354">
        <v>345.96600000000001</v>
      </c>
      <c r="D30" s="457">
        <v>134.03399999999999</v>
      </c>
    </row>
    <row r="31" spans="1:20">
      <c r="A31" s="1394"/>
      <c r="B31" s="11">
        <v>45047</v>
      </c>
      <c r="C31" s="354">
        <v>347.32850000000002</v>
      </c>
      <c r="D31" s="457">
        <v>132.67149999999998</v>
      </c>
    </row>
    <row r="32" spans="1:20">
      <c r="A32" s="1394"/>
      <c r="B32" s="11">
        <v>45078</v>
      </c>
      <c r="C32" s="354">
        <v>346.23849999999999</v>
      </c>
      <c r="D32" s="457">
        <v>133.76150000000001</v>
      </c>
    </row>
    <row r="33" spans="1:4">
      <c r="A33" s="1394"/>
      <c r="B33" s="11">
        <v>45108</v>
      </c>
      <c r="C33" s="354">
        <v>342.64150000000001</v>
      </c>
      <c r="D33" s="457">
        <v>137.35849999999999</v>
      </c>
    </row>
    <row r="34" spans="1:4">
      <c r="A34" s="1394"/>
      <c r="B34" s="11">
        <v>45139</v>
      </c>
      <c r="C34" s="354">
        <v>344.6035</v>
      </c>
      <c r="D34" s="457">
        <v>135.3965</v>
      </c>
    </row>
    <row r="35" spans="1:4">
      <c r="A35" s="1394"/>
      <c r="B35" s="11">
        <v>45170</v>
      </c>
      <c r="C35" s="354">
        <v>340.84300000000002</v>
      </c>
      <c r="D35" s="457">
        <v>139.15699999999998</v>
      </c>
    </row>
    <row r="36" spans="1:4">
      <c r="A36" s="1394"/>
      <c r="B36" s="11">
        <v>45200</v>
      </c>
      <c r="C36" s="354">
        <v>327.59949999999998</v>
      </c>
      <c r="D36" s="457">
        <v>152.40050000000002</v>
      </c>
    </row>
    <row r="37" spans="1:4">
      <c r="A37" s="1394"/>
      <c r="B37" s="11">
        <v>45231</v>
      </c>
      <c r="C37" s="354">
        <v>330.815</v>
      </c>
      <c r="D37" s="457">
        <v>149.185</v>
      </c>
    </row>
    <row r="38" spans="1:4">
      <c r="A38" s="1394"/>
      <c r="B38" s="11">
        <v>45261</v>
      </c>
      <c r="C38" s="354">
        <v>330.70600000000002</v>
      </c>
      <c r="D38" s="457">
        <v>149.29399999999998</v>
      </c>
    </row>
    <row r="39" spans="1:4">
      <c r="A39" s="1394"/>
      <c r="B39" s="11">
        <v>45292</v>
      </c>
      <c r="C39" s="354">
        <v>331.52350000000001</v>
      </c>
      <c r="D39" s="457">
        <v>148.47649999999999</v>
      </c>
    </row>
    <row r="40" spans="1:4">
      <c r="A40" s="1394"/>
      <c r="B40" s="11">
        <v>45323</v>
      </c>
      <c r="C40" s="354">
        <v>331.25099999999998</v>
      </c>
      <c r="D40" s="457">
        <v>148.74900000000002</v>
      </c>
    </row>
    <row r="41" spans="1:4">
      <c r="A41" s="1394"/>
      <c r="B41" s="11">
        <v>45352</v>
      </c>
      <c r="C41" s="354">
        <v>335.82900000000001</v>
      </c>
      <c r="D41" s="457">
        <v>144.17099999999999</v>
      </c>
    </row>
    <row r="42" spans="1:4">
      <c r="A42" s="1394"/>
      <c r="B42" s="11">
        <v>45383</v>
      </c>
      <c r="C42" s="354">
        <f>'Plant loading'!G56</f>
        <v>335.55650000000003</v>
      </c>
      <c r="D42" s="457">
        <f>480-C42</f>
        <v>144.44349999999997</v>
      </c>
    </row>
    <row r="43" spans="1:4">
      <c r="A43" s="1396" t="s">
        <v>288</v>
      </c>
      <c r="B43" s="782"/>
      <c r="C43" s="783" t="s">
        <v>772</v>
      </c>
      <c r="D43" s="784" t="s">
        <v>694</v>
      </c>
    </row>
    <row r="44" spans="1:4">
      <c r="A44" s="1397"/>
      <c r="B44" s="11">
        <v>45017</v>
      </c>
      <c r="C44" s="354">
        <v>295.35201565551756</v>
      </c>
      <c r="D44" s="785">
        <v>82.647984344482438</v>
      </c>
    </row>
    <row r="45" spans="1:4">
      <c r="A45" s="1397"/>
      <c r="B45" s="11">
        <v>45047</v>
      </c>
      <c r="C45" s="354">
        <v>295.98950000000002</v>
      </c>
      <c r="D45" s="785">
        <v>82.010499999999979</v>
      </c>
    </row>
    <row r="46" spans="1:4">
      <c r="A46" s="1397"/>
      <c r="B46" s="11">
        <v>45078</v>
      </c>
      <c r="C46" s="354">
        <v>295.09728204345703</v>
      </c>
      <c r="D46" s="785">
        <v>82.902717956542972</v>
      </c>
    </row>
    <row r="47" spans="1:4">
      <c r="A47" s="1397"/>
      <c r="B47" s="11">
        <v>45108</v>
      </c>
      <c r="C47" s="354">
        <v>297.4251379089356</v>
      </c>
      <c r="D47" s="785">
        <v>80.574862091064404</v>
      </c>
    </row>
    <row r="48" spans="1:4">
      <c r="A48" s="1397"/>
      <c r="B48" s="11">
        <v>45139</v>
      </c>
      <c r="C48" s="354">
        <v>296.97050000000002</v>
      </c>
      <c r="D48" s="785">
        <v>81.029499999999985</v>
      </c>
    </row>
    <row r="49" spans="1:4">
      <c r="A49" s="1397"/>
      <c r="B49" s="11">
        <v>45170</v>
      </c>
      <c r="C49" s="354">
        <v>294.19099999999997</v>
      </c>
      <c r="D49" s="785">
        <v>83.809000000000026</v>
      </c>
    </row>
    <row r="50" spans="1:4">
      <c r="A50" s="1397"/>
      <c r="B50" s="11">
        <v>45200</v>
      </c>
      <c r="C50" s="354">
        <v>293.2645</v>
      </c>
      <c r="D50" s="785">
        <v>84.735500000000002</v>
      </c>
    </row>
    <row r="51" spans="1:4">
      <c r="A51" s="1397"/>
      <c r="B51" s="11">
        <v>45231</v>
      </c>
      <c r="C51" s="354">
        <v>292.99200000000002</v>
      </c>
      <c r="D51" s="785">
        <v>85.007999999999981</v>
      </c>
    </row>
    <row r="52" spans="1:4">
      <c r="A52" s="1397"/>
      <c r="B52" s="11">
        <v>45261</v>
      </c>
      <c r="C52" s="354">
        <v>287.16050000000001</v>
      </c>
      <c r="D52" s="785">
        <v>90.839499999999987</v>
      </c>
    </row>
    <row r="53" spans="1:4">
      <c r="A53" s="1397"/>
      <c r="B53" s="11">
        <v>45292</v>
      </c>
      <c r="C53" s="354">
        <v>286.98931265258801</v>
      </c>
      <c r="D53" s="785">
        <v>91.010687347411988</v>
      </c>
    </row>
    <row r="54" spans="1:4">
      <c r="A54" s="1397"/>
      <c r="B54" s="11">
        <v>45323</v>
      </c>
      <c r="C54" s="354">
        <v>285.6345</v>
      </c>
      <c r="D54" s="785">
        <v>92.365499999999997</v>
      </c>
    </row>
    <row r="55" spans="1:4">
      <c r="A55" s="1397"/>
      <c r="B55" s="11">
        <v>45352</v>
      </c>
      <c r="C55" s="354">
        <v>286.9425</v>
      </c>
      <c r="D55" s="785">
        <v>91.057500000000005</v>
      </c>
    </row>
    <row r="56" spans="1:4" ht="10.9" thickBot="1">
      <c r="A56" s="1398"/>
      <c r="B56" s="786">
        <v>45383</v>
      </c>
      <c r="C56" s="787">
        <f>'Plant loading'!G22</f>
        <v>290.1035</v>
      </c>
      <c r="D56" s="788">
        <f>378-C56</f>
        <v>87.896500000000003</v>
      </c>
    </row>
    <row r="57" spans="1:4">
      <c r="A57" s="1394" t="s">
        <v>297</v>
      </c>
      <c r="C57" s="347" t="s">
        <v>772</v>
      </c>
      <c r="D57" s="750" t="s">
        <v>694</v>
      </c>
    </row>
    <row r="58" spans="1:4">
      <c r="A58" s="1394"/>
      <c r="B58" s="11">
        <v>45017</v>
      </c>
      <c r="C58" s="354">
        <v>294.26004641723642</v>
      </c>
      <c r="D58" s="457">
        <v>167.73995358276358</v>
      </c>
    </row>
    <row r="59" spans="1:4">
      <c r="A59" s="1394"/>
      <c r="B59" s="11">
        <v>45047</v>
      </c>
      <c r="C59" s="354">
        <v>297.51549999999997</v>
      </c>
      <c r="D59" s="457">
        <v>164.48450000000003</v>
      </c>
    </row>
    <row r="60" spans="1:4">
      <c r="A60" s="1394"/>
      <c r="B60" s="11">
        <v>45078</v>
      </c>
      <c r="C60" s="354">
        <v>291.85992749023444</v>
      </c>
      <c r="D60" s="457">
        <v>170.14007250976556</v>
      </c>
    </row>
    <row r="61" spans="1:4">
      <c r="A61" s="1394"/>
      <c r="B61" s="11">
        <v>45108</v>
      </c>
      <c r="C61" s="354">
        <v>292.66036630249022</v>
      </c>
      <c r="D61" s="457">
        <v>169.33963369750978</v>
      </c>
    </row>
    <row r="62" spans="1:4">
      <c r="A62" s="1394"/>
      <c r="B62" s="11">
        <v>45139</v>
      </c>
      <c r="C62" s="354">
        <v>293.97300000000001</v>
      </c>
      <c r="D62" s="457">
        <v>168.02699999999999</v>
      </c>
    </row>
    <row r="63" spans="1:4">
      <c r="A63" s="1394"/>
      <c r="B63" s="11">
        <v>45170</v>
      </c>
      <c r="C63" s="354">
        <v>295.17200000000003</v>
      </c>
      <c r="D63" s="457">
        <v>166.82799999999997</v>
      </c>
    </row>
    <row r="64" spans="1:4">
      <c r="A64" s="1394"/>
      <c r="B64" s="11">
        <v>45200</v>
      </c>
      <c r="C64" s="354">
        <v>292.55599999999998</v>
      </c>
      <c r="D64" s="457">
        <v>169.44400000000002</v>
      </c>
    </row>
    <row r="65" spans="1:31">
      <c r="A65" s="1394"/>
      <c r="B65" s="11">
        <v>45231</v>
      </c>
      <c r="C65" s="354">
        <v>293.53699999999998</v>
      </c>
      <c r="D65" s="457">
        <v>168.46300000000002</v>
      </c>
    </row>
    <row r="66" spans="1:31">
      <c r="A66" s="1394"/>
      <c r="B66" s="11">
        <v>45261</v>
      </c>
      <c r="C66" s="354">
        <v>289.50400000000002</v>
      </c>
      <c r="D66" s="457">
        <v>172.49599999999998</v>
      </c>
    </row>
    <row r="67" spans="1:31">
      <c r="A67" s="1394"/>
      <c r="B67" s="11">
        <v>45292</v>
      </c>
      <c r="C67" s="354">
        <v>290.37599999999998</v>
      </c>
      <c r="D67" s="457">
        <v>171.62400000000002</v>
      </c>
    </row>
    <row r="68" spans="1:31">
      <c r="A68" s="1394"/>
      <c r="B68" s="11">
        <v>45323</v>
      </c>
      <c r="C68" s="354">
        <v>295.17200000000003</v>
      </c>
      <c r="D68" s="457">
        <v>166.82799999999997</v>
      </c>
    </row>
    <row r="69" spans="1:31">
      <c r="A69" s="1394"/>
      <c r="B69" s="11">
        <v>45352</v>
      </c>
      <c r="C69" s="354">
        <v>295.22649999999999</v>
      </c>
      <c r="D69" s="457">
        <v>166.77350000000001</v>
      </c>
    </row>
    <row r="70" spans="1:31" ht="10.9" thickBot="1">
      <c r="A70" s="1394"/>
      <c r="B70" s="11">
        <v>45383</v>
      </c>
      <c r="C70" s="354">
        <f>'Plant loading'!G39</f>
        <v>285.798</v>
      </c>
      <c r="D70" s="457">
        <f>462-C70</f>
        <v>176.202</v>
      </c>
    </row>
    <row r="71" spans="1:31">
      <c r="A71" s="1393" t="s">
        <v>305</v>
      </c>
      <c r="B71" s="452"/>
      <c r="C71" s="453" t="s">
        <v>772</v>
      </c>
      <c r="D71" s="454" t="s">
        <v>694</v>
      </c>
    </row>
    <row r="72" spans="1:31">
      <c r="A72" s="1394"/>
      <c r="B72" s="11">
        <v>45017</v>
      </c>
      <c r="C72" s="354">
        <v>280.16694982910167</v>
      </c>
      <c r="D72" s="457">
        <v>184.83305017089833</v>
      </c>
    </row>
    <row r="73" spans="1:31">
      <c r="A73" s="1394"/>
      <c r="B73" s="11">
        <v>45047</v>
      </c>
      <c r="C73" s="354">
        <v>283.99950000000001</v>
      </c>
      <c r="D73" s="457">
        <v>181.00049999999999</v>
      </c>
    </row>
    <row r="74" spans="1:31">
      <c r="A74" s="1394"/>
      <c r="B74" s="11">
        <v>45078</v>
      </c>
      <c r="C74" s="354">
        <v>287.1368990783692</v>
      </c>
      <c r="D74" s="457">
        <v>177.8631009216308</v>
      </c>
    </row>
    <row r="75" spans="1:31">
      <c r="A75" s="1394"/>
      <c r="B75" s="11">
        <v>45108</v>
      </c>
      <c r="C75" s="354">
        <v>287.37849999999997</v>
      </c>
      <c r="D75" s="457">
        <v>177.62150000000003</v>
      </c>
    </row>
    <row r="76" spans="1:31">
      <c r="A76" s="1394"/>
      <c r="B76" s="11">
        <v>45139</v>
      </c>
      <c r="C76" s="354">
        <v>284.05399999999997</v>
      </c>
      <c r="D76" s="457">
        <v>180.94600000000003</v>
      </c>
    </row>
    <row r="77" spans="1:31">
      <c r="A77" s="1394"/>
      <c r="B77" s="11">
        <v>45170</v>
      </c>
      <c r="C77" s="354">
        <v>263.72550000000001</v>
      </c>
      <c r="D77" s="457">
        <v>201.27449999999999</v>
      </c>
    </row>
    <row r="78" spans="1:31">
      <c r="A78" s="1394"/>
      <c r="B78" s="11">
        <v>45200</v>
      </c>
      <c r="C78" s="354">
        <v>262.90800000000002</v>
      </c>
      <c r="D78" s="457">
        <v>202.09199999999998</v>
      </c>
    </row>
    <row r="79" spans="1:31">
      <c r="A79" s="1394"/>
      <c r="B79" s="11">
        <v>45231</v>
      </c>
      <c r="C79" s="354">
        <v>260.78250000000003</v>
      </c>
      <c r="D79" s="457">
        <v>204.21749999999997</v>
      </c>
      <c r="F79" t="s">
        <v>442</v>
      </c>
      <c r="G79" s="11">
        <v>42736</v>
      </c>
      <c r="H79" s="11">
        <v>42826</v>
      </c>
      <c r="I79" s="11">
        <v>42917</v>
      </c>
      <c r="J79" s="11">
        <v>43009</v>
      </c>
      <c r="K79" s="11">
        <v>43101</v>
      </c>
      <c r="L79" s="11">
        <v>43191</v>
      </c>
      <c r="M79" s="11">
        <v>43282</v>
      </c>
      <c r="N79" s="11">
        <v>43374</v>
      </c>
      <c r="O79" s="11">
        <v>43466</v>
      </c>
      <c r="P79" s="11">
        <v>43556</v>
      </c>
      <c r="Q79" s="11">
        <v>43647</v>
      </c>
      <c r="R79" s="11">
        <v>43739</v>
      </c>
      <c r="S79" s="11">
        <v>43831</v>
      </c>
      <c r="T79" s="11">
        <v>43922</v>
      </c>
      <c r="U79" s="11">
        <v>44013</v>
      </c>
      <c r="V79" s="11">
        <v>44105</v>
      </c>
      <c r="W79" s="11">
        <v>44197</v>
      </c>
      <c r="X79" s="11">
        <v>44287</v>
      </c>
      <c r="Y79" s="11">
        <v>44378</v>
      </c>
      <c r="Z79" s="11">
        <v>44470</v>
      </c>
      <c r="AA79" s="11">
        <v>44562</v>
      </c>
      <c r="AB79" s="11">
        <v>44652</v>
      </c>
      <c r="AC79" s="11">
        <v>44743</v>
      </c>
      <c r="AD79" s="11">
        <v>44835</v>
      </c>
      <c r="AE79" s="11">
        <v>44927</v>
      </c>
    </row>
    <row r="80" spans="1:31">
      <c r="A80" s="1394"/>
      <c r="B80" s="11">
        <v>45261</v>
      </c>
      <c r="C80" s="354">
        <v>260.01949999999999</v>
      </c>
      <c r="D80" s="457">
        <v>204.98050000000001</v>
      </c>
      <c r="F80" s="23" t="s">
        <v>271</v>
      </c>
      <c r="G80" s="661">
        <v>175.8715</v>
      </c>
      <c r="H80" s="661">
        <v>164.20849999999999</v>
      </c>
      <c r="I80" s="661">
        <v>166.77</v>
      </c>
      <c r="J80" s="661">
        <v>171.45699999999999</v>
      </c>
      <c r="K80" s="354">
        <v>172.32900000000001</v>
      </c>
      <c r="L80" s="354">
        <v>165.244</v>
      </c>
      <c r="M80" s="354">
        <v>167.26050000000001</v>
      </c>
      <c r="N80" s="354">
        <v>168.18700000000001</v>
      </c>
      <c r="O80" s="354">
        <v>172.874</v>
      </c>
      <c r="P80" s="354">
        <v>179.08699999999999</v>
      </c>
      <c r="Q80" s="354">
        <v>180.286</v>
      </c>
      <c r="R80" s="354">
        <v>182.684</v>
      </c>
      <c r="S80" s="354">
        <v>188.29750000000001</v>
      </c>
      <c r="T80" s="354">
        <v>190</v>
      </c>
      <c r="U80" s="354">
        <v>200</v>
      </c>
      <c r="V80" s="354">
        <v>200</v>
      </c>
      <c r="W80" s="354">
        <v>198</v>
      </c>
    </row>
    <row r="81" spans="1:23" ht="11.1" customHeight="1">
      <c r="A81" s="1394"/>
      <c r="B81" s="11">
        <v>45292</v>
      </c>
      <c r="C81" s="354">
        <v>260.48231423950193</v>
      </c>
      <c r="D81" s="457">
        <v>204.51768576049807</v>
      </c>
      <c r="F81" s="23" t="s">
        <v>277</v>
      </c>
      <c r="G81" s="661">
        <v>294.40899999999999</v>
      </c>
      <c r="H81" s="661">
        <v>299.2595</v>
      </c>
      <c r="I81" s="661">
        <v>285.74349999999998</v>
      </c>
      <c r="J81" s="661">
        <v>286.452</v>
      </c>
      <c r="K81" s="354">
        <v>305.25450000000001</v>
      </c>
      <c r="L81" s="354">
        <v>321.11399999999998</v>
      </c>
      <c r="M81" s="354">
        <v>329.77949999999998</v>
      </c>
      <c r="N81" s="354">
        <v>330.92399999999998</v>
      </c>
      <c r="O81" s="354">
        <v>323.56650000000002</v>
      </c>
      <c r="P81" s="354">
        <v>350.16250000000002</v>
      </c>
      <c r="Q81" s="354">
        <v>340.51600000000002</v>
      </c>
      <c r="R81" s="354">
        <v>343.24099999999999</v>
      </c>
      <c r="S81" s="354">
        <v>369.12849999999997</v>
      </c>
      <c r="T81" s="354">
        <v>369</v>
      </c>
      <c r="U81" s="354">
        <v>376</v>
      </c>
      <c r="V81" s="354">
        <v>419</v>
      </c>
      <c r="W81" s="354">
        <v>406</v>
      </c>
    </row>
    <row r="82" spans="1:23" ht="11.1" customHeight="1">
      <c r="A82" s="1394"/>
      <c r="B82" s="11">
        <v>45323</v>
      </c>
      <c r="C82" s="354">
        <v>260.18299999999999</v>
      </c>
      <c r="D82" s="457">
        <v>204.81700000000001</v>
      </c>
      <c r="F82" s="23" t="s">
        <v>284</v>
      </c>
      <c r="G82" s="661">
        <v>143.44399999999999</v>
      </c>
      <c r="H82" s="661">
        <v>145.18799999999999</v>
      </c>
      <c r="I82" s="661">
        <v>146.65950000000001</v>
      </c>
      <c r="J82" s="661">
        <v>146.76849999999999</v>
      </c>
      <c r="K82" s="354">
        <v>146.00550000000001</v>
      </c>
      <c r="L82" s="354">
        <v>140.93700000000001</v>
      </c>
      <c r="M82" s="354">
        <v>137.55799999999999</v>
      </c>
      <c r="N82" s="354">
        <v>140.01050000000001</v>
      </c>
      <c r="O82" s="354">
        <v>141.482</v>
      </c>
      <c r="P82" s="354">
        <v>141.42750000000001</v>
      </c>
      <c r="Q82" s="354">
        <v>137.72149999999999</v>
      </c>
      <c r="R82" s="354">
        <v>141.86349999999999</v>
      </c>
      <c r="S82" s="354">
        <v>145.624</v>
      </c>
      <c r="T82" s="354">
        <v>146</v>
      </c>
      <c r="U82" s="354">
        <v>146</v>
      </c>
      <c r="V82" s="354">
        <v>147</v>
      </c>
      <c r="W82" s="354">
        <v>150</v>
      </c>
    </row>
    <row r="83" spans="1:23" ht="11.85" customHeight="1">
      <c r="A83" s="1394"/>
      <c r="B83" s="11">
        <v>45352</v>
      </c>
      <c r="C83" s="354">
        <v>260.34649999999999</v>
      </c>
      <c r="D83" s="457">
        <v>204.65350000000001</v>
      </c>
      <c r="F83" s="23" t="s">
        <v>288</v>
      </c>
      <c r="G83" s="661">
        <v>148.51249999999999</v>
      </c>
      <c r="H83" s="661">
        <v>148.785</v>
      </c>
      <c r="I83" s="661">
        <v>138.1575</v>
      </c>
      <c r="J83" s="661">
        <v>137.93950000000001</v>
      </c>
      <c r="K83" s="354">
        <v>137.994</v>
      </c>
      <c r="L83" s="354">
        <v>130.90899999999999</v>
      </c>
      <c r="M83" s="354">
        <v>128.72900000000001</v>
      </c>
      <c r="N83" s="354">
        <v>128.83799999999999</v>
      </c>
      <c r="O83" s="354">
        <v>196.636</v>
      </c>
      <c r="P83" s="354">
        <v>189.38749999999999</v>
      </c>
      <c r="Q83" s="354">
        <v>196.52699999999999</v>
      </c>
      <c r="R83" s="354">
        <v>199.143</v>
      </c>
      <c r="S83" s="354">
        <v>215.7655</v>
      </c>
      <c r="T83" s="354">
        <v>207</v>
      </c>
      <c r="U83" s="354">
        <v>239</v>
      </c>
      <c r="V83" s="354">
        <v>246</v>
      </c>
      <c r="W83" s="354">
        <v>246</v>
      </c>
    </row>
    <row r="84" spans="1:23" ht="10.35" customHeight="1" thickBot="1">
      <c r="A84" s="1395"/>
      <c r="B84" s="455">
        <v>45383</v>
      </c>
      <c r="C84" s="459">
        <f>'Plant loading'!G32</f>
        <v>260.51</v>
      </c>
      <c r="D84" s="458">
        <f>465-C84</f>
        <v>204.49</v>
      </c>
      <c r="F84" s="23" t="s">
        <v>293</v>
      </c>
      <c r="G84" s="661">
        <v>76.5</v>
      </c>
      <c r="H84" s="661">
        <v>76.5</v>
      </c>
      <c r="I84" s="661">
        <v>76.5</v>
      </c>
      <c r="J84" s="661">
        <v>76.5</v>
      </c>
      <c r="K84" s="354">
        <v>76.5</v>
      </c>
      <c r="L84" s="354">
        <v>76.5</v>
      </c>
      <c r="M84" s="354">
        <v>76.5</v>
      </c>
      <c r="N84" s="354">
        <v>76.5</v>
      </c>
      <c r="O84" s="354">
        <v>76.5</v>
      </c>
      <c r="P84" s="354">
        <v>76.5</v>
      </c>
      <c r="Q84" s="354">
        <v>76.5</v>
      </c>
      <c r="R84" s="354">
        <v>76.5</v>
      </c>
      <c r="S84" s="354">
        <v>76.5</v>
      </c>
      <c r="T84" s="354">
        <v>77</v>
      </c>
      <c r="U84" s="354">
        <v>77</v>
      </c>
      <c r="V84" s="354">
        <v>77</v>
      </c>
      <c r="W84" s="354">
        <v>77</v>
      </c>
    </row>
    <row r="85" spans="1:23" ht="11.1" customHeight="1">
      <c r="A85" s="1393" t="s">
        <v>330</v>
      </c>
      <c r="B85" s="452"/>
      <c r="C85" s="453" t="s">
        <v>772</v>
      </c>
      <c r="D85" s="454" t="s">
        <v>694</v>
      </c>
      <c r="F85" s="23" t="s">
        <v>305</v>
      </c>
      <c r="G85" s="661">
        <v>161.2655</v>
      </c>
      <c r="H85" s="661">
        <v>165.0805</v>
      </c>
      <c r="I85" s="661">
        <v>159.685</v>
      </c>
      <c r="J85" s="661">
        <v>159.358</v>
      </c>
      <c r="K85" s="354">
        <v>155.87</v>
      </c>
      <c r="L85" s="354">
        <v>151.89150000000001</v>
      </c>
      <c r="M85" s="354">
        <v>151.946</v>
      </c>
      <c r="N85" s="354">
        <v>152.32749999999999</v>
      </c>
      <c r="O85" s="354">
        <v>154.2895</v>
      </c>
      <c r="P85" s="354">
        <v>151.7825</v>
      </c>
      <c r="Q85" s="354">
        <v>142.4085</v>
      </c>
      <c r="R85" s="354">
        <v>143.77099999999999</v>
      </c>
      <c r="S85" s="354">
        <v>145.4605</v>
      </c>
      <c r="T85" s="354">
        <v>147</v>
      </c>
      <c r="U85" s="354">
        <v>146</v>
      </c>
      <c r="V85" s="354">
        <v>147</v>
      </c>
      <c r="W85" s="354">
        <v>157</v>
      </c>
    </row>
    <row r="86" spans="1:23" ht="11.1" customHeight="1">
      <c r="A86" s="1394"/>
      <c r="B86" s="11">
        <v>45017</v>
      </c>
      <c r="C86" s="354">
        <v>262.97432540893561</v>
      </c>
      <c r="D86" s="457">
        <v>203.02567459106439</v>
      </c>
      <c r="F86" s="23" t="s">
        <v>688</v>
      </c>
      <c r="G86" s="661">
        <v>294.12200000000001</v>
      </c>
      <c r="H86" s="661">
        <v>285.767</v>
      </c>
      <c r="I86" s="661">
        <v>273.43100000000004</v>
      </c>
      <c r="J86" s="661">
        <v>276.82900000000001</v>
      </c>
      <c r="K86" s="354">
        <v>279.55399999999997</v>
      </c>
      <c r="L86" s="354">
        <v>278.6275</v>
      </c>
      <c r="M86" s="354">
        <v>276.28399999999999</v>
      </c>
      <c r="N86" s="354">
        <v>275.79349999999999</v>
      </c>
      <c r="O86" s="354">
        <v>273.77699999999999</v>
      </c>
      <c r="P86" s="354">
        <v>278.99250000000001</v>
      </c>
      <c r="Q86" s="354">
        <v>277.22950000000003</v>
      </c>
      <c r="R86" s="354">
        <v>269.43600000000004</v>
      </c>
      <c r="S86" s="354">
        <v>268.38149999999996</v>
      </c>
      <c r="T86" s="354">
        <v>268</v>
      </c>
      <c r="U86" s="354">
        <v>271</v>
      </c>
      <c r="V86" s="354">
        <v>274</v>
      </c>
      <c r="W86" s="354">
        <v>296</v>
      </c>
    </row>
    <row r="87" spans="1:23" ht="11.1" customHeight="1">
      <c r="A87" s="1394"/>
      <c r="B87" s="11">
        <v>45047</v>
      </c>
      <c r="C87" s="354">
        <v>282.09199999999998</v>
      </c>
      <c r="D87" s="457">
        <v>183.90800000000002</v>
      </c>
      <c r="F87" s="23" t="s">
        <v>314</v>
      </c>
      <c r="G87" s="661">
        <v>209.607</v>
      </c>
      <c r="H87" s="661">
        <v>208.19</v>
      </c>
      <c r="I87" s="661">
        <v>201.0505</v>
      </c>
      <c r="J87" s="661">
        <v>201.214</v>
      </c>
      <c r="K87" s="354">
        <v>199.57900000000001</v>
      </c>
      <c r="L87" s="354">
        <v>197.45349999999999</v>
      </c>
      <c r="M87" s="354">
        <v>188.24299999999999</v>
      </c>
      <c r="N87" s="354">
        <v>187.262</v>
      </c>
      <c r="O87" s="354">
        <v>187.262</v>
      </c>
      <c r="P87" s="354">
        <v>188.29750000000001</v>
      </c>
      <c r="Q87" s="354">
        <v>191.94900000000001</v>
      </c>
      <c r="R87" s="354">
        <v>185.08199999999999</v>
      </c>
      <c r="S87" s="354">
        <v>141.91800000000001</v>
      </c>
      <c r="T87" s="354">
        <v>186</v>
      </c>
      <c r="U87" s="354">
        <v>184</v>
      </c>
      <c r="V87" s="354">
        <v>187</v>
      </c>
      <c r="W87" s="354">
        <v>183</v>
      </c>
    </row>
    <row r="88" spans="1:23" ht="11.1" customHeight="1">
      <c r="A88" s="1394"/>
      <c r="B88" s="11">
        <v>45078</v>
      </c>
      <c r="C88" s="354">
        <v>283.17786193847655</v>
      </c>
      <c r="D88" s="457">
        <v>182.82213806152345</v>
      </c>
      <c r="F88" s="23" t="s">
        <v>689</v>
      </c>
      <c r="G88" s="661">
        <v>237.34950000000001</v>
      </c>
      <c r="H88" s="661">
        <v>248.41550000000001</v>
      </c>
      <c r="I88" s="661">
        <v>238.80449999999999</v>
      </c>
      <c r="J88" s="661">
        <v>239.29499999999999</v>
      </c>
      <c r="K88" s="354">
        <v>239.73099999999999</v>
      </c>
      <c r="L88" s="354">
        <v>235.679</v>
      </c>
      <c r="M88" s="354">
        <v>235.97049999999999</v>
      </c>
      <c r="N88" s="354">
        <v>233.89949999999999</v>
      </c>
      <c r="O88" s="354">
        <v>226.3785</v>
      </c>
      <c r="P88" s="354">
        <v>234.73599999999999</v>
      </c>
      <c r="Q88" s="354">
        <v>283.98500000000001</v>
      </c>
      <c r="R88" s="354">
        <v>297.68349999999998</v>
      </c>
      <c r="S88" s="354">
        <v>300.553</v>
      </c>
      <c r="T88" s="354">
        <v>311</v>
      </c>
      <c r="U88" s="354">
        <v>324</v>
      </c>
      <c r="V88" s="354">
        <v>333</v>
      </c>
      <c r="W88" s="354">
        <v>382</v>
      </c>
    </row>
    <row r="89" spans="1:23" ht="11.1" customHeight="1">
      <c r="A89" s="1394"/>
      <c r="B89" s="11">
        <v>45108</v>
      </c>
      <c r="C89" s="354">
        <v>293.9623188781739</v>
      </c>
      <c r="D89" s="457">
        <v>172.0376811218261</v>
      </c>
      <c r="F89" s="23" t="s">
        <v>690</v>
      </c>
      <c r="G89" s="661">
        <v>241.87100000000001</v>
      </c>
      <c r="H89" s="661">
        <v>244.65049999999999</v>
      </c>
      <c r="I89" s="661">
        <v>243.3425</v>
      </c>
      <c r="J89" s="661">
        <v>246.12200000000001</v>
      </c>
      <c r="K89" s="354">
        <v>270.75599999999997</v>
      </c>
      <c r="L89" s="354">
        <v>290.21249999999998</v>
      </c>
      <c r="M89" s="354">
        <v>299.75</v>
      </c>
      <c r="N89" s="354">
        <v>302.47500000000002</v>
      </c>
      <c r="O89" s="354">
        <v>294.46350000000001</v>
      </c>
      <c r="P89" s="354">
        <v>335.39299999999997</v>
      </c>
      <c r="Q89" s="354">
        <v>318.66149999999999</v>
      </c>
      <c r="R89" s="354">
        <v>334.35750000000002</v>
      </c>
      <c r="S89" s="354">
        <v>340.84300000000002</v>
      </c>
      <c r="T89" s="354">
        <v>346</v>
      </c>
      <c r="U89" s="354">
        <v>352</v>
      </c>
      <c r="V89" s="354">
        <v>380</v>
      </c>
      <c r="W89" s="354">
        <v>380</v>
      </c>
    </row>
    <row r="90" spans="1:23" ht="11.1" customHeight="1">
      <c r="A90" s="1394"/>
      <c r="B90" s="11">
        <v>45139</v>
      </c>
      <c r="C90" s="354">
        <v>296.262</v>
      </c>
      <c r="D90" s="457">
        <v>169.738</v>
      </c>
      <c r="F90" s="23" t="s">
        <v>330</v>
      </c>
      <c r="G90" s="661">
        <v>228.9</v>
      </c>
      <c r="H90" s="661">
        <v>231.02549999999999</v>
      </c>
      <c r="I90" s="661">
        <v>220.61600000000001</v>
      </c>
      <c r="J90" s="661">
        <v>219.85300000000001</v>
      </c>
      <c r="K90" s="354">
        <v>225.84800000000001</v>
      </c>
      <c r="L90" s="354">
        <v>222.30549999999999</v>
      </c>
      <c r="M90" s="354">
        <v>214.0215</v>
      </c>
      <c r="N90" s="354">
        <v>211.73249999999999</v>
      </c>
      <c r="O90" s="354">
        <v>199.9605</v>
      </c>
      <c r="P90" s="354">
        <v>200.233</v>
      </c>
      <c r="Q90" s="354">
        <v>203.83</v>
      </c>
      <c r="R90" s="354">
        <v>202.7945</v>
      </c>
      <c r="S90" s="354">
        <v>203.1215</v>
      </c>
      <c r="T90" s="354">
        <v>208</v>
      </c>
      <c r="U90" s="354">
        <v>204</v>
      </c>
      <c r="V90" s="354">
        <v>205</v>
      </c>
      <c r="W90" s="354">
        <v>208</v>
      </c>
    </row>
    <row r="91" spans="1:23" ht="11.1" customHeight="1">
      <c r="A91" s="1394"/>
      <c r="B91" s="11">
        <v>45170</v>
      </c>
      <c r="C91" s="354">
        <v>289.72199999999998</v>
      </c>
      <c r="D91" s="457">
        <v>176.27800000000002</v>
      </c>
      <c r="F91" s="23" t="s">
        <v>335</v>
      </c>
      <c r="G91" s="661">
        <v>164.59</v>
      </c>
      <c r="H91" s="661">
        <v>168.2415</v>
      </c>
      <c r="I91" s="661">
        <v>159.249</v>
      </c>
      <c r="J91" s="661">
        <v>152.8725</v>
      </c>
      <c r="K91" s="354">
        <v>153.8535</v>
      </c>
      <c r="L91" s="354">
        <v>151.18299999999999</v>
      </c>
      <c r="M91" s="354">
        <v>153.09049999999999</v>
      </c>
      <c r="N91" s="354">
        <v>150.965</v>
      </c>
      <c r="O91" s="354">
        <v>154.453</v>
      </c>
      <c r="P91" s="354">
        <v>154.23500000000001</v>
      </c>
      <c r="Q91" s="354">
        <v>157.614</v>
      </c>
      <c r="R91" s="354">
        <v>144.75200000000001</v>
      </c>
      <c r="S91" s="354">
        <v>144.91550000000001</v>
      </c>
      <c r="T91" s="354">
        <v>146</v>
      </c>
      <c r="U91" s="354">
        <v>143</v>
      </c>
      <c r="V91" s="354">
        <v>142</v>
      </c>
      <c r="W91" s="354">
        <v>143</v>
      </c>
    </row>
    <row r="92" spans="1:23" ht="11.1" customHeight="1">
      <c r="A92" s="1394"/>
      <c r="B92" s="11">
        <v>45200</v>
      </c>
      <c r="C92" s="354">
        <v>284.49</v>
      </c>
      <c r="D92" s="457">
        <v>181.51</v>
      </c>
      <c r="F92" s="23" t="s">
        <v>338</v>
      </c>
      <c r="G92" s="661">
        <v>133.6885</v>
      </c>
      <c r="H92" s="661">
        <v>132.5985</v>
      </c>
      <c r="I92" s="661">
        <v>128.72900000000001</v>
      </c>
      <c r="J92" s="661">
        <v>129.4375</v>
      </c>
      <c r="K92" s="354">
        <v>130.255</v>
      </c>
      <c r="L92" s="354">
        <v>126.113</v>
      </c>
      <c r="M92" s="354">
        <v>125.7315</v>
      </c>
      <c r="N92" s="354">
        <v>128.40199999999999</v>
      </c>
      <c r="O92" s="354">
        <v>127.639</v>
      </c>
      <c r="P92" s="354">
        <v>123.8785</v>
      </c>
      <c r="Q92" s="354">
        <v>126.22199999999999</v>
      </c>
      <c r="R92" s="354">
        <v>128.89250000000001</v>
      </c>
      <c r="S92" s="354">
        <v>128.40199999999999</v>
      </c>
      <c r="T92" s="354">
        <v>132</v>
      </c>
      <c r="U92" s="354">
        <v>132</v>
      </c>
      <c r="V92" s="354">
        <v>133</v>
      </c>
      <c r="W92" s="354">
        <v>133</v>
      </c>
    </row>
    <row r="93" spans="1:23" ht="11.1" customHeight="1">
      <c r="A93" s="1394"/>
      <c r="B93" s="11">
        <v>45231</v>
      </c>
      <c r="C93" s="354">
        <v>282.69150000000002</v>
      </c>
      <c r="D93" s="457">
        <v>183.30849999999998</v>
      </c>
      <c r="F93" s="23" t="s">
        <v>341</v>
      </c>
      <c r="G93" s="661">
        <v>160.99299999999999</v>
      </c>
      <c r="H93" s="661">
        <v>163.28200000000001</v>
      </c>
      <c r="I93" s="661">
        <v>158.595</v>
      </c>
      <c r="J93" s="661">
        <v>158.595</v>
      </c>
      <c r="K93" s="354">
        <v>157.0145</v>
      </c>
      <c r="L93" s="354">
        <v>153.363</v>
      </c>
      <c r="M93" s="354">
        <v>152.4365</v>
      </c>
      <c r="N93" s="354">
        <v>150.202</v>
      </c>
      <c r="O93" s="354">
        <v>152.4365</v>
      </c>
      <c r="P93" s="354">
        <v>151.7825</v>
      </c>
      <c r="Q93" s="354">
        <v>143.33500000000001</v>
      </c>
      <c r="R93" s="354">
        <v>143.28049999999999</v>
      </c>
      <c r="S93" s="354">
        <v>143.00800000000001</v>
      </c>
      <c r="T93" s="354">
        <v>144</v>
      </c>
      <c r="U93" s="354">
        <v>145</v>
      </c>
      <c r="V93" s="354">
        <v>146</v>
      </c>
      <c r="W93" s="354">
        <v>145</v>
      </c>
    </row>
    <row r="94" spans="1:23" ht="11.1" customHeight="1">
      <c r="A94" s="1394"/>
      <c r="B94" s="11">
        <v>45261</v>
      </c>
      <c r="C94" s="354">
        <v>283.72699999999998</v>
      </c>
      <c r="D94" s="457">
        <v>182.27300000000002</v>
      </c>
    </row>
    <row r="95" spans="1:23" ht="11.1" customHeight="1">
      <c r="A95" s="1394"/>
      <c r="B95" s="11">
        <v>45292</v>
      </c>
      <c r="C95" s="354">
        <v>292.55599999999998</v>
      </c>
      <c r="D95" s="457">
        <v>173.44400000000002</v>
      </c>
    </row>
    <row r="96" spans="1:23" ht="11.1" customHeight="1">
      <c r="A96" s="1394"/>
      <c r="B96" s="11">
        <v>45323</v>
      </c>
      <c r="C96" s="354">
        <v>293.20999999999998</v>
      </c>
      <c r="D96" s="457">
        <v>172.79000000000002</v>
      </c>
    </row>
    <row r="97" spans="1:4" ht="11.1" customHeight="1">
      <c r="A97" s="1394"/>
      <c r="B97" s="11">
        <v>45352</v>
      </c>
      <c r="C97" s="354">
        <v>293.97300000000001</v>
      </c>
      <c r="D97" s="457">
        <v>172.02699999999999</v>
      </c>
    </row>
    <row r="98" spans="1:4" ht="11.1" customHeight="1" thickBot="1">
      <c r="A98" s="1395"/>
      <c r="B98" s="455">
        <v>45383</v>
      </c>
      <c r="C98" s="459">
        <f>'Plant loading'!G72</f>
        <v>294.57249999999999</v>
      </c>
      <c r="D98" s="458">
        <f>466-C98</f>
        <v>171.42750000000001</v>
      </c>
    </row>
    <row r="101" spans="1:4" ht="10.35" customHeight="1"/>
    <row r="102" spans="1:4" ht="10.35" customHeight="1"/>
    <row r="103" spans="1:4" ht="10.35" customHeight="1"/>
    <row r="104" spans="1:4" ht="10.35" customHeight="1"/>
    <row r="105" spans="1:4" ht="11.1" customHeight="1"/>
    <row r="106" spans="1:4" ht="10.35" customHeight="1"/>
    <row r="107" spans="1:4" ht="10.35" customHeight="1"/>
    <row r="108" spans="1:4" ht="10.35" customHeight="1"/>
    <row r="109" spans="1:4" ht="10.35" customHeight="1"/>
    <row r="110" spans="1:4" ht="10.35" customHeight="1"/>
    <row r="111" spans="1:4" ht="10.35" customHeight="1"/>
    <row r="112" spans="1:4" ht="10.35" customHeight="1"/>
    <row r="113" spans="2:5" ht="11.1" customHeight="1"/>
    <row r="114" spans="2:5" ht="10.35" customHeight="1"/>
    <row r="119" spans="2:5">
      <c r="B119" s="11"/>
      <c r="C119" s="354"/>
      <c r="D119" s="354"/>
      <c r="E119" s="354"/>
    </row>
    <row r="120" spans="2:5">
      <c r="B120" s="11"/>
      <c r="C120" s="354"/>
      <c r="D120" s="354"/>
      <c r="E120" s="354"/>
    </row>
    <row r="121" spans="2:5">
      <c r="B121" s="11"/>
      <c r="C121" s="354"/>
      <c r="D121" s="354"/>
      <c r="E121" s="354"/>
    </row>
    <row r="122" spans="2:5">
      <c r="B122" s="11"/>
      <c r="C122" s="354"/>
      <c r="D122" s="354"/>
      <c r="E122" s="354"/>
    </row>
    <row r="123" spans="2:5">
      <c r="B123" s="11"/>
      <c r="C123" s="354"/>
      <c r="D123" s="354"/>
      <c r="E123" s="354"/>
    </row>
    <row r="124" spans="2:5">
      <c r="B124" s="11"/>
      <c r="C124" s="354"/>
      <c r="D124" s="354"/>
      <c r="E124" s="354"/>
    </row>
    <row r="125" spans="2:5">
      <c r="B125" s="11"/>
      <c r="C125" s="354"/>
      <c r="D125" s="354"/>
      <c r="E125" s="354"/>
    </row>
    <row r="126" spans="2:5">
      <c r="B126" s="11"/>
      <c r="C126" s="354"/>
      <c r="D126" s="354"/>
      <c r="E126" s="354"/>
    </row>
    <row r="127" spans="2:5">
      <c r="B127" s="11"/>
      <c r="C127" s="354"/>
      <c r="D127" s="354"/>
      <c r="E127" s="354"/>
    </row>
    <row r="128" spans="2:5">
      <c r="B128" s="11"/>
      <c r="C128" s="354"/>
      <c r="D128" s="354"/>
      <c r="E128" s="354"/>
    </row>
    <row r="129" spans="2:5">
      <c r="B129" s="11"/>
      <c r="C129" s="354"/>
      <c r="D129" s="354"/>
      <c r="E129" s="354"/>
    </row>
    <row r="130" spans="2:5">
      <c r="B130" s="11"/>
      <c r="C130" s="354"/>
      <c r="D130" s="354"/>
      <c r="E130" s="354"/>
    </row>
    <row r="131" spans="2:5">
      <c r="B131" s="11"/>
      <c r="C131" s="354"/>
      <c r="D131" s="354"/>
      <c r="E131" s="354"/>
    </row>
    <row r="132" spans="2:5">
      <c r="C132" s="354"/>
      <c r="D132" s="354"/>
      <c r="E132" s="354"/>
    </row>
    <row r="155" spans="2:9">
      <c r="B155" s="326" t="s">
        <v>777</v>
      </c>
      <c r="C155" s="326" t="s">
        <v>277</v>
      </c>
      <c r="D155" s="326" t="s">
        <v>322</v>
      </c>
      <c r="E155" s="326" t="s">
        <v>317</v>
      </c>
      <c r="F155" s="326" t="s">
        <v>288</v>
      </c>
      <c r="G155" s="326" t="s">
        <v>297</v>
      </c>
      <c r="H155" s="326" t="s">
        <v>305</v>
      </c>
      <c r="I155" s="326" t="s">
        <v>330</v>
      </c>
    </row>
    <row r="156" spans="2:9">
      <c r="B156" s="581">
        <v>43862</v>
      </c>
      <c r="C156" s="446">
        <f t="shared" ref="C156:C168" si="0">C2</f>
        <v>377.29047708129895</v>
      </c>
      <c r="D156" s="446">
        <f t="shared" ref="D156:D168" si="1">C16</f>
        <v>384.98306106567412</v>
      </c>
      <c r="E156" s="446">
        <f t="shared" ref="E156:E168" si="2">C30</f>
        <v>345.96600000000001</v>
      </c>
      <c r="F156" s="446">
        <f t="shared" ref="F156:F168" si="3">C44</f>
        <v>295.35201565551756</v>
      </c>
      <c r="G156" s="446">
        <f t="shared" ref="G156:G168" si="4">C58</f>
        <v>294.26004641723642</v>
      </c>
      <c r="H156" s="446">
        <f t="shared" ref="H156:H168" si="5">C72</f>
        <v>280.16694982910167</v>
      </c>
      <c r="I156" s="446">
        <f t="shared" ref="I156:I168" si="6">C86</f>
        <v>262.97432540893561</v>
      </c>
    </row>
    <row r="157" spans="2:9">
      <c r="B157" s="581">
        <v>43891</v>
      </c>
      <c r="C157" s="446">
        <f t="shared" si="0"/>
        <v>376.97649999999999</v>
      </c>
      <c r="D157" s="446">
        <f t="shared" si="1"/>
        <v>384.61649999999997</v>
      </c>
      <c r="E157" s="446">
        <f t="shared" si="2"/>
        <v>347.32850000000002</v>
      </c>
      <c r="F157" s="446">
        <f t="shared" si="3"/>
        <v>295.98950000000002</v>
      </c>
      <c r="G157" s="446">
        <f t="shared" si="4"/>
        <v>297.51549999999997</v>
      </c>
      <c r="H157" s="446">
        <f t="shared" si="5"/>
        <v>283.99950000000001</v>
      </c>
      <c r="I157" s="446">
        <f t="shared" si="6"/>
        <v>282.09199999999998</v>
      </c>
    </row>
    <row r="158" spans="2:9">
      <c r="B158" s="581">
        <v>43922</v>
      </c>
      <c r="C158" s="446">
        <f t="shared" si="0"/>
        <v>378.24525827026378</v>
      </c>
      <c r="D158" s="446">
        <f t="shared" si="1"/>
        <v>385.57956729126067</v>
      </c>
      <c r="E158" s="446">
        <f t="shared" si="2"/>
        <v>346.23849999999999</v>
      </c>
      <c r="F158" s="446">
        <f t="shared" si="3"/>
        <v>295.09728204345703</v>
      </c>
      <c r="G158" s="446">
        <f t="shared" si="4"/>
        <v>291.85992749023444</v>
      </c>
      <c r="H158" s="446">
        <f t="shared" si="5"/>
        <v>287.1368990783692</v>
      </c>
      <c r="I158" s="446">
        <f t="shared" si="6"/>
        <v>283.17786193847655</v>
      </c>
    </row>
    <row r="159" spans="2:9">
      <c r="B159" s="581">
        <v>43952</v>
      </c>
      <c r="C159" s="446">
        <f t="shared" si="0"/>
        <v>376.93262789916992</v>
      </c>
      <c r="D159" s="446">
        <f t="shared" si="1"/>
        <v>390.32874798584072</v>
      </c>
      <c r="E159" s="446">
        <f t="shared" si="2"/>
        <v>342.64150000000001</v>
      </c>
      <c r="F159" s="446">
        <f t="shared" si="3"/>
        <v>297.4251379089356</v>
      </c>
      <c r="G159" s="446">
        <f t="shared" si="4"/>
        <v>292.66036630249022</v>
      </c>
      <c r="H159" s="446">
        <f t="shared" si="5"/>
        <v>287.37849999999997</v>
      </c>
      <c r="I159" s="446">
        <f t="shared" si="6"/>
        <v>293.9623188781739</v>
      </c>
    </row>
    <row r="160" spans="2:9">
      <c r="B160" s="581">
        <v>43983</v>
      </c>
      <c r="C160" s="446">
        <f t="shared" si="0"/>
        <v>376.54050000000001</v>
      </c>
      <c r="D160" s="446">
        <f t="shared" si="1"/>
        <v>389.63049999999998</v>
      </c>
      <c r="E160" s="446">
        <f t="shared" si="2"/>
        <v>344.6035</v>
      </c>
      <c r="F160" s="446">
        <f t="shared" si="3"/>
        <v>296.97050000000002</v>
      </c>
      <c r="G160" s="446">
        <f t="shared" si="4"/>
        <v>293.97300000000001</v>
      </c>
      <c r="H160" s="446">
        <f t="shared" si="5"/>
        <v>284.05399999999997</v>
      </c>
      <c r="I160" s="446">
        <f t="shared" si="6"/>
        <v>296.262</v>
      </c>
    </row>
    <row r="161" spans="2:9">
      <c r="B161" s="581">
        <v>44013</v>
      </c>
      <c r="C161" s="446">
        <f t="shared" si="0"/>
        <v>376.32249999999999</v>
      </c>
      <c r="D161" s="446">
        <f t="shared" si="1"/>
        <v>385.43400000000003</v>
      </c>
      <c r="E161" s="446">
        <f t="shared" si="2"/>
        <v>340.84300000000002</v>
      </c>
      <c r="F161" s="446">
        <f t="shared" si="3"/>
        <v>294.19099999999997</v>
      </c>
      <c r="G161" s="446">
        <f t="shared" si="4"/>
        <v>295.17200000000003</v>
      </c>
      <c r="H161" s="446">
        <f t="shared" si="5"/>
        <v>263.72550000000001</v>
      </c>
      <c r="I161" s="446">
        <f t="shared" si="6"/>
        <v>289.72199999999998</v>
      </c>
    </row>
    <row r="162" spans="2:9">
      <c r="B162" s="581">
        <v>44044</v>
      </c>
      <c r="C162" s="446">
        <f t="shared" si="0"/>
        <v>376.75850000000003</v>
      </c>
      <c r="D162" s="446">
        <f t="shared" si="1"/>
        <v>381.18299999999999</v>
      </c>
      <c r="E162" s="446">
        <f t="shared" si="2"/>
        <v>327.59949999999998</v>
      </c>
      <c r="F162" s="446">
        <f t="shared" si="3"/>
        <v>293.2645</v>
      </c>
      <c r="G162" s="446">
        <f t="shared" si="4"/>
        <v>292.55599999999998</v>
      </c>
      <c r="H162" s="446">
        <f t="shared" si="5"/>
        <v>262.90800000000002</v>
      </c>
      <c r="I162" s="446">
        <f t="shared" si="6"/>
        <v>284.49</v>
      </c>
    </row>
    <row r="163" spans="2:9">
      <c r="B163" s="581">
        <v>44075</v>
      </c>
      <c r="C163" s="446">
        <f t="shared" si="0"/>
        <v>376.97649999999999</v>
      </c>
      <c r="D163" s="446">
        <f t="shared" si="1"/>
        <v>377.85849999999999</v>
      </c>
      <c r="E163" s="446">
        <f t="shared" si="2"/>
        <v>330.815</v>
      </c>
      <c r="F163" s="446">
        <f t="shared" si="3"/>
        <v>292.99200000000002</v>
      </c>
      <c r="G163" s="446">
        <f t="shared" si="4"/>
        <v>293.53699999999998</v>
      </c>
      <c r="H163" s="446">
        <f t="shared" si="5"/>
        <v>260.78250000000003</v>
      </c>
      <c r="I163" s="446">
        <f t="shared" si="6"/>
        <v>282.69150000000002</v>
      </c>
    </row>
    <row r="164" spans="2:9">
      <c r="B164" s="581">
        <v>44105</v>
      </c>
      <c r="C164" s="446">
        <f t="shared" si="0"/>
        <v>376.64949999999999</v>
      </c>
      <c r="D164" s="446">
        <f t="shared" si="1"/>
        <v>379.43900000000002</v>
      </c>
      <c r="E164" s="446">
        <f t="shared" si="2"/>
        <v>330.70600000000002</v>
      </c>
      <c r="F164" s="446">
        <f t="shared" si="3"/>
        <v>287.16050000000001</v>
      </c>
      <c r="G164" s="446">
        <f t="shared" si="4"/>
        <v>289.50400000000002</v>
      </c>
      <c r="H164" s="446">
        <f t="shared" si="5"/>
        <v>260.01949999999999</v>
      </c>
      <c r="I164" s="446">
        <f t="shared" si="6"/>
        <v>283.72699999999998</v>
      </c>
    </row>
    <row r="165" spans="2:9">
      <c r="B165" s="581">
        <v>44136</v>
      </c>
      <c r="C165" s="446">
        <f t="shared" si="0"/>
        <v>378.91272027587888</v>
      </c>
      <c r="D165" s="446">
        <f t="shared" si="1"/>
        <v>380.27982815551775</v>
      </c>
      <c r="E165" s="446">
        <f t="shared" si="2"/>
        <v>331.52350000000001</v>
      </c>
      <c r="F165" s="446">
        <f t="shared" si="3"/>
        <v>286.98931265258801</v>
      </c>
      <c r="G165" s="446">
        <f t="shared" si="4"/>
        <v>290.37599999999998</v>
      </c>
      <c r="H165" s="446">
        <f t="shared" si="5"/>
        <v>260.48231423950193</v>
      </c>
      <c r="I165" s="446">
        <f t="shared" si="6"/>
        <v>292.55599999999998</v>
      </c>
    </row>
    <row r="166" spans="2:9">
      <c r="B166" s="581">
        <v>44166</v>
      </c>
      <c r="C166" s="446">
        <f t="shared" si="0"/>
        <v>372.67099999999999</v>
      </c>
      <c r="D166" s="446">
        <f t="shared" si="1"/>
        <v>379.76600000000002</v>
      </c>
      <c r="E166" s="446">
        <f t="shared" si="2"/>
        <v>331.25099999999998</v>
      </c>
      <c r="F166" s="446">
        <f t="shared" si="3"/>
        <v>285.6345</v>
      </c>
      <c r="G166" s="446">
        <f t="shared" si="4"/>
        <v>295.17200000000003</v>
      </c>
      <c r="H166" s="446">
        <f t="shared" si="5"/>
        <v>260.18299999999999</v>
      </c>
      <c r="I166" s="446">
        <f t="shared" si="6"/>
        <v>293.20999999999998</v>
      </c>
    </row>
    <row r="167" spans="2:9">
      <c r="B167" s="581">
        <v>44197</v>
      </c>
      <c r="C167" s="446">
        <f t="shared" si="0"/>
        <v>367.548</v>
      </c>
      <c r="D167" s="446">
        <f t="shared" si="1"/>
        <v>380.09300000000002</v>
      </c>
      <c r="E167" s="446">
        <f t="shared" si="2"/>
        <v>335.82900000000001</v>
      </c>
      <c r="F167" s="446">
        <f t="shared" si="3"/>
        <v>286.9425</v>
      </c>
      <c r="G167" s="446">
        <f t="shared" si="4"/>
        <v>295.22649999999999</v>
      </c>
      <c r="H167" s="446">
        <f t="shared" si="5"/>
        <v>260.34649999999999</v>
      </c>
      <c r="I167" s="446">
        <f t="shared" si="6"/>
        <v>293.97300000000001</v>
      </c>
    </row>
    <row r="168" spans="2:9">
      <c r="B168" s="581">
        <v>44228</v>
      </c>
      <c r="C168" s="446">
        <f t="shared" si="0"/>
        <v>370.6</v>
      </c>
      <c r="D168" s="446">
        <f t="shared" si="1"/>
        <v>383.14749999999998</v>
      </c>
      <c r="E168" s="446">
        <f t="shared" si="2"/>
        <v>335.55650000000003</v>
      </c>
      <c r="F168" s="446">
        <f t="shared" si="3"/>
        <v>290.1035</v>
      </c>
      <c r="G168" s="446">
        <f t="shared" si="4"/>
        <v>285.798</v>
      </c>
      <c r="H168" s="446">
        <f t="shared" si="5"/>
        <v>260.51</v>
      </c>
      <c r="I168" s="446">
        <f t="shared" si="6"/>
        <v>294.57249999999999</v>
      </c>
    </row>
  </sheetData>
  <mergeCells count="7">
    <mergeCell ref="A85:A98"/>
    <mergeCell ref="A71:A84"/>
    <mergeCell ref="A2:A14"/>
    <mergeCell ref="A15:A28"/>
    <mergeCell ref="A29:A42"/>
    <mergeCell ref="A43:A56"/>
    <mergeCell ref="A57:A70"/>
  </mergeCells>
  <pageMargins left="0.7" right="0.7" top="0.75" bottom="0.75" header="0.3" footer="0.3"/>
  <pageSetup paperSize="9" orientation="portrait" r:id="rId1"/>
  <headerFooter>
    <oddFooter>&amp;L&amp;1#&amp;"Calibri"&amp;7&amp;K000000C2 General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E5A2-84AF-4E87-9A94-BBE11C363897}">
  <sheetPr codeName="Sheet23"/>
  <dimension ref="A1"/>
  <sheetViews>
    <sheetView topLeftCell="A22" zoomScale="84" zoomScaleNormal="84" workbookViewId="0">
      <selection activeCell="M10" sqref="M10"/>
    </sheetView>
  </sheetViews>
  <sheetFormatPr defaultColWidth="9.1640625" defaultRowHeight="10.15"/>
  <cols>
    <col min="16" max="16" width="24.1640625" customWidth="1"/>
  </cols>
  <sheetData/>
  <pageMargins left="0.7" right="0.7" top="0.75" bottom="0.75" header="0.3" footer="0.3"/>
  <pageSetup paperSize="9" orientation="portrait" r:id="rId1"/>
  <headerFooter>
    <oddFooter>&amp;L&amp;1#&amp;"Calibri"&amp;7&amp;K000000C2 General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2690-9BCD-4882-B699-6ADAE98BF0A9}">
  <sheetPr codeName="Sheet24"/>
  <dimension ref="A1:WVS293"/>
  <sheetViews>
    <sheetView topLeftCell="A90" workbookViewId="0">
      <selection activeCell="J101" sqref="J101:J103"/>
    </sheetView>
  </sheetViews>
  <sheetFormatPr defaultColWidth="8.6640625" defaultRowHeight="14.45"/>
  <cols>
    <col min="1" max="1" width="8.6640625" style="679" bestFit="1" customWidth="1"/>
    <col min="2" max="2" width="28.1640625" style="679" bestFit="1" customWidth="1"/>
    <col min="3" max="3" width="53.1640625" style="679" bestFit="1" customWidth="1"/>
    <col min="4" max="4" width="41.5" style="679" bestFit="1" customWidth="1"/>
    <col min="5" max="6" width="10" style="679" bestFit="1" customWidth="1"/>
    <col min="7" max="7" width="11.5" style="679" bestFit="1" customWidth="1"/>
    <col min="8" max="8" width="9.6640625" style="679" bestFit="1" customWidth="1"/>
    <col min="9" max="9" width="29.1640625" style="679" bestFit="1" customWidth="1"/>
    <col min="10" max="10" width="6.5" style="679" bestFit="1" customWidth="1"/>
    <col min="11" max="11" width="57" style="679" bestFit="1" customWidth="1"/>
    <col min="12" max="256" width="9.1640625" style="679"/>
    <col min="257" max="257" width="11.6640625" style="679" customWidth="1"/>
    <col min="258" max="259" width="9.1640625" style="679"/>
    <col min="260" max="260" width="33.5" style="679" customWidth="1"/>
    <col min="261" max="264" width="9.1640625" style="679"/>
    <col min="265" max="265" width="30" style="679" bestFit="1" customWidth="1"/>
    <col min="266" max="266" width="11.6640625" style="679" customWidth="1"/>
    <col min="267" max="267" width="58.1640625" style="679" bestFit="1" customWidth="1"/>
    <col min="268" max="512" width="9.1640625" style="679"/>
    <col min="513" max="513" width="11.6640625" style="679" customWidth="1"/>
    <col min="514" max="515" width="9.1640625" style="679"/>
    <col min="516" max="516" width="33.5" style="679" customWidth="1"/>
    <col min="517" max="520" width="9.1640625" style="679"/>
    <col min="521" max="521" width="30" style="679" bestFit="1" customWidth="1"/>
    <col min="522" max="522" width="11.6640625" style="679" customWidth="1"/>
    <col min="523" max="523" width="58.1640625" style="679" bestFit="1" customWidth="1"/>
    <col min="524" max="768" width="9.1640625" style="679"/>
    <col min="769" max="769" width="11.6640625" style="679" customWidth="1"/>
    <col min="770" max="771" width="9.1640625" style="679"/>
    <col min="772" max="772" width="33.5" style="679" customWidth="1"/>
    <col min="773" max="776" width="9.1640625" style="679"/>
    <col min="777" max="777" width="30" style="679" bestFit="1" customWidth="1"/>
    <col min="778" max="778" width="11.6640625" style="679" customWidth="1"/>
    <col min="779" max="779" width="58.1640625" style="679" bestFit="1" customWidth="1"/>
    <col min="780" max="1024" width="9.1640625" style="679"/>
    <col min="1025" max="1025" width="11.6640625" style="679" customWidth="1"/>
    <col min="1026" max="1027" width="9.1640625" style="679"/>
    <col min="1028" max="1028" width="33.5" style="679" customWidth="1"/>
    <col min="1029" max="1032" width="9.1640625" style="679"/>
    <col min="1033" max="1033" width="30" style="679" bestFit="1" customWidth="1"/>
    <col min="1034" max="1034" width="11.6640625" style="679" customWidth="1"/>
    <col min="1035" max="1035" width="58.1640625" style="679" bestFit="1" customWidth="1"/>
    <col min="1036" max="1280" width="9.1640625" style="679"/>
    <col min="1281" max="1281" width="11.6640625" style="679" customWidth="1"/>
    <col min="1282" max="1283" width="9.1640625" style="679"/>
    <col min="1284" max="1284" width="33.5" style="679" customWidth="1"/>
    <col min="1285" max="1288" width="9.1640625" style="679"/>
    <col min="1289" max="1289" width="30" style="679" bestFit="1" customWidth="1"/>
    <col min="1290" max="1290" width="11.6640625" style="679" customWidth="1"/>
    <col min="1291" max="1291" width="58.1640625" style="679" bestFit="1" customWidth="1"/>
    <col min="1292" max="1536" width="9.1640625" style="679"/>
    <col min="1537" max="1537" width="11.6640625" style="679" customWidth="1"/>
    <col min="1538" max="1539" width="9.1640625" style="679"/>
    <col min="1540" max="1540" width="33.5" style="679" customWidth="1"/>
    <col min="1541" max="1544" width="9.1640625" style="679"/>
    <col min="1545" max="1545" width="30" style="679" bestFit="1" customWidth="1"/>
    <col min="1546" max="1546" width="11.6640625" style="679" customWidth="1"/>
    <col min="1547" max="1547" width="58.1640625" style="679" bestFit="1" customWidth="1"/>
    <col min="1548" max="1792" width="9.1640625" style="679"/>
    <col min="1793" max="1793" width="11.6640625" style="679" customWidth="1"/>
    <col min="1794" max="1795" width="9.1640625" style="679"/>
    <col min="1796" max="1796" width="33.5" style="679" customWidth="1"/>
    <col min="1797" max="1800" width="9.1640625" style="679"/>
    <col min="1801" max="1801" width="30" style="679" bestFit="1" customWidth="1"/>
    <col min="1802" max="1802" width="11.6640625" style="679" customWidth="1"/>
    <col min="1803" max="1803" width="58.1640625" style="679" bestFit="1" customWidth="1"/>
    <col min="1804" max="2048" width="9.1640625" style="679"/>
    <col min="2049" max="2049" width="11.6640625" style="679" customWidth="1"/>
    <col min="2050" max="2051" width="9.1640625" style="679"/>
    <col min="2052" max="2052" width="33.5" style="679" customWidth="1"/>
    <col min="2053" max="2056" width="9.1640625" style="679"/>
    <col min="2057" max="2057" width="30" style="679" bestFit="1" customWidth="1"/>
    <col min="2058" max="2058" width="11.6640625" style="679" customWidth="1"/>
    <col min="2059" max="2059" width="58.1640625" style="679" bestFit="1" customWidth="1"/>
    <col min="2060" max="2304" width="9.1640625" style="679"/>
    <col min="2305" max="2305" width="11.6640625" style="679" customWidth="1"/>
    <col min="2306" max="2307" width="9.1640625" style="679"/>
    <col min="2308" max="2308" width="33.5" style="679" customWidth="1"/>
    <col min="2309" max="2312" width="9.1640625" style="679"/>
    <col min="2313" max="2313" width="30" style="679" bestFit="1" customWidth="1"/>
    <col min="2314" max="2314" width="11.6640625" style="679" customWidth="1"/>
    <col min="2315" max="2315" width="58.1640625" style="679" bestFit="1" customWidth="1"/>
    <col min="2316" max="2560" width="9.1640625" style="679"/>
    <col min="2561" max="2561" width="11.6640625" style="679" customWidth="1"/>
    <col min="2562" max="2563" width="9.1640625" style="679"/>
    <col min="2564" max="2564" width="33.5" style="679" customWidth="1"/>
    <col min="2565" max="2568" width="9.1640625" style="679"/>
    <col min="2569" max="2569" width="30" style="679" bestFit="1" customWidth="1"/>
    <col min="2570" max="2570" width="11.6640625" style="679" customWidth="1"/>
    <col min="2571" max="2571" width="58.1640625" style="679" bestFit="1" customWidth="1"/>
    <col min="2572" max="2816" width="9.1640625" style="679"/>
    <col min="2817" max="2817" width="11.6640625" style="679" customWidth="1"/>
    <col min="2818" max="2819" width="9.1640625" style="679"/>
    <col min="2820" max="2820" width="33.5" style="679" customWidth="1"/>
    <col min="2821" max="2824" width="9.1640625" style="679"/>
    <col min="2825" max="2825" width="30" style="679" bestFit="1" customWidth="1"/>
    <col min="2826" max="2826" width="11.6640625" style="679" customWidth="1"/>
    <col min="2827" max="2827" width="58.1640625" style="679" bestFit="1" customWidth="1"/>
    <col min="2828" max="3072" width="9.1640625" style="679"/>
    <col min="3073" max="3073" width="11.6640625" style="679" customWidth="1"/>
    <col min="3074" max="3075" width="9.1640625" style="679"/>
    <col min="3076" max="3076" width="33.5" style="679" customWidth="1"/>
    <col min="3077" max="3080" width="9.1640625" style="679"/>
    <col min="3081" max="3081" width="30" style="679" bestFit="1" customWidth="1"/>
    <col min="3082" max="3082" width="11.6640625" style="679" customWidth="1"/>
    <col min="3083" max="3083" width="58.1640625" style="679" bestFit="1" customWidth="1"/>
    <col min="3084" max="3328" width="9.1640625" style="679"/>
    <col min="3329" max="3329" width="11.6640625" style="679" customWidth="1"/>
    <col min="3330" max="3331" width="9.1640625" style="679"/>
    <col min="3332" max="3332" width="33.5" style="679" customWidth="1"/>
    <col min="3333" max="3336" width="9.1640625" style="679"/>
    <col min="3337" max="3337" width="30" style="679" bestFit="1" customWidth="1"/>
    <col min="3338" max="3338" width="11.6640625" style="679" customWidth="1"/>
    <col min="3339" max="3339" width="58.1640625" style="679" bestFit="1" customWidth="1"/>
    <col min="3340" max="3584" width="9.1640625" style="679"/>
    <col min="3585" max="3585" width="11.6640625" style="679" customWidth="1"/>
    <col min="3586" max="3587" width="9.1640625" style="679"/>
    <col min="3588" max="3588" width="33.5" style="679" customWidth="1"/>
    <col min="3589" max="3592" width="9.1640625" style="679"/>
    <col min="3593" max="3593" width="30" style="679" bestFit="1" customWidth="1"/>
    <col min="3594" max="3594" width="11.6640625" style="679" customWidth="1"/>
    <col min="3595" max="3595" width="58.1640625" style="679" bestFit="1" customWidth="1"/>
    <col min="3596" max="3840" width="9.1640625" style="679"/>
    <col min="3841" max="3841" width="11.6640625" style="679" customWidth="1"/>
    <col min="3842" max="3843" width="9.1640625" style="679"/>
    <col min="3844" max="3844" width="33.5" style="679" customWidth="1"/>
    <col min="3845" max="3848" width="9.1640625" style="679"/>
    <col min="3849" max="3849" width="30" style="679" bestFit="1" customWidth="1"/>
    <col min="3850" max="3850" width="11.6640625" style="679" customWidth="1"/>
    <col min="3851" max="3851" width="58.1640625" style="679" bestFit="1" customWidth="1"/>
    <col min="3852" max="4096" width="9.1640625" style="679"/>
    <col min="4097" max="4097" width="11.6640625" style="679" customWidth="1"/>
    <col min="4098" max="4099" width="9.1640625" style="679"/>
    <col min="4100" max="4100" width="33.5" style="679" customWidth="1"/>
    <col min="4101" max="4104" width="9.1640625" style="679"/>
    <col min="4105" max="4105" width="30" style="679" bestFit="1" customWidth="1"/>
    <col min="4106" max="4106" width="11.6640625" style="679" customWidth="1"/>
    <col min="4107" max="4107" width="58.1640625" style="679" bestFit="1" customWidth="1"/>
    <col min="4108" max="4352" width="9.1640625" style="679"/>
    <col min="4353" max="4353" width="11.6640625" style="679" customWidth="1"/>
    <col min="4354" max="4355" width="9.1640625" style="679"/>
    <col min="4356" max="4356" width="33.5" style="679" customWidth="1"/>
    <col min="4357" max="4360" width="9.1640625" style="679"/>
    <col min="4361" max="4361" width="30" style="679" bestFit="1" customWidth="1"/>
    <col min="4362" max="4362" width="11.6640625" style="679" customWidth="1"/>
    <col min="4363" max="4363" width="58.1640625" style="679" bestFit="1" customWidth="1"/>
    <col min="4364" max="4608" width="9.1640625" style="679"/>
    <col min="4609" max="4609" width="11.6640625" style="679" customWidth="1"/>
    <col min="4610" max="4611" width="9.1640625" style="679"/>
    <col min="4612" max="4612" width="33.5" style="679" customWidth="1"/>
    <col min="4613" max="4616" width="9.1640625" style="679"/>
    <col min="4617" max="4617" width="30" style="679" bestFit="1" customWidth="1"/>
    <col min="4618" max="4618" width="11.6640625" style="679" customWidth="1"/>
    <col min="4619" max="4619" width="58.1640625" style="679" bestFit="1" customWidth="1"/>
    <col min="4620" max="4864" width="9.1640625" style="679"/>
    <col min="4865" max="4865" width="11.6640625" style="679" customWidth="1"/>
    <col min="4866" max="4867" width="9.1640625" style="679"/>
    <col min="4868" max="4868" width="33.5" style="679" customWidth="1"/>
    <col min="4869" max="4872" width="9.1640625" style="679"/>
    <col min="4873" max="4873" width="30" style="679" bestFit="1" customWidth="1"/>
    <col min="4874" max="4874" width="11.6640625" style="679" customWidth="1"/>
    <col min="4875" max="4875" width="58.1640625" style="679" bestFit="1" customWidth="1"/>
    <col min="4876" max="5120" width="9.1640625" style="679"/>
    <col min="5121" max="5121" width="11.6640625" style="679" customWidth="1"/>
    <col min="5122" max="5123" width="9.1640625" style="679"/>
    <col min="5124" max="5124" width="33.5" style="679" customWidth="1"/>
    <col min="5125" max="5128" width="9.1640625" style="679"/>
    <col min="5129" max="5129" width="30" style="679" bestFit="1" customWidth="1"/>
    <col min="5130" max="5130" width="11.6640625" style="679" customWidth="1"/>
    <col min="5131" max="5131" width="58.1640625" style="679" bestFit="1" customWidth="1"/>
    <col min="5132" max="5376" width="9.1640625" style="679"/>
    <col min="5377" max="5377" width="11.6640625" style="679" customWidth="1"/>
    <col min="5378" max="5379" width="9.1640625" style="679"/>
    <col min="5380" max="5380" width="33.5" style="679" customWidth="1"/>
    <col min="5381" max="5384" width="9.1640625" style="679"/>
    <col min="5385" max="5385" width="30" style="679" bestFit="1" customWidth="1"/>
    <col min="5386" max="5386" width="11.6640625" style="679" customWidth="1"/>
    <col min="5387" max="5387" width="58.1640625" style="679" bestFit="1" customWidth="1"/>
    <col min="5388" max="5632" width="9.1640625" style="679"/>
    <col min="5633" max="5633" width="11.6640625" style="679" customWidth="1"/>
    <col min="5634" max="5635" width="9.1640625" style="679"/>
    <col min="5636" max="5636" width="33.5" style="679" customWidth="1"/>
    <col min="5637" max="5640" width="9.1640625" style="679"/>
    <col min="5641" max="5641" width="30" style="679" bestFit="1" customWidth="1"/>
    <col min="5642" max="5642" width="11.6640625" style="679" customWidth="1"/>
    <col min="5643" max="5643" width="58.1640625" style="679" bestFit="1" customWidth="1"/>
    <col min="5644" max="5888" width="9.1640625" style="679"/>
    <col min="5889" max="5889" width="11.6640625" style="679" customWidth="1"/>
    <col min="5890" max="5891" width="9.1640625" style="679"/>
    <col min="5892" max="5892" width="33.5" style="679" customWidth="1"/>
    <col min="5893" max="5896" width="9.1640625" style="679"/>
    <col min="5897" max="5897" width="30" style="679" bestFit="1" customWidth="1"/>
    <col min="5898" max="5898" width="11.6640625" style="679" customWidth="1"/>
    <col min="5899" max="5899" width="58.1640625" style="679" bestFit="1" customWidth="1"/>
    <col min="5900" max="6144" width="9.1640625" style="679"/>
    <col min="6145" max="6145" width="11.6640625" style="679" customWidth="1"/>
    <col min="6146" max="6147" width="9.1640625" style="679"/>
    <col min="6148" max="6148" width="33.5" style="679" customWidth="1"/>
    <col min="6149" max="6152" width="9.1640625" style="679"/>
    <col min="6153" max="6153" width="30" style="679" bestFit="1" customWidth="1"/>
    <col min="6154" max="6154" width="11.6640625" style="679" customWidth="1"/>
    <col min="6155" max="6155" width="58.1640625" style="679" bestFit="1" customWidth="1"/>
    <col min="6156" max="6400" width="9.1640625" style="679"/>
    <col min="6401" max="6401" width="11.6640625" style="679" customWidth="1"/>
    <col min="6402" max="6403" width="9.1640625" style="679"/>
    <col min="6404" max="6404" width="33.5" style="679" customWidth="1"/>
    <col min="6405" max="6408" width="9.1640625" style="679"/>
    <col min="6409" max="6409" width="30" style="679" bestFit="1" customWidth="1"/>
    <col min="6410" max="6410" width="11.6640625" style="679" customWidth="1"/>
    <col min="6411" max="6411" width="58.1640625" style="679" bestFit="1" customWidth="1"/>
    <col min="6412" max="6656" width="9.1640625" style="679"/>
    <col min="6657" max="6657" width="11.6640625" style="679" customWidth="1"/>
    <col min="6658" max="6659" width="9.1640625" style="679"/>
    <col min="6660" max="6660" width="33.5" style="679" customWidth="1"/>
    <col min="6661" max="6664" width="9.1640625" style="679"/>
    <col min="6665" max="6665" width="30" style="679" bestFit="1" customWidth="1"/>
    <col min="6666" max="6666" width="11.6640625" style="679" customWidth="1"/>
    <col min="6667" max="6667" width="58.1640625" style="679" bestFit="1" customWidth="1"/>
    <col min="6668" max="6912" width="9.1640625" style="679"/>
    <col min="6913" max="6913" width="11.6640625" style="679" customWidth="1"/>
    <col min="6914" max="6915" width="9.1640625" style="679"/>
    <col min="6916" max="6916" width="33.5" style="679" customWidth="1"/>
    <col min="6917" max="6920" width="9.1640625" style="679"/>
    <col min="6921" max="6921" width="30" style="679" bestFit="1" customWidth="1"/>
    <col min="6922" max="6922" width="11.6640625" style="679" customWidth="1"/>
    <col min="6923" max="6923" width="58.1640625" style="679" bestFit="1" customWidth="1"/>
    <col min="6924" max="7168" width="9.1640625" style="679"/>
    <col min="7169" max="7169" width="11.6640625" style="679" customWidth="1"/>
    <col min="7170" max="7171" width="9.1640625" style="679"/>
    <col min="7172" max="7172" width="33.5" style="679" customWidth="1"/>
    <col min="7173" max="7176" width="9.1640625" style="679"/>
    <col min="7177" max="7177" width="30" style="679" bestFit="1" customWidth="1"/>
    <col min="7178" max="7178" width="11.6640625" style="679" customWidth="1"/>
    <col min="7179" max="7179" width="58.1640625" style="679" bestFit="1" customWidth="1"/>
    <col min="7180" max="7424" width="9.1640625" style="679"/>
    <col min="7425" max="7425" width="11.6640625" style="679" customWidth="1"/>
    <col min="7426" max="7427" width="9.1640625" style="679"/>
    <col min="7428" max="7428" width="33.5" style="679" customWidth="1"/>
    <col min="7429" max="7432" width="9.1640625" style="679"/>
    <col min="7433" max="7433" width="30" style="679" bestFit="1" customWidth="1"/>
    <col min="7434" max="7434" width="11.6640625" style="679" customWidth="1"/>
    <col min="7435" max="7435" width="58.1640625" style="679" bestFit="1" customWidth="1"/>
    <col min="7436" max="7680" width="9.1640625" style="679"/>
    <col min="7681" max="7681" width="11.6640625" style="679" customWidth="1"/>
    <col min="7682" max="7683" width="9.1640625" style="679"/>
    <col min="7684" max="7684" width="33.5" style="679" customWidth="1"/>
    <col min="7685" max="7688" width="9.1640625" style="679"/>
    <col min="7689" max="7689" width="30" style="679" bestFit="1" customWidth="1"/>
    <col min="7690" max="7690" width="11.6640625" style="679" customWidth="1"/>
    <col min="7691" max="7691" width="58.1640625" style="679" bestFit="1" customWidth="1"/>
    <col min="7692" max="7936" width="9.1640625" style="679"/>
    <col min="7937" max="7937" width="11.6640625" style="679" customWidth="1"/>
    <col min="7938" max="7939" width="9.1640625" style="679"/>
    <col min="7940" max="7940" width="33.5" style="679" customWidth="1"/>
    <col min="7941" max="7944" width="9.1640625" style="679"/>
    <col min="7945" max="7945" width="30" style="679" bestFit="1" customWidth="1"/>
    <col min="7946" max="7946" width="11.6640625" style="679" customWidth="1"/>
    <col min="7947" max="7947" width="58.1640625" style="679" bestFit="1" customWidth="1"/>
    <col min="7948" max="8192" width="9.1640625" style="679"/>
    <col min="8193" max="8193" width="11.6640625" style="679" customWidth="1"/>
    <col min="8194" max="8195" width="9.1640625" style="679"/>
    <col min="8196" max="8196" width="33.5" style="679" customWidth="1"/>
    <col min="8197" max="8200" width="9.1640625" style="679"/>
    <col min="8201" max="8201" width="30" style="679" bestFit="1" customWidth="1"/>
    <col min="8202" max="8202" width="11.6640625" style="679" customWidth="1"/>
    <col min="8203" max="8203" width="58.1640625" style="679" bestFit="1" customWidth="1"/>
    <col min="8204" max="8448" width="9.1640625" style="679"/>
    <col min="8449" max="8449" width="11.6640625" style="679" customWidth="1"/>
    <col min="8450" max="8451" width="9.1640625" style="679"/>
    <col min="8452" max="8452" width="33.5" style="679" customWidth="1"/>
    <col min="8453" max="8456" width="9.1640625" style="679"/>
    <col min="8457" max="8457" width="30" style="679" bestFit="1" customWidth="1"/>
    <col min="8458" max="8458" width="11.6640625" style="679" customWidth="1"/>
    <col min="8459" max="8459" width="58.1640625" style="679" bestFit="1" customWidth="1"/>
    <col min="8460" max="8704" width="9.1640625" style="679"/>
    <col min="8705" max="8705" width="11.6640625" style="679" customWidth="1"/>
    <col min="8706" max="8707" width="9.1640625" style="679"/>
    <col min="8708" max="8708" width="33.5" style="679" customWidth="1"/>
    <col min="8709" max="8712" width="9.1640625" style="679"/>
    <col min="8713" max="8713" width="30" style="679" bestFit="1" customWidth="1"/>
    <col min="8714" max="8714" width="11.6640625" style="679" customWidth="1"/>
    <col min="8715" max="8715" width="58.1640625" style="679" bestFit="1" customWidth="1"/>
    <col min="8716" max="8960" width="9.1640625" style="679"/>
    <col min="8961" max="8961" width="11.6640625" style="679" customWidth="1"/>
    <col min="8962" max="8963" width="9.1640625" style="679"/>
    <col min="8964" max="8964" width="33.5" style="679" customWidth="1"/>
    <col min="8965" max="8968" width="9.1640625" style="679"/>
    <col min="8969" max="8969" width="30" style="679" bestFit="1" customWidth="1"/>
    <col min="8970" max="8970" width="11.6640625" style="679" customWidth="1"/>
    <col min="8971" max="8971" width="58.1640625" style="679" bestFit="1" customWidth="1"/>
    <col min="8972" max="9216" width="9.1640625" style="679"/>
    <col min="9217" max="9217" width="11.6640625" style="679" customWidth="1"/>
    <col min="9218" max="9219" width="9.1640625" style="679"/>
    <col min="9220" max="9220" width="33.5" style="679" customWidth="1"/>
    <col min="9221" max="9224" width="9.1640625" style="679"/>
    <col min="9225" max="9225" width="30" style="679" bestFit="1" customWidth="1"/>
    <col min="9226" max="9226" width="11.6640625" style="679" customWidth="1"/>
    <col min="9227" max="9227" width="58.1640625" style="679" bestFit="1" customWidth="1"/>
    <col min="9228" max="9472" width="9.1640625" style="679"/>
    <col min="9473" max="9473" width="11.6640625" style="679" customWidth="1"/>
    <col min="9474" max="9475" width="9.1640625" style="679"/>
    <col min="9476" max="9476" width="33.5" style="679" customWidth="1"/>
    <col min="9477" max="9480" width="9.1640625" style="679"/>
    <col min="9481" max="9481" width="30" style="679" bestFit="1" customWidth="1"/>
    <col min="9482" max="9482" width="11.6640625" style="679" customWidth="1"/>
    <col min="9483" max="9483" width="58.1640625" style="679" bestFit="1" customWidth="1"/>
    <col min="9484" max="9728" width="9.1640625" style="679"/>
    <col min="9729" max="9729" width="11.6640625" style="679" customWidth="1"/>
    <col min="9730" max="9731" width="9.1640625" style="679"/>
    <col min="9732" max="9732" width="33.5" style="679" customWidth="1"/>
    <col min="9733" max="9736" width="9.1640625" style="679"/>
    <col min="9737" max="9737" width="30" style="679" bestFit="1" customWidth="1"/>
    <col min="9738" max="9738" width="11.6640625" style="679" customWidth="1"/>
    <col min="9739" max="9739" width="58.1640625" style="679" bestFit="1" customWidth="1"/>
    <col min="9740" max="9984" width="9.1640625" style="679"/>
    <col min="9985" max="9985" width="11.6640625" style="679" customWidth="1"/>
    <col min="9986" max="9987" width="9.1640625" style="679"/>
    <col min="9988" max="9988" width="33.5" style="679" customWidth="1"/>
    <col min="9989" max="9992" width="9.1640625" style="679"/>
    <col min="9993" max="9993" width="30" style="679" bestFit="1" customWidth="1"/>
    <col min="9994" max="9994" width="11.6640625" style="679" customWidth="1"/>
    <col min="9995" max="9995" width="58.1640625" style="679" bestFit="1" customWidth="1"/>
    <col min="9996" max="10240" width="9.1640625" style="679"/>
    <col min="10241" max="10241" width="11.6640625" style="679" customWidth="1"/>
    <col min="10242" max="10243" width="9.1640625" style="679"/>
    <col min="10244" max="10244" width="33.5" style="679" customWidth="1"/>
    <col min="10245" max="10248" width="9.1640625" style="679"/>
    <col min="10249" max="10249" width="30" style="679" bestFit="1" customWidth="1"/>
    <col min="10250" max="10250" width="11.6640625" style="679" customWidth="1"/>
    <col min="10251" max="10251" width="58.1640625" style="679" bestFit="1" customWidth="1"/>
    <col min="10252" max="10496" width="9.1640625" style="679"/>
    <col min="10497" max="10497" width="11.6640625" style="679" customWidth="1"/>
    <col min="10498" max="10499" width="9.1640625" style="679"/>
    <col min="10500" max="10500" width="33.5" style="679" customWidth="1"/>
    <col min="10501" max="10504" width="9.1640625" style="679"/>
    <col min="10505" max="10505" width="30" style="679" bestFit="1" customWidth="1"/>
    <col min="10506" max="10506" width="11.6640625" style="679" customWidth="1"/>
    <col min="10507" max="10507" width="58.1640625" style="679" bestFit="1" customWidth="1"/>
    <col min="10508" max="10752" width="9.1640625" style="679"/>
    <col min="10753" max="10753" width="11.6640625" style="679" customWidth="1"/>
    <col min="10754" max="10755" width="9.1640625" style="679"/>
    <col min="10756" max="10756" width="33.5" style="679" customWidth="1"/>
    <col min="10757" max="10760" width="9.1640625" style="679"/>
    <col min="10761" max="10761" width="30" style="679" bestFit="1" customWidth="1"/>
    <col min="10762" max="10762" width="11.6640625" style="679" customWidth="1"/>
    <col min="10763" max="10763" width="58.1640625" style="679" bestFit="1" customWidth="1"/>
    <col min="10764" max="11008" width="9.1640625" style="679"/>
    <col min="11009" max="11009" width="11.6640625" style="679" customWidth="1"/>
    <col min="11010" max="11011" width="9.1640625" style="679"/>
    <col min="11012" max="11012" width="33.5" style="679" customWidth="1"/>
    <col min="11013" max="11016" width="9.1640625" style="679"/>
    <col min="11017" max="11017" width="30" style="679" bestFit="1" customWidth="1"/>
    <col min="11018" max="11018" width="11.6640625" style="679" customWidth="1"/>
    <col min="11019" max="11019" width="58.1640625" style="679" bestFit="1" customWidth="1"/>
    <col min="11020" max="11264" width="9.1640625" style="679"/>
    <col min="11265" max="11265" width="11.6640625" style="679" customWidth="1"/>
    <col min="11266" max="11267" width="9.1640625" style="679"/>
    <col min="11268" max="11268" width="33.5" style="679" customWidth="1"/>
    <col min="11269" max="11272" width="9.1640625" style="679"/>
    <col min="11273" max="11273" width="30" style="679" bestFit="1" customWidth="1"/>
    <col min="11274" max="11274" width="11.6640625" style="679" customWidth="1"/>
    <col min="11275" max="11275" width="58.1640625" style="679" bestFit="1" customWidth="1"/>
    <col min="11276" max="11520" width="9.1640625" style="679"/>
    <col min="11521" max="11521" width="11.6640625" style="679" customWidth="1"/>
    <col min="11522" max="11523" width="9.1640625" style="679"/>
    <col min="11524" max="11524" width="33.5" style="679" customWidth="1"/>
    <col min="11525" max="11528" width="9.1640625" style="679"/>
    <col min="11529" max="11529" width="30" style="679" bestFit="1" customWidth="1"/>
    <col min="11530" max="11530" width="11.6640625" style="679" customWidth="1"/>
    <col min="11531" max="11531" width="58.1640625" style="679" bestFit="1" customWidth="1"/>
    <col min="11532" max="11776" width="9.1640625" style="679"/>
    <col min="11777" max="11777" width="11.6640625" style="679" customWidth="1"/>
    <col min="11778" max="11779" width="9.1640625" style="679"/>
    <col min="11780" max="11780" width="33.5" style="679" customWidth="1"/>
    <col min="11781" max="11784" width="9.1640625" style="679"/>
    <col min="11785" max="11785" width="30" style="679" bestFit="1" customWidth="1"/>
    <col min="11786" max="11786" width="11.6640625" style="679" customWidth="1"/>
    <col min="11787" max="11787" width="58.1640625" style="679" bestFit="1" customWidth="1"/>
    <col min="11788" max="12032" width="9.1640625" style="679"/>
    <col min="12033" max="12033" width="11.6640625" style="679" customWidth="1"/>
    <col min="12034" max="12035" width="9.1640625" style="679"/>
    <col min="12036" max="12036" width="33.5" style="679" customWidth="1"/>
    <col min="12037" max="12040" width="9.1640625" style="679"/>
    <col min="12041" max="12041" width="30" style="679" bestFit="1" customWidth="1"/>
    <col min="12042" max="12042" width="11.6640625" style="679" customWidth="1"/>
    <col min="12043" max="12043" width="58.1640625" style="679" bestFit="1" customWidth="1"/>
    <col min="12044" max="12288" width="9.1640625" style="679"/>
    <col min="12289" max="12289" width="11.6640625" style="679" customWidth="1"/>
    <col min="12290" max="12291" width="9.1640625" style="679"/>
    <col min="12292" max="12292" width="33.5" style="679" customWidth="1"/>
    <col min="12293" max="12296" width="9.1640625" style="679"/>
    <col min="12297" max="12297" width="30" style="679" bestFit="1" customWidth="1"/>
    <col min="12298" max="12298" width="11.6640625" style="679" customWidth="1"/>
    <col min="12299" max="12299" width="58.1640625" style="679" bestFit="1" customWidth="1"/>
    <col min="12300" max="12544" width="9.1640625" style="679"/>
    <col min="12545" max="12545" width="11.6640625" style="679" customWidth="1"/>
    <col min="12546" max="12547" width="9.1640625" style="679"/>
    <col min="12548" max="12548" width="33.5" style="679" customWidth="1"/>
    <col min="12549" max="12552" width="9.1640625" style="679"/>
    <col min="12553" max="12553" width="30" style="679" bestFit="1" customWidth="1"/>
    <col min="12554" max="12554" width="11.6640625" style="679" customWidth="1"/>
    <col min="12555" max="12555" width="58.1640625" style="679" bestFit="1" customWidth="1"/>
    <col min="12556" max="12800" width="9.1640625" style="679"/>
    <col min="12801" max="12801" width="11.6640625" style="679" customWidth="1"/>
    <col min="12802" max="12803" width="9.1640625" style="679"/>
    <col min="12804" max="12804" width="33.5" style="679" customWidth="1"/>
    <col min="12805" max="12808" width="9.1640625" style="679"/>
    <col min="12809" max="12809" width="30" style="679" bestFit="1" customWidth="1"/>
    <col min="12810" max="12810" width="11.6640625" style="679" customWidth="1"/>
    <col min="12811" max="12811" width="58.1640625" style="679" bestFit="1" customWidth="1"/>
    <col min="12812" max="13056" width="9.1640625" style="679"/>
    <col min="13057" max="13057" width="11.6640625" style="679" customWidth="1"/>
    <col min="13058" max="13059" width="9.1640625" style="679"/>
    <col min="13060" max="13060" width="33.5" style="679" customWidth="1"/>
    <col min="13061" max="13064" width="9.1640625" style="679"/>
    <col min="13065" max="13065" width="30" style="679" bestFit="1" customWidth="1"/>
    <col min="13066" max="13066" width="11.6640625" style="679" customWidth="1"/>
    <col min="13067" max="13067" width="58.1640625" style="679" bestFit="1" customWidth="1"/>
    <col min="13068" max="13312" width="9.1640625" style="679"/>
    <col min="13313" max="13313" width="11.6640625" style="679" customWidth="1"/>
    <col min="13314" max="13315" width="9.1640625" style="679"/>
    <col min="13316" max="13316" width="33.5" style="679" customWidth="1"/>
    <col min="13317" max="13320" width="9.1640625" style="679"/>
    <col min="13321" max="13321" width="30" style="679" bestFit="1" customWidth="1"/>
    <col min="13322" max="13322" width="11.6640625" style="679" customWidth="1"/>
    <col min="13323" max="13323" width="58.1640625" style="679" bestFit="1" customWidth="1"/>
    <col min="13324" max="13568" width="9.1640625" style="679"/>
    <col min="13569" max="13569" width="11.6640625" style="679" customWidth="1"/>
    <col min="13570" max="13571" width="9.1640625" style="679"/>
    <col min="13572" max="13572" width="33.5" style="679" customWidth="1"/>
    <col min="13573" max="13576" width="9.1640625" style="679"/>
    <col min="13577" max="13577" width="30" style="679" bestFit="1" customWidth="1"/>
    <col min="13578" max="13578" width="11.6640625" style="679" customWidth="1"/>
    <col min="13579" max="13579" width="58.1640625" style="679" bestFit="1" customWidth="1"/>
    <col min="13580" max="13824" width="9.1640625" style="679"/>
    <col min="13825" max="13825" width="11.6640625" style="679" customWidth="1"/>
    <col min="13826" max="13827" width="9.1640625" style="679"/>
    <col min="13828" max="13828" width="33.5" style="679" customWidth="1"/>
    <col min="13829" max="13832" width="9.1640625" style="679"/>
    <col min="13833" max="13833" width="30" style="679" bestFit="1" customWidth="1"/>
    <col min="13834" max="13834" width="11.6640625" style="679" customWidth="1"/>
    <col min="13835" max="13835" width="58.1640625" style="679" bestFit="1" customWidth="1"/>
    <col min="13836" max="14080" width="9.1640625" style="679"/>
    <col min="14081" max="14081" width="11.6640625" style="679" customWidth="1"/>
    <col min="14082" max="14083" width="9.1640625" style="679"/>
    <col min="14084" max="14084" width="33.5" style="679" customWidth="1"/>
    <col min="14085" max="14088" width="9.1640625" style="679"/>
    <col min="14089" max="14089" width="30" style="679" bestFit="1" customWidth="1"/>
    <col min="14090" max="14090" width="11.6640625" style="679" customWidth="1"/>
    <col min="14091" max="14091" width="58.1640625" style="679" bestFit="1" customWidth="1"/>
    <col min="14092" max="14336" width="9.1640625" style="679"/>
    <col min="14337" max="14337" width="11.6640625" style="679" customWidth="1"/>
    <col min="14338" max="14339" width="9.1640625" style="679"/>
    <col min="14340" max="14340" width="33.5" style="679" customWidth="1"/>
    <col min="14341" max="14344" width="9.1640625" style="679"/>
    <col min="14345" max="14345" width="30" style="679" bestFit="1" customWidth="1"/>
    <col min="14346" max="14346" width="11.6640625" style="679" customWidth="1"/>
    <col min="14347" max="14347" width="58.1640625" style="679" bestFit="1" customWidth="1"/>
    <col min="14348" max="14592" width="9.1640625" style="679"/>
    <col min="14593" max="14593" width="11.6640625" style="679" customWidth="1"/>
    <col min="14594" max="14595" width="9.1640625" style="679"/>
    <col min="14596" max="14596" width="33.5" style="679" customWidth="1"/>
    <col min="14597" max="14600" width="9.1640625" style="679"/>
    <col min="14601" max="14601" width="30" style="679" bestFit="1" customWidth="1"/>
    <col min="14602" max="14602" width="11.6640625" style="679" customWidth="1"/>
    <col min="14603" max="14603" width="58.1640625" style="679" bestFit="1" customWidth="1"/>
    <col min="14604" max="14848" width="9.1640625" style="679"/>
    <col min="14849" max="14849" width="11.6640625" style="679" customWidth="1"/>
    <col min="14850" max="14851" width="9.1640625" style="679"/>
    <col min="14852" max="14852" width="33.5" style="679" customWidth="1"/>
    <col min="14853" max="14856" width="9.1640625" style="679"/>
    <col min="14857" max="14857" width="30" style="679" bestFit="1" customWidth="1"/>
    <col min="14858" max="14858" width="11.6640625" style="679" customWidth="1"/>
    <col min="14859" max="14859" width="58.1640625" style="679" bestFit="1" customWidth="1"/>
    <col min="14860" max="15104" width="9.1640625" style="679"/>
    <col min="15105" max="15105" width="11.6640625" style="679" customWidth="1"/>
    <col min="15106" max="15107" width="9.1640625" style="679"/>
    <col min="15108" max="15108" width="33.5" style="679" customWidth="1"/>
    <col min="15109" max="15112" width="9.1640625" style="679"/>
    <col min="15113" max="15113" width="30" style="679" bestFit="1" customWidth="1"/>
    <col min="15114" max="15114" width="11.6640625" style="679" customWidth="1"/>
    <col min="15115" max="15115" width="58.1640625" style="679" bestFit="1" customWidth="1"/>
    <col min="15116" max="15360" width="9.1640625" style="679"/>
    <col min="15361" max="15361" width="11.6640625" style="679" customWidth="1"/>
    <col min="15362" max="15363" width="9.1640625" style="679"/>
    <col min="15364" max="15364" width="33.5" style="679" customWidth="1"/>
    <col min="15365" max="15368" width="9.1640625" style="679"/>
    <col min="15369" max="15369" width="30" style="679" bestFit="1" customWidth="1"/>
    <col min="15370" max="15370" width="11.6640625" style="679" customWidth="1"/>
    <col min="15371" max="15371" width="58.1640625" style="679" bestFit="1" customWidth="1"/>
    <col min="15372" max="15616" width="9.1640625" style="679"/>
    <col min="15617" max="15617" width="11.6640625" style="679" customWidth="1"/>
    <col min="15618" max="15619" width="9.1640625" style="679"/>
    <col min="15620" max="15620" width="33.5" style="679" customWidth="1"/>
    <col min="15621" max="15624" width="9.1640625" style="679"/>
    <col min="15625" max="15625" width="30" style="679" bestFit="1" customWidth="1"/>
    <col min="15626" max="15626" width="11.6640625" style="679" customWidth="1"/>
    <col min="15627" max="15627" width="58.1640625" style="679" bestFit="1" customWidth="1"/>
    <col min="15628" max="15872" width="9.1640625" style="679"/>
    <col min="15873" max="15873" width="11.6640625" style="679" customWidth="1"/>
    <col min="15874" max="15875" width="9.1640625" style="679"/>
    <col min="15876" max="15876" width="33.5" style="679" customWidth="1"/>
    <col min="15877" max="15880" width="9.1640625" style="679"/>
    <col min="15881" max="15881" width="30" style="679" bestFit="1" customWidth="1"/>
    <col min="15882" max="15882" width="11.6640625" style="679" customWidth="1"/>
    <col min="15883" max="15883" width="58.1640625" style="679" bestFit="1" customWidth="1"/>
    <col min="15884" max="16128" width="9.1640625" style="679"/>
    <col min="16129" max="16129" width="11.6640625" style="679" customWidth="1"/>
    <col min="16130" max="16131" width="9.1640625" style="679"/>
    <col min="16132" max="16132" width="33.5" style="679" customWidth="1"/>
    <col min="16133" max="16136" width="9.1640625" style="679"/>
    <col min="16137" max="16137" width="30" style="679" bestFit="1" customWidth="1"/>
    <col min="16138" max="16138" width="11.6640625" style="679" customWidth="1"/>
    <col min="16139" max="16139" width="58.1640625" style="679" bestFit="1" customWidth="1"/>
    <col min="16140" max="16384" width="9.1640625" style="679"/>
  </cols>
  <sheetData>
    <row r="1" spans="1:11">
      <c r="A1" s="679" t="s">
        <v>778</v>
      </c>
      <c r="B1" s="679" t="s">
        <v>779</v>
      </c>
      <c r="C1" s="679" t="s">
        <v>780</v>
      </c>
      <c r="D1" s="679" t="s">
        <v>781</v>
      </c>
      <c r="E1" s="679" t="s">
        <v>782</v>
      </c>
      <c r="F1" s="679" t="s">
        <v>783</v>
      </c>
      <c r="G1" s="679" t="s">
        <v>345</v>
      </c>
      <c r="H1" s="679" t="s">
        <v>784</v>
      </c>
      <c r="I1" s="679" t="s">
        <v>785</v>
      </c>
      <c r="J1" s="679" t="s">
        <v>786</v>
      </c>
      <c r="K1" s="680" t="s">
        <v>787</v>
      </c>
    </row>
    <row r="2" spans="1:11">
      <c r="A2" s="679" t="s">
        <v>788</v>
      </c>
      <c r="B2" s="679" t="s">
        <v>789</v>
      </c>
      <c r="C2" s="679" t="s">
        <v>790</v>
      </c>
      <c r="D2" s="679" t="s">
        <v>791</v>
      </c>
      <c r="E2" s="679" t="s">
        <v>792</v>
      </c>
      <c r="F2" s="679" t="s">
        <v>793</v>
      </c>
      <c r="G2" s="679" t="s">
        <v>794</v>
      </c>
      <c r="H2" s="679">
        <v>61854</v>
      </c>
      <c r="I2" s="679" t="s">
        <v>795</v>
      </c>
      <c r="J2" s="679">
        <v>80</v>
      </c>
    </row>
    <row r="3" spans="1:11">
      <c r="A3" s="679" t="s">
        <v>788</v>
      </c>
      <c r="B3" s="679" t="s">
        <v>796</v>
      </c>
      <c r="C3" s="679" t="s">
        <v>797</v>
      </c>
      <c r="D3" s="679" t="s">
        <v>791</v>
      </c>
      <c r="E3" s="679" t="s">
        <v>792</v>
      </c>
      <c r="F3" s="679" t="s">
        <v>793</v>
      </c>
      <c r="G3" s="679" t="s">
        <v>794</v>
      </c>
      <c r="H3" s="679">
        <v>61850</v>
      </c>
      <c r="I3" s="679" t="s">
        <v>798</v>
      </c>
      <c r="J3" s="679">
        <v>80</v>
      </c>
      <c r="K3" s="501" t="s">
        <v>799</v>
      </c>
    </row>
    <row r="4" spans="1:11">
      <c r="A4" s="679" t="s">
        <v>788</v>
      </c>
      <c r="B4" s="679" t="s">
        <v>800</v>
      </c>
      <c r="C4" s="679" t="s">
        <v>801</v>
      </c>
      <c r="D4" s="679" t="s">
        <v>791</v>
      </c>
      <c r="E4" s="679" t="s">
        <v>792</v>
      </c>
      <c r="F4" s="679" t="s">
        <v>793</v>
      </c>
      <c r="G4" s="679" t="s">
        <v>794</v>
      </c>
      <c r="H4" s="679">
        <v>61851</v>
      </c>
      <c r="I4" s="679" t="s">
        <v>802</v>
      </c>
      <c r="J4" s="679">
        <v>80</v>
      </c>
    </row>
    <row r="5" spans="1:11">
      <c r="A5" s="679" t="s">
        <v>788</v>
      </c>
      <c r="B5" s="679" t="s">
        <v>803</v>
      </c>
      <c r="C5" s="679" t="s">
        <v>804</v>
      </c>
      <c r="D5" s="679" t="s">
        <v>791</v>
      </c>
      <c r="E5" s="679" t="s">
        <v>792</v>
      </c>
      <c r="F5" s="679" t="s">
        <v>793</v>
      </c>
      <c r="G5" s="679" t="s">
        <v>794</v>
      </c>
      <c r="H5" s="679">
        <v>61852</v>
      </c>
      <c r="I5" s="679" t="s">
        <v>802</v>
      </c>
      <c r="J5" s="679">
        <v>80</v>
      </c>
    </row>
    <row r="6" spans="1:11">
      <c r="A6" s="679" t="s">
        <v>788</v>
      </c>
      <c r="B6" s="679" t="s">
        <v>805</v>
      </c>
      <c r="C6" s="679" t="s">
        <v>806</v>
      </c>
      <c r="D6" s="679" t="s">
        <v>791</v>
      </c>
      <c r="E6" s="679" t="s">
        <v>792</v>
      </c>
      <c r="F6" s="679" t="s">
        <v>793</v>
      </c>
      <c r="G6" s="679" t="s">
        <v>794</v>
      </c>
      <c r="H6" s="679">
        <v>61855</v>
      </c>
      <c r="I6" s="679" t="s">
        <v>795</v>
      </c>
      <c r="J6" s="679">
        <v>80</v>
      </c>
    </row>
    <row r="7" spans="1:11">
      <c r="A7" s="679" t="s">
        <v>788</v>
      </c>
      <c r="B7" s="679" t="s">
        <v>807</v>
      </c>
      <c r="C7" s="679" t="s">
        <v>808</v>
      </c>
      <c r="D7" s="679" t="s">
        <v>809</v>
      </c>
      <c r="E7" s="679" t="s">
        <v>792</v>
      </c>
      <c r="F7" s="679" t="s">
        <v>793</v>
      </c>
      <c r="G7" s="679" t="s">
        <v>794</v>
      </c>
      <c r="H7" s="679">
        <v>52922</v>
      </c>
      <c r="I7" s="679" t="s">
        <v>810</v>
      </c>
      <c r="J7" s="679">
        <v>6</v>
      </c>
    </row>
    <row r="8" spans="1:11">
      <c r="A8" s="679" t="s">
        <v>788</v>
      </c>
      <c r="B8" s="679" t="s">
        <v>811</v>
      </c>
      <c r="C8" s="679" t="s">
        <v>812</v>
      </c>
      <c r="D8" s="679" t="s">
        <v>809</v>
      </c>
      <c r="E8" s="679" t="s">
        <v>792</v>
      </c>
      <c r="F8" s="679" t="s">
        <v>793</v>
      </c>
      <c r="G8" s="679" t="s">
        <v>794</v>
      </c>
      <c r="H8" s="679">
        <v>59729</v>
      </c>
      <c r="I8" s="679" t="s">
        <v>810</v>
      </c>
      <c r="J8" s="679">
        <v>6</v>
      </c>
    </row>
    <row r="9" spans="1:11">
      <c r="A9" s="679" t="s">
        <v>788</v>
      </c>
      <c r="B9" s="679" t="s">
        <v>813</v>
      </c>
      <c r="C9" s="679" t="s">
        <v>814</v>
      </c>
      <c r="D9" s="679" t="s">
        <v>791</v>
      </c>
      <c r="E9" s="679" t="s">
        <v>792</v>
      </c>
      <c r="F9" s="679" t="s">
        <v>793</v>
      </c>
      <c r="G9" s="679" t="s">
        <v>794</v>
      </c>
      <c r="H9" s="679">
        <v>61853</v>
      </c>
      <c r="I9" s="679" t="s">
        <v>795</v>
      </c>
      <c r="J9" s="679">
        <v>80</v>
      </c>
    </row>
    <row r="10" spans="1:11">
      <c r="A10" s="679" t="s">
        <v>815</v>
      </c>
      <c r="B10" s="679">
        <v>21736</v>
      </c>
      <c r="C10" s="679" t="s">
        <v>816</v>
      </c>
      <c r="D10" s="679" t="s">
        <v>817</v>
      </c>
      <c r="E10" s="679" t="s">
        <v>792</v>
      </c>
      <c r="F10" s="679" t="s">
        <v>818</v>
      </c>
      <c r="G10" s="679" t="s">
        <v>819</v>
      </c>
      <c r="H10" s="679">
        <v>54913</v>
      </c>
      <c r="I10" s="679" t="s">
        <v>820</v>
      </c>
      <c r="J10" s="679">
        <v>78</v>
      </c>
    </row>
    <row r="11" spans="1:11">
      <c r="A11" s="679" t="s">
        <v>815</v>
      </c>
      <c r="B11" s="679">
        <v>21738</v>
      </c>
      <c r="C11" s="679" t="s">
        <v>821</v>
      </c>
      <c r="D11" s="679" t="s">
        <v>817</v>
      </c>
      <c r="E11" s="679" t="s">
        <v>792</v>
      </c>
      <c r="F11" s="679" t="s">
        <v>818</v>
      </c>
      <c r="G11" s="679" t="s">
        <v>819</v>
      </c>
      <c r="H11" s="679">
        <v>54914</v>
      </c>
      <c r="I11" s="679" t="s">
        <v>820</v>
      </c>
      <c r="J11" s="679">
        <v>78</v>
      </c>
    </row>
    <row r="12" spans="1:11">
      <c r="A12" s="679" t="s">
        <v>815</v>
      </c>
      <c r="B12" s="679">
        <v>21740</v>
      </c>
      <c r="C12" s="679" t="s">
        <v>822</v>
      </c>
      <c r="D12" s="679" t="s">
        <v>817</v>
      </c>
      <c r="E12" s="679" t="s">
        <v>792</v>
      </c>
      <c r="F12" s="679" t="s">
        <v>818</v>
      </c>
      <c r="G12" s="679" t="s">
        <v>819</v>
      </c>
      <c r="H12" s="679">
        <v>54915</v>
      </c>
      <c r="I12" s="679" t="s">
        <v>820</v>
      </c>
      <c r="J12" s="679">
        <v>78</v>
      </c>
    </row>
    <row r="13" spans="1:11">
      <c r="A13" s="679" t="s">
        <v>815</v>
      </c>
      <c r="B13" s="679">
        <v>21742</v>
      </c>
      <c r="C13" s="679" t="s">
        <v>823</v>
      </c>
      <c r="D13" s="679" t="s">
        <v>817</v>
      </c>
      <c r="E13" s="679" t="s">
        <v>792</v>
      </c>
      <c r="F13" s="679" t="s">
        <v>818</v>
      </c>
      <c r="G13" s="679" t="s">
        <v>819</v>
      </c>
      <c r="H13" s="679">
        <v>54916</v>
      </c>
      <c r="I13" s="679" t="s">
        <v>820</v>
      </c>
      <c r="J13" s="679">
        <v>78</v>
      </c>
    </row>
    <row r="14" spans="1:11">
      <c r="A14" s="679" t="s">
        <v>815</v>
      </c>
      <c r="B14" s="679">
        <v>21744</v>
      </c>
      <c r="C14" s="679" t="s">
        <v>824</v>
      </c>
      <c r="D14" s="679" t="s">
        <v>817</v>
      </c>
      <c r="E14" s="679" t="s">
        <v>792</v>
      </c>
      <c r="F14" s="679" t="s">
        <v>818</v>
      </c>
      <c r="G14" s="679" t="s">
        <v>819</v>
      </c>
      <c r="H14" s="679">
        <v>54917</v>
      </c>
      <c r="I14" s="679" t="s">
        <v>820</v>
      </c>
      <c r="J14" s="679">
        <v>78</v>
      </c>
    </row>
    <row r="15" spans="1:11">
      <c r="A15" s="679" t="s">
        <v>815</v>
      </c>
      <c r="B15" s="679">
        <v>21746</v>
      </c>
      <c r="C15" s="679" t="s">
        <v>825</v>
      </c>
      <c r="D15" s="679" t="s">
        <v>817</v>
      </c>
      <c r="E15" s="679" t="s">
        <v>792</v>
      </c>
      <c r="F15" s="679" t="s">
        <v>818</v>
      </c>
      <c r="G15" s="679" t="s">
        <v>819</v>
      </c>
      <c r="H15" s="679">
        <v>54918</v>
      </c>
      <c r="I15" s="679" t="s">
        <v>820</v>
      </c>
      <c r="J15" s="679">
        <v>78</v>
      </c>
    </row>
    <row r="16" spans="1:11">
      <c r="A16" s="679" t="s">
        <v>815</v>
      </c>
      <c r="B16" s="679">
        <v>21748</v>
      </c>
      <c r="C16" s="679" t="s">
        <v>826</v>
      </c>
      <c r="D16" s="679" t="s">
        <v>817</v>
      </c>
      <c r="E16" s="679" t="s">
        <v>792</v>
      </c>
      <c r="F16" s="679" t="s">
        <v>818</v>
      </c>
      <c r="G16" s="679" t="s">
        <v>819</v>
      </c>
      <c r="H16" s="679">
        <v>54919</v>
      </c>
      <c r="I16" s="679" t="s">
        <v>820</v>
      </c>
      <c r="J16" s="679">
        <v>78</v>
      </c>
    </row>
    <row r="17" spans="1:11">
      <c r="A17" s="679" t="s">
        <v>815</v>
      </c>
      <c r="B17" s="679">
        <v>21750</v>
      </c>
      <c r="C17" s="679" t="s">
        <v>827</v>
      </c>
      <c r="D17" s="679" t="s">
        <v>817</v>
      </c>
      <c r="E17" s="679" t="s">
        <v>792</v>
      </c>
      <c r="F17" s="679" t="s">
        <v>818</v>
      </c>
      <c r="G17" s="679" t="s">
        <v>819</v>
      </c>
      <c r="H17" s="679">
        <v>54920</v>
      </c>
      <c r="I17" s="679" t="s">
        <v>820</v>
      </c>
      <c r="J17" s="679">
        <v>78</v>
      </c>
    </row>
    <row r="18" spans="1:11">
      <c r="A18" s="679" t="s">
        <v>815</v>
      </c>
      <c r="B18" s="679">
        <v>21752</v>
      </c>
      <c r="C18" s="679" t="s">
        <v>828</v>
      </c>
      <c r="D18" s="679" t="s">
        <v>829</v>
      </c>
      <c r="E18" s="679" t="s">
        <v>792</v>
      </c>
      <c r="F18" s="679" t="s">
        <v>830</v>
      </c>
      <c r="G18" s="679" t="s">
        <v>819</v>
      </c>
      <c r="H18" s="679">
        <v>54929</v>
      </c>
      <c r="I18" s="679" t="s">
        <v>831</v>
      </c>
      <c r="J18" s="679">
        <v>78</v>
      </c>
    </row>
    <row r="19" spans="1:11">
      <c r="A19" s="679" t="s">
        <v>815</v>
      </c>
      <c r="B19" s="679">
        <v>21753</v>
      </c>
      <c r="C19" s="679" t="s">
        <v>832</v>
      </c>
      <c r="D19" s="679" t="s">
        <v>829</v>
      </c>
      <c r="E19" s="679" t="s">
        <v>792</v>
      </c>
      <c r="F19" s="679" t="s">
        <v>830</v>
      </c>
      <c r="G19" s="679" t="s">
        <v>819</v>
      </c>
      <c r="H19" s="679">
        <v>54930</v>
      </c>
      <c r="I19" s="679" t="s">
        <v>831</v>
      </c>
      <c r="J19" s="679">
        <v>78</v>
      </c>
    </row>
    <row r="20" spans="1:11">
      <c r="A20" s="679" t="s">
        <v>815</v>
      </c>
      <c r="B20" s="679">
        <v>21754</v>
      </c>
      <c r="C20" s="679" t="s">
        <v>833</v>
      </c>
      <c r="D20" s="679" t="s">
        <v>829</v>
      </c>
      <c r="E20" s="679" t="s">
        <v>792</v>
      </c>
      <c r="F20" s="679" t="s">
        <v>830</v>
      </c>
      <c r="G20" s="679" t="s">
        <v>819</v>
      </c>
      <c r="H20" s="679">
        <v>54931</v>
      </c>
      <c r="I20" s="679" t="s">
        <v>831</v>
      </c>
      <c r="J20" s="679">
        <v>78</v>
      </c>
    </row>
    <row r="21" spans="1:11">
      <c r="A21" s="679" t="s">
        <v>815</v>
      </c>
      <c r="B21" s="679">
        <v>21755</v>
      </c>
      <c r="C21" s="679" t="s">
        <v>834</v>
      </c>
      <c r="D21" s="679" t="s">
        <v>829</v>
      </c>
      <c r="E21" s="679" t="s">
        <v>792</v>
      </c>
      <c r="F21" s="679" t="s">
        <v>830</v>
      </c>
      <c r="G21" s="679" t="s">
        <v>819</v>
      </c>
      <c r="H21" s="679">
        <v>54932</v>
      </c>
      <c r="I21" s="679" t="s">
        <v>831</v>
      </c>
      <c r="J21" s="679">
        <v>78</v>
      </c>
    </row>
    <row r="22" spans="1:11">
      <c r="A22" s="679" t="s">
        <v>815</v>
      </c>
      <c r="B22" s="679">
        <v>21756</v>
      </c>
      <c r="C22" s="679" t="s">
        <v>835</v>
      </c>
      <c r="D22" s="679" t="s">
        <v>829</v>
      </c>
      <c r="E22" s="679" t="s">
        <v>792</v>
      </c>
      <c r="F22" s="679" t="s">
        <v>793</v>
      </c>
      <c r="G22" s="679" t="s">
        <v>819</v>
      </c>
      <c r="H22" s="679">
        <v>54938</v>
      </c>
      <c r="I22" s="679" t="s">
        <v>836</v>
      </c>
      <c r="J22" s="679">
        <v>66</v>
      </c>
    </row>
    <row r="23" spans="1:11">
      <c r="A23" s="679" t="s">
        <v>815</v>
      </c>
      <c r="B23" s="679">
        <v>21757</v>
      </c>
      <c r="C23" s="679" t="s">
        <v>837</v>
      </c>
      <c r="D23" s="679" t="s">
        <v>829</v>
      </c>
      <c r="E23" s="679" t="s">
        <v>792</v>
      </c>
      <c r="F23" s="679" t="s">
        <v>830</v>
      </c>
      <c r="G23" s="679" t="s">
        <v>819</v>
      </c>
      <c r="H23" s="679">
        <v>54933</v>
      </c>
      <c r="I23" s="679" t="s">
        <v>831</v>
      </c>
      <c r="J23" s="679">
        <v>78</v>
      </c>
    </row>
    <row r="24" spans="1:11">
      <c r="A24" s="679" t="s">
        <v>815</v>
      </c>
      <c r="B24" s="679">
        <v>21758</v>
      </c>
      <c r="C24" s="679" t="s">
        <v>838</v>
      </c>
      <c r="D24" s="679" t="s">
        <v>829</v>
      </c>
      <c r="E24" s="679" t="s">
        <v>792</v>
      </c>
      <c r="F24" s="679" t="s">
        <v>830</v>
      </c>
      <c r="G24" s="679" t="s">
        <v>819</v>
      </c>
      <c r="H24" s="679">
        <v>54934</v>
      </c>
      <c r="I24" s="679" t="s">
        <v>831</v>
      </c>
      <c r="J24" s="679">
        <v>78</v>
      </c>
    </row>
    <row r="25" spans="1:11">
      <c r="A25" s="679" t="s">
        <v>815</v>
      </c>
      <c r="B25" s="679">
        <v>21759</v>
      </c>
      <c r="C25" s="679" t="s">
        <v>839</v>
      </c>
      <c r="D25" s="679" t="s">
        <v>829</v>
      </c>
      <c r="E25" s="679" t="s">
        <v>792</v>
      </c>
      <c r="F25" s="679" t="s">
        <v>830</v>
      </c>
      <c r="G25" s="679" t="s">
        <v>819</v>
      </c>
      <c r="H25" s="679">
        <v>54935</v>
      </c>
      <c r="I25" s="679" t="s">
        <v>831</v>
      </c>
      <c r="J25" s="679">
        <v>78</v>
      </c>
    </row>
    <row r="26" spans="1:11">
      <c r="A26" s="679" t="s">
        <v>815</v>
      </c>
      <c r="B26" s="679">
        <v>21760</v>
      </c>
      <c r="C26" s="679" t="s">
        <v>840</v>
      </c>
      <c r="D26" s="679" t="s">
        <v>829</v>
      </c>
      <c r="E26" s="679" t="s">
        <v>792</v>
      </c>
      <c r="F26" s="679" t="s">
        <v>830</v>
      </c>
      <c r="G26" s="679" t="s">
        <v>819</v>
      </c>
      <c r="H26" s="679">
        <v>54936</v>
      </c>
      <c r="I26" s="679" t="s">
        <v>831</v>
      </c>
      <c r="J26" s="679">
        <v>78</v>
      </c>
    </row>
    <row r="27" spans="1:11">
      <c r="A27" s="679" t="s">
        <v>815</v>
      </c>
      <c r="B27" s="679">
        <v>113011</v>
      </c>
      <c r="C27" s="679" t="s">
        <v>841</v>
      </c>
      <c r="D27" s="679" t="s">
        <v>829</v>
      </c>
      <c r="E27" s="679" t="s">
        <v>792</v>
      </c>
      <c r="F27" s="679" t="s">
        <v>793</v>
      </c>
      <c r="G27" s="679" t="s">
        <v>819</v>
      </c>
      <c r="H27" s="679">
        <v>54937</v>
      </c>
      <c r="I27" s="679" t="s">
        <v>842</v>
      </c>
      <c r="J27" s="679">
        <v>66</v>
      </c>
    </row>
    <row r="28" spans="1:11">
      <c r="A28" s="679" t="s">
        <v>843</v>
      </c>
      <c r="B28" s="679" t="s">
        <v>844</v>
      </c>
      <c r="C28" s="679" t="s">
        <v>845</v>
      </c>
      <c r="D28" s="679" t="s">
        <v>846</v>
      </c>
      <c r="E28" s="679" t="s">
        <v>792</v>
      </c>
      <c r="F28" s="679" t="s">
        <v>847</v>
      </c>
      <c r="G28" s="679" t="s">
        <v>848</v>
      </c>
      <c r="H28" s="679">
        <v>50544</v>
      </c>
      <c r="I28" s="679" t="s">
        <v>434</v>
      </c>
      <c r="J28" s="679" t="s">
        <v>150</v>
      </c>
      <c r="K28" s="679" t="s">
        <v>849</v>
      </c>
    </row>
    <row r="29" spans="1:11">
      <c r="A29" s="679" t="s">
        <v>843</v>
      </c>
      <c r="B29" s="679" t="s">
        <v>850</v>
      </c>
      <c r="C29" s="679" t="s">
        <v>851</v>
      </c>
      <c r="D29" s="679" t="s">
        <v>852</v>
      </c>
      <c r="E29" s="679" t="s">
        <v>792</v>
      </c>
      <c r="F29" s="679" t="s">
        <v>847</v>
      </c>
      <c r="G29" s="679" t="s">
        <v>848</v>
      </c>
      <c r="H29" s="679">
        <v>50542</v>
      </c>
      <c r="I29" s="679" t="s">
        <v>853</v>
      </c>
      <c r="J29" s="679" t="s">
        <v>150</v>
      </c>
      <c r="K29" s="679" t="s">
        <v>849</v>
      </c>
    </row>
    <row r="30" spans="1:11">
      <c r="A30" s="679" t="s">
        <v>843</v>
      </c>
      <c r="B30" s="679" t="s">
        <v>854</v>
      </c>
      <c r="C30" s="679" t="s">
        <v>855</v>
      </c>
      <c r="D30" s="679" t="s">
        <v>852</v>
      </c>
      <c r="E30" s="679" t="s">
        <v>792</v>
      </c>
      <c r="F30" s="679" t="s">
        <v>830</v>
      </c>
      <c r="G30" s="679" t="s">
        <v>848</v>
      </c>
      <c r="H30" s="679">
        <v>50547</v>
      </c>
      <c r="J30" s="679" t="s">
        <v>150</v>
      </c>
      <c r="K30" s="679" t="s">
        <v>849</v>
      </c>
    </row>
    <row r="31" spans="1:11">
      <c r="A31" s="679" t="s">
        <v>843</v>
      </c>
      <c r="B31" s="679" t="s">
        <v>856</v>
      </c>
      <c r="C31" s="679" t="s">
        <v>857</v>
      </c>
      <c r="D31" s="679" t="s">
        <v>791</v>
      </c>
      <c r="E31" s="679" t="s">
        <v>792</v>
      </c>
      <c r="F31" s="679" t="s">
        <v>818</v>
      </c>
      <c r="G31" s="679" t="s">
        <v>848</v>
      </c>
      <c r="H31" s="679">
        <v>51112</v>
      </c>
      <c r="I31" s="679" t="s">
        <v>858</v>
      </c>
      <c r="J31" s="679">
        <v>82.6</v>
      </c>
    </row>
    <row r="32" spans="1:11">
      <c r="A32" s="679" t="s">
        <v>843</v>
      </c>
      <c r="B32" s="679" t="s">
        <v>859</v>
      </c>
      <c r="C32" s="679" t="s">
        <v>860</v>
      </c>
      <c r="D32" s="679" t="s">
        <v>791</v>
      </c>
      <c r="E32" s="679" t="s">
        <v>792</v>
      </c>
      <c r="F32" s="679" t="s">
        <v>818</v>
      </c>
      <c r="G32" s="679" t="s">
        <v>848</v>
      </c>
      <c r="H32" s="679">
        <v>51111</v>
      </c>
      <c r="I32" s="679" t="s">
        <v>858</v>
      </c>
      <c r="J32" s="679">
        <v>82.6</v>
      </c>
    </row>
    <row r="33" spans="1:11">
      <c r="A33" s="679" t="s">
        <v>843</v>
      </c>
      <c r="B33" s="679" t="s">
        <v>861</v>
      </c>
      <c r="C33" s="679" t="s">
        <v>862</v>
      </c>
      <c r="D33" s="679" t="s">
        <v>791</v>
      </c>
      <c r="E33" s="679" t="s">
        <v>792</v>
      </c>
      <c r="F33" s="679" t="s">
        <v>818</v>
      </c>
      <c r="G33" s="679" t="s">
        <v>848</v>
      </c>
      <c r="H33" s="679">
        <v>51110</v>
      </c>
      <c r="I33" s="679" t="s">
        <v>858</v>
      </c>
      <c r="J33" s="679">
        <v>82.6</v>
      </c>
    </row>
    <row r="34" spans="1:11">
      <c r="A34" s="679" t="s">
        <v>843</v>
      </c>
      <c r="B34" s="679" t="s">
        <v>863</v>
      </c>
      <c r="C34" s="679" t="s">
        <v>864</v>
      </c>
      <c r="D34" s="679" t="s">
        <v>791</v>
      </c>
      <c r="E34" s="679" t="s">
        <v>792</v>
      </c>
      <c r="F34" s="679" t="s">
        <v>818</v>
      </c>
      <c r="G34" s="679" t="s">
        <v>848</v>
      </c>
      <c r="H34" s="679">
        <v>51109</v>
      </c>
      <c r="I34" s="679" t="s">
        <v>858</v>
      </c>
      <c r="J34" s="679">
        <v>82.6</v>
      </c>
    </row>
    <row r="35" spans="1:11">
      <c r="A35" s="679" t="s">
        <v>843</v>
      </c>
      <c r="B35" s="679" t="s">
        <v>865</v>
      </c>
      <c r="C35" s="679" t="s">
        <v>866</v>
      </c>
      <c r="D35" s="679" t="s">
        <v>791</v>
      </c>
      <c r="E35" s="679" t="s">
        <v>792</v>
      </c>
      <c r="F35" s="679" t="s">
        <v>818</v>
      </c>
      <c r="G35" s="679" t="s">
        <v>848</v>
      </c>
      <c r="H35" s="679">
        <v>51108</v>
      </c>
      <c r="I35" s="679" t="s">
        <v>867</v>
      </c>
      <c r="J35" s="679">
        <v>82.6</v>
      </c>
    </row>
    <row r="36" spans="1:11">
      <c r="A36" s="679" t="s">
        <v>843</v>
      </c>
      <c r="B36" s="679" t="s">
        <v>868</v>
      </c>
      <c r="C36" s="679" t="s">
        <v>869</v>
      </c>
      <c r="D36" s="679" t="s">
        <v>791</v>
      </c>
      <c r="E36" s="679" t="s">
        <v>792</v>
      </c>
      <c r="F36" s="679" t="s">
        <v>818</v>
      </c>
      <c r="G36" s="679" t="s">
        <v>848</v>
      </c>
      <c r="H36" s="679">
        <v>51116</v>
      </c>
      <c r="I36" s="679" t="s">
        <v>858</v>
      </c>
      <c r="J36" s="679">
        <v>82.6</v>
      </c>
    </row>
    <row r="37" spans="1:11">
      <c r="A37" s="679" t="s">
        <v>843</v>
      </c>
      <c r="B37" s="679" t="s">
        <v>870</v>
      </c>
      <c r="C37" s="679" t="s">
        <v>871</v>
      </c>
      <c r="D37" s="679" t="s">
        <v>791</v>
      </c>
      <c r="E37" s="679" t="s">
        <v>792</v>
      </c>
      <c r="F37" s="679" t="s">
        <v>818</v>
      </c>
      <c r="G37" s="679" t="s">
        <v>848</v>
      </c>
      <c r="H37" s="679">
        <v>51115</v>
      </c>
      <c r="I37" s="679" t="s">
        <v>858</v>
      </c>
      <c r="J37" s="679">
        <v>82.6</v>
      </c>
    </row>
    <row r="38" spans="1:11">
      <c r="A38" s="679" t="s">
        <v>843</v>
      </c>
      <c r="B38" s="679" t="s">
        <v>872</v>
      </c>
      <c r="C38" s="679" t="s">
        <v>873</v>
      </c>
      <c r="D38" s="679" t="s">
        <v>791</v>
      </c>
      <c r="E38" s="679" t="s">
        <v>792</v>
      </c>
      <c r="F38" s="679" t="s">
        <v>818</v>
      </c>
      <c r="G38" s="679" t="s">
        <v>848</v>
      </c>
      <c r="H38" s="679">
        <v>51114</v>
      </c>
      <c r="I38" s="679" t="s">
        <v>858</v>
      </c>
      <c r="J38" s="679">
        <v>82.6</v>
      </c>
    </row>
    <row r="39" spans="1:11">
      <c r="A39" s="679" t="s">
        <v>843</v>
      </c>
      <c r="B39" s="679" t="s">
        <v>874</v>
      </c>
      <c r="C39" s="679" t="s">
        <v>875</v>
      </c>
      <c r="D39" s="679" t="s">
        <v>876</v>
      </c>
      <c r="E39" s="679" t="s">
        <v>792</v>
      </c>
      <c r="F39" s="679" t="s">
        <v>818</v>
      </c>
      <c r="G39" s="679" t="s">
        <v>848</v>
      </c>
      <c r="H39" s="679">
        <v>51113</v>
      </c>
      <c r="I39" s="679" t="s">
        <v>858</v>
      </c>
      <c r="J39" s="679">
        <v>82.6</v>
      </c>
    </row>
    <row r="40" spans="1:11">
      <c r="A40" s="679" t="s">
        <v>843</v>
      </c>
      <c r="B40" s="679" t="s">
        <v>877</v>
      </c>
      <c r="C40" s="679" t="s">
        <v>878</v>
      </c>
      <c r="D40" s="679" t="s">
        <v>791</v>
      </c>
      <c r="E40" s="679" t="s">
        <v>792</v>
      </c>
      <c r="F40" s="679" t="s">
        <v>818</v>
      </c>
      <c r="G40" s="679" t="s">
        <v>848</v>
      </c>
      <c r="H40" s="679">
        <v>51117</v>
      </c>
      <c r="I40" s="679" t="s">
        <v>858</v>
      </c>
      <c r="J40" s="679">
        <v>82.6</v>
      </c>
    </row>
    <row r="41" spans="1:11">
      <c r="A41" s="679" t="s">
        <v>843</v>
      </c>
      <c r="B41" s="679" t="s">
        <v>879</v>
      </c>
      <c r="C41" s="679" t="s">
        <v>880</v>
      </c>
      <c r="D41" s="679" t="s">
        <v>881</v>
      </c>
      <c r="E41" s="679" t="s">
        <v>792</v>
      </c>
      <c r="F41" s="679" t="s">
        <v>793</v>
      </c>
      <c r="G41" s="679" t="s">
        <v>848</v>
      </c>
      <c r="H41" s="679">
        <v>50848</v>
      </c>
      <c r="I41" s="679" t="s">
        <v>882</v>
      </c>
      <c r="J41" s="679">
        <v>28</v>
      </c>
      <c r="K41" s="679" t="s">
        <v>883</v>
      </c>
    </row>
    <row r="42" spans="1:11">
      <c r="A42" s="679" t="s">
        <v>843</v>
      </c>
      <c r="B42" s="679" t="s">
        <v>884</v>
      </c>
      <c r="C42" s="679" t="s">
        <v>885</v>
      </c>
      <c r="D42" s="679" t="s">
        <v>886</v>
      </c>
      <c r="E42" s="679" t="s">
        <v>792</v>
      </c>
      <c r="F42" s="679" t="s">
        <v>793</v>
      </c>
      <c r="G42" s="679" t="s">
        <v>848</v>
      </c>
      <c r="H42" s="679">
        <v>50849</v>
      </c>
      <c r="I42" s="679" t="s">
        <v>887</v>
      </c>
      <c r="J42" s="679">
        <v>10</v>
      </c>
    </row>
    <row r="43" spans="1:11">
      <c r="A43" s="679" t="s">
        <v>843</v>
      </c>
      <c r="B43" s="679" t="s">
        <v>888</v>
      </c>
      <c r="C43" s="679" t="s">
        <v>889</v>
      </c>
      <c r="D43" s="679" t="s">
        <v>886</v>
      </c>
      <c r="E43" s="679" t="s">
        <v>792</v>
      </c>
      <c r="F43" s="679" t="s">
        <v>793</v>
      </c>
      <c r="G43" s="679" t="s">
        <v>848</v>
      </c>
      <c r="H43" s="679">
        <v>50847</v>
      </c>
      <c r="I43" s="679" t="s">
        <v>890</v>
      </c>
      <c r="J43" s="679">
        <v>7</v>
      </c>
    </row>
    <row r="44" spans="1:11">
      <c r="A44" s="679" t="s">
        <v>843</v>
      </c>
      <c r="B44" s="679" t="s">
        <v>891</v>
      </c>
      <c r="C44" s="679" t="s">
        <v>892</v>
      </c>
      <c r="D44" s="679" t="s">
        <v>791</v>
      </c>
      <c r="E44" s="679" t="s">
        <v>792</v>
      </c>
      <c r="F44" s="679" t="s">
        <v>830</v>
      </c>
      <c r="G44" s="679" t="s">
        <v>848</v>
      </c>
      <c r="H44" s="679">
        <v>55929</v>
      </c>
      <c r="I44" s="679" t="s">
        <v>434</v>
      </c>
      <c r="J44" s="679" t="s">
        <v>150</v>
      </c>
      <c r="K44" s="679" t="s">
        <v>893</v>
      </c>
    </row>
    <row r="45" spans="1:11">
      <c r="A45" s="679" t="s">
        <v>843</v>
      </c>
      <c r="B45" s="679" t="s">
        <v>894</v>
      </c>
      <c r="C45" s="679" t="s">
        <v>895</v>
      </c>
      <c r="D45" s="679" t="s">
        <v>791</v>
      </c>
      <c r="E45" s="679" t="s">
        <v>792</v>
      </c>
      <c r="F45" s="679" t="s">
        <v>830</v>
      </c>
      <c r="G45" s="679" t="s">
        <v>848</v>
      </c>
      <c r="H45" s="679">
        <v>55922</v>
      </c>
      <c r="I45" s="679" t="s">
        <v>434</v>
      </c>
      <c r="J45" s="679" t="s">
        <v>150</v>
      </c>
      <c r="K45" s="679" t="s">
        <v>896</v>
      </c>
    </row>
    <row r="46" spans="1:11">
      <c r="A46" s="679" t="s">
        <v>843</v>
      </c>
      <c r="B46" s="679" t="s">
        <v>897</v>
      </c>
      <c r="C46" s="679" t="s">
        <v>898</v>
      </c>
      <c r="D46" s="679" t="s">
        <v>791</v>
      </c>
      <c r="E46" s="679" t="s">
        <v>792</v>
      </c>
      <c r="F46" s="679" t="s">
        <v>830</v>
      </c>
      <c r="G46" s="679" t="s">
        <v>848</v>
      </c>
      <c r="H46" s="679">
        <v>55921</v>
      </c>
      <c r="I46" s="679" t="s">
        <v>434</v>
      </c>
      <c r="J46" s="679" t="s">
        <v>150</v>
      </c>
      <c r="K46" s="679" t="s">
        <v>899</v>
      </c>
    </row>
    <row r="47" spans="1:11">
      <c r="A47" s="679" t="s">
        <v>843</v>
      </c>
      <c r="B47" s="679" t="s">
        <v>900</v>
      </c>
      <c r="C47" s="679" t="s">
        <v>901</v>
      </c>
      <c r="D47" s="679" t="s">
        <v>791</v>
      </c>
      <c r="E47" s="679" t="s">
        <v>792</v>
      </c>
      <c r="F47" s="679" t="s">
        <v>830</v>
      </c>
      <c r="G47" s="679" t="s">
        <v>848</v>
      </c>
      <c r="H47" s="679">
        <v>57806</v>
      </c>
      <c r="I47" s="679" t="s">
        <v>434</v>
      </c>
      <c r="J47" s="679" t="s">
        <v>150</v>
      </c>
      <c r="K47" s="679" t="s">
        <v>902</v>
      </c>
    </row>
    <row r="48" spans="1:11">
      <c r="A48" s="679" t="s">
        <v>843</v>
      </c>
      <c r="B48" s="679" t="s">
        <v>903</v>
      </c>
      <c r="C48" s="679" t="s">
        <v>904</v>
      </c>
      <c r="D48" s="679" t="s">
        <v>791</v>
      </c>
      <c r="E48" s="679" t="s">
        <v>792</v>
      </c>
      <c r="F48" s="679" t="s">
        <v>830</v>
      </c>
      <c r="G48" s="679" t="s">
        <v>848</v>
      </c>
      <c r="H48" s="679">
        <v>55925</v>
      </c>
      <c r="I48" s="679" t="s">
        <v>434</v>
      </c>
      <c r="J48" s="679" t="s">
        <v>150</v>
      </c>
      <c r="K48" s="679" t="s">
        <v>905</v>
      </c>
    </row>
    <row r="49" spans="1:11">
      <c r="A49" s="679" t="s">
        <v>843</v>
      </c>
      <c r="B49" s="679" t="s">
        <v>906</v>
      </c>
      <c r="C49" s="679" t="s">
        <v>907</v>
      </c>
      <c r="D49" s="679" t="s">
        <v>791</v>
      </c>
      <c r="E49" s="679" t="s">
        <v>792</v>
      </c>
      <c r="F49" s="679" t="s">
        <v>830</v>
      </c>
      <c r="G49" s="679" t="s">
        <v>848</v>
      </c>
      <c r="H49" s="679">
        <v>55926</v>
      </c>
      <c r="I49" s="679" t="s">
        <v>434</v>
      </c>
      <c r="J49" s="679" t="s">
        <v>150</v>
      </c>
      <c r="K49" s="679" t="s">
        <v>908</v>
      </c>
    </row>
    <row r="50" spans="1:11">
      <c r="A50" s="679" t="s">
        <v>843</v>
      </c>
      <c r="B50" s="679" t="s">
        <v>909</v>
      </c>
      <c r="C50" s="679" t="s">
        <v>910</v>
      </c>
      <c r="D50" s="679" t="s">
        <v>791</v>
      </c>
      <c r="E50" s="679" t="s">
        <v>792</v>
      </c>
      <c r="F50" s="679" t="s">
        <v>830</v>
      </c>
      <c r="G50" s="679" t="s">
        <v>848</v>
      </c>
      <c r="H50" s="679">
        <v>55913</v>
      </c>
      <c r="J50" s="679" t="s">
        <v>150</v>
      </c>
      <c r="K50" s="679" t="s">
        <v>911</v>
      </c>
    </row>
    <row r="51" spans="1:11">
      <c r="A51" s="679" t="s">
        <v>843</v>
      </c>
      <c r="B51" s="679" t="s">
        <v>912</v>
      </c>
      <c r="C51" s="679" t="s">
        <v>913</v>
      </c>
      <c r="D51" s="679" t="s">
        <v>791</v>
      </c>
      <c r="E51" s="679" t="s">
        <v>792</v>
      </c>
      <c r="F51" s="679" t="s">
        <v>830</v>
      </c>
      <c r="G51" s="679" t="s">
        <v>848</v>
      </c>
      <c r="H51" s="679">
        <v>55927</v>
      </c>
      <c r="I51" s="679" t="s">
        <v>434</v>
      </c>
      <c r="J51" s="679" t="s">
        <v>150</v>
      </c>
      <c r="K51" s="679" t="s">
        <v>914</v>
      </c>
    </row>
    <row r="52" spans="1:11">
      <c r="A52" s="679" t="s">
        <v>843</v>
      </c>
      <c r="B52" s="679" t="s">
        <v>915</v>
      </c>
      <c r="C52" s="679" t="s">
        <v>916</v>
      </c>
      <c r="D52" s="679" t="s">
        <v>791</v>
      </c>
      <c r="E52" s="679" t="s">
        <v>792</v>
      </c>
      <c r="F52" s="679" t="s">
        <v>830</v>
      </c>
      <c r="G52" s="679" t="s">
        <v>848</v>
      </c>
      <c r="H52" s="679">
        <v>55928</v>
      </c>
      <c r="I52" s="679" t="s">
        <v>434</v>
      </c>
      <c r="J52" s="679" t="s">
        <v>150</v>
      </c>
      <c r="K52" s="679" t="s">
        <v>917</v>
      </c>
    </row>
    <row r="53" spans="1:11">
      <c r="A53" s="679" t="s">
        <v>843</v>
      </c>
      <c r="B53" s="679" t="s">
        <v>918</v>
      </c>
      <c r="C53" s="679" t="s">
        <v>919</v>
      </c>
      <c r="D53" s="679" t="s">
        <v>791</v>
      </c>
      <c r="E53" s="679" t="s">
        <v>792</v>
      </c>
      <c r="F53" s="679" t="s">
        <v>830</v>
      </c>
      <c r="G53" s="679" t="s">
        <v>848</v>
      </c>
      <c r="H53" s="679">
        <v>55917</v>
      </c>
      <c r="I53" s="679" t="s">
        <v>434</v>
      </c>
      <c r="J53" s="679" t="s">
        <v>150</v>
      </c>
      <c r="K53" s="679" t="s">
        <v>920</v>
      </c>
    </row>
    <row r="54" spans="1:11">
      <c r="A54" s="679" t="s">
        <v>921</v>
      </c>
      <c r="B54" s="679" t="s">
        <v>922</v>
      </c>
      <c r="C54" s="679" t="s">
        <v>923</v>
      </c>
      <c r="D54" s="679" t="s">
        <v>924</v>
      </c>
      <c r="E54" s="679" t="s">
        <v>792</v>
      </c>
      <c r="F54" s="679" t="s">
        <v>818</v>
      </c>
      <c r="G54" s="679" t="s">
        <v>925</v>
      </c>
      <c r="H54" s="679">
        <v>51508</v>
      </c>
      <c r="I54" s="679" t="s">
        <v>926</v>
      </c>
      <c r="J54" s="679">
        <v>110</v>
      </c>
    </row>
    <row r="55" spans="1:11">
      <c r="A55" s="679" t="s">
        <v>921</v>
      </c>
      <c r="B55" s="679" t="s">
        <v>927</v>
      </c>
      <c r="C55" s="679" t="s">
        <v>928</v>
      </c>
      <c r="D55" s="679" t="s">
        <v>924</v>
      </c>
      <c r="E55" s="679" t="s">
        <v>792</v>
      </c>
      <c r="F55" s="679" t="s">
        <v>818</v>
      </c>
      <c r="G55" s="679" t="s">
        <v>925</v>
      </c>
      <c r="H55" s="679">
        <v>51509</v>
      </c>
      <c r="I55" s="679" t="s">
        <v>926</v>
      </c>
      <c r="J55" s="679">
        <v>110</v>
      </c>
    </row>
    <row r="56" spans="1:11">
      <c r="A56" s="679" t="s">
        <v>921</v>
      </c>
      <c r="B56" s="679" t="s">
        <v>929</v>
      </c>
      <c r="C56" s="679" t="s">
        <v>930</v>
      </c>
      <c r="D56" s="679" t="s">
        <v>931</v>
      </c>
      <c r="E56" s="679" t="s">
        <v>792</v>
      </c>
      <c r="F56" s="679" t="s">
        <v>793</v>
      </c>
      <c r="G56" s="679" t="s">
        <v>925</v>
      </c>
      <c r="H56" s="679">
        <v>58775</v>
      </c>
      <c r="I56" s="679" t="s">
        <v>932</v>
      </c>
      <c r="J56" s="679">
        <v>3</v>
      </c>
    </row>
    <row r="57" spans="1:11">
      <c r="A57" s="679" t="s">
        <v>921</v>
      </c>
      <c r="B57" s="679" t="s">
        <v>933</v>
      </c>
      <c r="C57" s="679" t="s">
        <v>934</v>
      </c>
      <c r="D57" s="679" t="s">
        <v>935</v>
      </c>
      <c r="E57" s="679" t="s">
        <v>792</v>
      </c>
      <c r="F57" s="679" t="s">
        <v>793</v>
      </c>
      <c r="G57" s="679" t="s">
        <v>936</v>
      </c>
      <c r="H57" s="679">
        <v>50664</v>
      </c>
      <c r="I57" s="679" t="s">
        <v>937</v>
      </c>
      <c r="J57" s="679">
        <v>60</v>
      </c>
    </row>
    <row r="58" spans="1:11">
      <c r="A58" s="679" t="s">
        <v>921</v>
      </c>
      <c r="B58" s="679" t="s">
        <v>938</v>
      </c>
      <c r="C58" s="679" t="s">
        <v>939</v>
      </c>
      <c r="D58" s="679" t="s">
        <v>935</v>
      </c>
      <c r="E58" s="679" t="s">
        <v>792</v>
      </c>
      <c r="F58" s="679" t="s">
        <v>793</v>
      </c>
      <c r="G58" s="679" t="s">
        <v>936</v>
      </c>
      <c r="H58" s="679">
        <v>50665</v>
      </c>
      <c r="I58" s="679" t="s">
        <v>940</v>
      </c>
      <c r="J58" s="679">
        <v>60</v>
      </c>
    </row>
    <row r="59" spans="1:11">
      <c r="A59" s="679" t="s">
        <v>921</v>
      </c>
      <c r="B59" s="679" t="s">
        <v>941</v>
      </c>
      <c r="C59" s="679" t="s">
        <v>942</v>
      </c>
      <c r="D59" s="679" t="s">
        <v>935</v>
      </c>
      <c r="E59" s="679" t="s">
        <v>792</v>
      </c>
      <c r="F59" s="679" t="s">
        <v>793</v>
      </c>
      <c r="G59" s="679" t="s">
        <v>936</v>
      </c>
      <c r="H59" s="679">
        <v>50666</v>
      </c>
      <c r="I59" s="679" t="s">
        <v>943</v>
      </c>
      <c r="J59" s="679">
        <v>60</v>
      </c>
    </row>
    <row r="60" spans="1:11">
      <c r="A60" s="679" t="s">
        <v>921</v>
      </c>
      <c r="B60" s="679" t="s">
        <v>944</v>
      </c>
      <c r="C60" s="679" t="s">
        <v>945</v>
      </c>
      <c r="D60" s="679" t="s">
        <v>935</v>
      </c>
      <c r="E60" s="679" t="s">
        <v>792</v>
      </c>
      <c r="F60" s="679" t="s">
        <v>793</v>
      </c>
      <c r="G60" s="679" t="s">
        <v>936</v>
      </c>
      <c r="H60" s="679">
        <v>50667</v>
      </c>
      <c r="I60" s="679" t="s">
        <v>946</v>
      </c>
      <c r="J60" s="679">
        <v>60</v>
      </c>
    </row>
    <row r="61" spans="1:11">
      <c r="A61" s="679" t="s">
        <v>921</v>
      </c>
      <c r="B61" s="679" t="s">
        <v>947</v>
      </c>
      <c r="C61" s="679" t="s">
        <v>948</v>
      </c>
      <c r="D61" s="679" t="s">
        <v>949</v>
      </c>
      <c r="E61" s="679" t="s">
        <v>792</v>
      </c>
      <c r="F61" s="679" t="s">
        <v>793</v>
      </c>
      <c r="G61" s="679" t="s">
        <v>936</v>
      </c>
      <c r="H61" s="679">
        <v>55836</v>
      </c>
      <c r="I61" s="679" t="s">
        <v>950</v>
      </c>
      <c r="J61" s="679">
        <v>3</v>
      </c>
    </row>
    <row r="62" spans="1:11">
      <c r="A62" s="679" t="s">
        <v>921</v>
      </c>
      <c r="B62" s="679" t="s">
        <v>951</v>
      </c>
      <c r="C62" s="679" t="s">
        <v>952</v>
      </c>
      <c r="D62" s="679" t="s">
        <v>953</v>
      </c>
      <c r="E62" s="679" t="s">
        <v>792</v>
      </c>
      <c r="F62" s="679" t="s">
        <v>793</v>
      </c>
      <c r="G62" s="679" t="s">
        <v>936</v>
      </c>
      <c r="H62" s="679">
        <v>55838</v>
      </c>
      <c r="I62" s="679" t="s">
        <v>950</v>
      </c>
      <c r="J62" s="679">
        <v>2.5</v>
      </c>
    </row>
    <row r="63" spans="1:11">
      <c r="A63" s="679" t="s">
        <v>921</v>
      </c>
      <c r="B63" s="679" t="s">
        <v>954</v>
      </c>
      <c r="C63" s="679" t="s">
        <v>889</v>
      </c>
      <c r="D63" s="679" t="s">
        <v>949</v>
      </c>
      <c r="E63" s="679" t="s">
        <v>792</v>
      </c>
      <c r="F63" s="679" t="s">
        <v>793</v>
      </c>
      <c r="G63" s="679" t="s">
        <v>936</v>
      </c>
      <c r="H63" s="679">
        <v>50737</v>
      </c>
      <c r="I63" s="679" t="s">
        <v>955</v>
      </c>
      <c r="J63" s="679">
        <v>6</v>
      </c>
    </row>
    <row r="64" spans="1:11">
      <c r="A64" s="679" t="s">
        <v>956</v>
      </c>
      <c r="B64" s="679">
        <v>510515</v>
      </c>
      <c r="C64" s="679" t="s">
        <v>957</v>
      </c>
      <c r="D64" s="679" t="s">
        <v>791</v>
      </c>
      <c r="E64" s="679" t="s">
        <v>792</v>
      </c>
      <c r="F64" s="679" t="s">
        <v>793</v>
      </c>
      <c r="G64" s="679" t="s">
        <v>958</v>
      </c>
      <c r="H64" s="679">
        <v>53002</v>
      </c>
      <c r="I64" s="679" t="s">
        <v>959</v>
      </c>
      <c r="J64" s="679">
        <v>80</v>
      </c>
      <c r="K64" s="679" t="s">
        <v>960</v>
      </c>
    </row>
    <row r="65" spans="1:11">
      <c r="A65" s="679" t="s">
        <v>956</v>
      </c>
      <c r="B65" s="679">
        <v>510516</v>
      </c>
      <c r="C65" s="679" t="s">
        <v>961</v>
      </c>
      <c r="D65" s="679" t="s">
        <v>791</v>
      </c>
      <c r="E65" s="679" t="s">
        <v>792</v>
      </c>
      <c r="F65" s="679" t="s">
        <v>793</v>
      </c>
      <c r="G65" s="679" t="s">
        <v>958</v>
      </c>
      <c r="H65" s="679">
        <v>53003</v>
      </c>
      <c r="I65" s="679" t="s">
        <v>959</v>
      </c>
      <c r="J65" s="679">
        <v>80</v>
      </c>
      <c r="K65" s="679" t="s">
        <v>960</v>
      </c>
    </row>
    <row r="66" spans="1:11">
      <c r="A66" s="679" t="s">
        <v>956</v>
      </c>
      <c r="B66" s="679">
        <v>510517</v>
      </c>
      <c r="C66" s="679" t="s">
        <v>962</v>
      </c>
      <c r="D66" s="679" t="s">
        <v>791</v>
      </c>
      <c r="E66" s="679" t="s">
        <v>792</v>
      </c>
      <c r="F66" s="679" t="s">
        <v>793</v>
      </c>
      <c r="G66" s="679" t="s">
        <v>958</v>
      </c>
      <c r="H66" s="679">
        <v>53004</v>
      </c>
      <c r="I66" s="679" t="s">
        <v>959</v>
      </c>
      <c r="J66" s="679">
        <v>80</v>
      </c>
      <c r="K66" s="679" t="s">
        <v>960</v>
      </c>
    </row>
    <row r="67" spans="1:11">
      <c r="A67" s="679" t="s">
        <v>956</v>
      </c>
      <c r="B67" s="679">
        <v>510518</v>
      </c>
      <c r="C67" s="679" t="s">
        <v>963</v>
      </c>
      <c r="D67" s="679" t="s">
        <v>791</v>
      </c>
      <c r="E67" s="679" t="s">
        <v>792</v>
      </c>
      <c r="F67" s="679" t="s">
        <v>793</v>
      </c>
      <c r="G67" s="679" t="s">
        <v>958</v>
      </c>
      <c r="H67" s="679">
        <v>53006</v>
      </c>
      <c r="I67" s="679" t="s">
        <v>959</v>
      </c>
      <c r="J67" s="679">
        <v>80</v>
      </c>
      <c r="K67" s="679" t="s">
        <v>960</v>
      </c>
    </row>
    <row r="68" spans="1:11">
      <c r="A68" s="679" t="s">
        <v>956</v>
      </c>
      <c r="B68" s="679">
        <v>510519</v>
      </c>
      <c r="C68" s="679" t="s">
        <v>964</v>
      </c>
      <c r="D68" s="679" t="s">
        <v>791</v>
      </c>
      <c r="E68" s="679" t="s">
        <v>792</v>
      </c>
      <c r="F68" s="679" t="s">
        <v>793</v>
      </c>
      <c r="G68" s="679" t="s">
        <v>958</v>
      </c>
      <c r="H68" s="679">
        <v>53007</v>
      </c>
      <c r="I68" s="679" t="s">
        <v>959</v>
      </c>
      <c r="J68" s="679">
        <v>80</v>
      </c>
      <c r="K68" s="679" t="s">
        <v>960</v>
      </c>
    </row>
    <row r="69" spans="1:11">
      <c r="A69" s="679" t="s">
        <v>956</v>
      </c>
      <c r="B69" s="679">
        <v>510520</v>
      </c>
      <c r="C69" s="679" t="s">
        <v>965</v>
      </c>
      <c r="D69" s="679" t="s">
        <v>791</v>
      </c>
      <c r="E69" s="679" t="s">
        <v>792</v>
      </c>
      <c r="F69" s="679" t="s">
        <v>793</v>
      </c>
      <c r="G69" s="679" t="s">
        <v>958</v>
      </c>
      <c r="H69" s="679">
        <v>53008</v>
      </c>
      <c r="I69" s="679" t="s">
        <v>959</v>
      </c>
      <c r="J69" s="679">
        <v>80</v>
      </c>
      <c r="K69" s="679" t="s">
        <v>960</v>
      </c>
    </row>
    <row r="70" spans="1:11">
      <c r="A70" s="679" t="s">
        <v>956</v>
      </c>
      <c r="B70" s="679" t="s">
        <v>966</v>
      </c>
      <c r="C70" s="679" t="s">
        <v>839</v>
      </c>
      <c r="D70" s="679" t="s">
        <v>809</v>
      </c>
      <c r="E70" s="679" t="s">
        <v>792</v>
      </c>
      <c r="F70" s="679" t="s">
        <v>793</v>
      </c>
      <c r="G70" s="679" t="s">
        <v>958</v>
      </c>
      <c r="H70" s="679">
        <v>53023</v>
      </c>
      <c r="I70" s="679" t="s">
        <v>967</v>
      </c>
      <c r="J70" s="679">
        <v>7</v>
      </c>
      <c r="K70" s="679" t="s">
        <v>960</v>
      </c>
    </row>
    <row r="71" spans="1:11">
      <c r="A71" s="679" t="s">
        <v>956</v>
      </c>
      <c r="B71" s="679" t="s">
        <v>968</v>
      </c>
      <c r="C71" s="679" t="s">
        <v>840</v>
      </c>
      <c r="D71" s="679" t="s">
        <v>809</v>
      </c>
      <c r="E71" s="679" t="s">
        <v>792</v>
      </c>
      <c r="F71" s="679" t="s">
        <v>793</v>
      </c>
      <c r="G71" s="679" t="s">
        <v>958</v>
      </c>
      <c r="H71" s="679">
        <v>53024</v>
      </c>
      <c r="I71" s="679" t="s">
        <v>969</v>
      </c>
      <c r="J71" s="679">
        <v>7</v>
      </c>
      <c r="K71" s="679" t="s">
        <v>960</v>
      </c>
    </row>
    <row r="72" spans="1:11">
      <c r="A72" s="679" t="s">
        <v>970</v>
      </c>
      <c r="B72" s="679" t="s">
        <v>971</v>
      </c>
      <c r="C72" s="679" t="s">
        <v>972</v>
      </c>
      <c r="E72" s="679" t="s">
        <v>792</v>
      </c>
      <c r="F72" s="679" t="s">
        <v>793</v>
      </c>
      <c r="G72" s="679" t="s">
        <v>973</v>
      </c>
      <c r="H72" s="679">
        <v>51968</v>
      </c>
      <c r="I72" s="679" t="s">
        <v>974</v>
      </c>
      <c r="J72" s="679">
        <v>60</v>
      </c>
    </row>
    <row r="73" spans="1:11">
      <c r="A73" s="679" t="s">
        <v>970</v>
      </c>
      <c r="B73" s="679" t="s">
        <v>975</v>
      </c>
      <c r="C73" s="679" t="s">
        <v>976</v>
      </c>
      <c r="E73" s="679" t="s">
        <v>792</v>
      </c>
      <c r="F73" s="679" t="s">
        <v>793</v>
      </c>
      <c r="G73" s="679" t="s">
        <v>973</v>
      </c>
      <c r="H73" s="679">
        <v>52060</v>
      </c>
      <c r="I73" s="679" t="s">
        <v>974</v>
      </c>
      <c r="J73" s="679">
        <v>60</v>
      </c>
      <c r="K73" s="679" t="s">
        <v>977</v>
      </c>
    </row>
    <row r="74" spans="1:11">
      <c r="A74" s="679" t="s">
        <v>970</v>
      </c>
      <c r="B74" s="679" t="s">
        <v>978</v>
      </c>
      <c r="C74" s="679" t="s">
        <v>979</v>
      </c>
      <c r="E74" s="679" t="s">
        <v>792</v>
      </c>
      <c r="F74" s="679" t="s">
        <v>793</v>
      </c>
      <c r="G74" s="679" t="s">
        <v>973</v>
      </c>
      <c r="H74" s="679">
        <v>52061</v>
      </c>
      <c r="I74" s="679" t="s">
        <v>974</v>
      </c>
      <c r="J74" s="679">
        <v>60</v>
      </c>
      <c r="K74" s="679" t="s">
        <v>977</v>
      </c>
    </row>
    <row r="75" spans="1:11">
      <c r="A75" s="679" t="s">
        <v>970</v>
      </c>
      <c r="B75" s="679" t="s">
        <v>980</v>
      </c>
      <c r="C75" s="679" t="s">
        <v>981</v>
      </c>
      <c r="E75" s="679" t="s">
        <v>792</v>
      </c>
      <c r="F75" s="679" t="s">
        <v>793</v>
      </c>
      <c r="G75" s="679" t="s">
        <v>973</v>
      </c>
      <c r="H75" s="679">
        <v>52062</v>
      </c>
      <c r="I75" s="679" t="s">
        <v>974</v>
      </c>
      <c r="J75" s="679">
        <v>60</v>
      </c>
      <c r="K75" s="679" t="s">
        <v>977</v>
      </c>
    </row>
    <row r="76" spans="1:11">
      <c r="A76" s="679" t="s">
        <v>970</v>
      </c>
      <c r="B76" s="679" t="s">
        <v>982</v>
      </c>
      <c r="C76" s="679" t="s">
        <v>983</v>
      </c>
      <c r="E76" s="679" t="s">
        <v>792</v>
      </c>
      <c r="F76" s="679" t="s">
        <v>793</v>
      </c>
      <c r="G76" s="679" t="s">
        <v>973</v>
      </c>
      <c r="H76" s="679">
        <v>52063</v>
      </c>
      <c r="I76" s="679" t="s">
        <v>974</v>
      </c>
      <c r="J76" s="679">
        <v>60</v>
      </c>
    </row>
    <row r="77" spans="1:11">
      <c r="A77" s="679" t="s">
        <v>970</v>
      </c>
      <c r="B77" s="679" t="s">
        <v>984</v>
      </c>
      <c r="C77" s="679" t="s">
        <v>985</v>
      </c>
      <c r="E77" s="679" t="s">
        <v>792</v>
      </c>
      <c r="F77" s="679" t="s">
        <v>793</v>
      </c>
      <c r="G77" s="679" t="s">
        <v>973</v>
      </c>
      <c r="H77" s="679">
        <v>52064</v>
      </c>
      <c r="I77" s="679" t="s">
        <v>974</v>
      </c>
      <c r="J77" s="679">
        <v>60</v>
      </c>
      <c r="K77" s="679" t="s">
        <v>977</v>
      </c>
    </row>
    <row r="78" spans="1:11">
      <c r="A78" s="679" t="s">
        <v>970</v>
      </c>
      <c r="B78" s="679" t="s">
        <v>986</v>
      </c>
      <c r="C78" s="679" t="s">
        <v>987</v>
      </c>
      <c r="E78" s="679" t="s">
        <v>792</v>
      </c>
      <c r="F78" s="679" t="s">
        <v>793</v>
      </c>
      <c r="G78" s="679" t="s">
        <v>973</v>
      </c>
      <c r="H78" s="679">
        <v>52105</v>
      </c>
      <c r="I78" s="679" t="s">
        <v>988</v>
      </c>
      <c r="J78" s="679">
        <v>7</v>
      </c>
    </row>
    <row r="79" spans="1:11">
      <c r="A79" s="679" t="s">
        <v>970</v>
      </c>
      <c r="B79" s="679" t="s">
        <v>989</v>
      </c>
      <c r="C79" s="679" t="s">
        <v>990</v>
      </c>
      <c r="E79" s="679" t="s">
        <v>792</v>
      </c>
      <c r="F79" s="679" t="s">
        <v>793</v>
      </c>
      <c r="G79" s="679" t="s">
        <v>973</v>
      </c>
      <c r="H79" s="679">
        <v>51945</v>
      </c>
      <c r="I79" s="679" t="s">
        <v>988</v>
      </c>
      <c r="J79" s="679">
        <v>7</v>
      </c>
    </row>
    <row r="80" spans="1:11">
      <c r="A80" s="679" t="s">
        <v>956</v>
      </c>
      <c r="B80" s="679">
        <v>510509</v>
      </c>
      <c r="C80" s="679" t="s">
        <v>923</v>
      </c>
      <c r="D80" s="679" t="s">
        <v>991</v>
      </c>
      <c r="E80" s="679" t="s">
        <v>792</v>
      </c>
      <c r="F80" s="679" t="s">
        <v>818</v>
      </c>
      <c r="G80" s="679" t="s">
        <v>992</v>
      </c>
      <c r="H80" s="679">
        <v>52888</v>
      </c>
      <c r="I80" s="679" t="s">
        <v>993</v>
      </c>
      <c r="J80" s="679">
        <v>70</v>
      </c>
      <c r="K80" s="679" t="s">
        <v>960</v>
      </c>
    </row>
    <row r="81" spans="1:11">
      <c r="A81" s="679" t="s">
        <v>956</v>
      </c>
      <c r="B81" s="679">
        <v>510510</v>
      </c>
      <c r="C81" s="679" t="s">
        <v>928</v>
      </c>
      <c r="D81" s="679" t="s">
        <v>991</v>
      </c>
      <c r="E81" s="679" t="s">
        <v>792</v>
      </c>
      <c r="F81" s="679" t="s">
        <v>818</v>
      </c>
      <c r="G81" s="679" t="s">
        <v>992</v>
      </c>
      <c r="H81" s="679">
        <v>52889</v>
      </c>
      <c r="I81" s="679" t="s">
        <v>993</v>
      </c>
      <c r="J81" s="679">
        <v>70</v>
      </c>
      <c r="K81" s="679" t="s">
        <v>960</v>
      </c>
    </row>
    <row r="82" spans="1:11">
      <c r="A82" s="679" t="s">
        <v>956</v>
      </c>
      <c r="B82" s="679">
        <v>510511</v>
      </c>
      <c r="C82" s="679" t="s">
        <v>994</v>
      </c>
      <c r="D82" s="679" t="s">
        <v>991</v>
      </c>
      <c r="E82" s="679" t="s">
        <v>792</v>
      </c>
      <c r="F82" s="679" t="s">
        <v>818</v>
      </c>
      <c r="G82" s="679" t="s">
        <v>992</v>
      </c>
      <c r="H82" s="679">
        <v>52890</v>
      </c>
      <c r="I82" s="679" t="s">
        <v>993</v>
      </c>
      <c r="J82" s="679">
        <v>70</v>
      </c>
      <c r="K82" s="679" t="s">
        <v>960</v>
      </c>
    </row>
    <row r="83" spans="1:11">
      <c r="A83" s="679" t="s">
        <v>956</v>
      </c>
      <c r="B83" s="679">
        <v>510512</v>
      </c>
      <c r="C83" s="679" t="s">
        <v>834</v>
      </c>
      <c r="D83" s="679" t="s">
        <v>991</v>
      </c>
      <c r="E83" s="679" t="s">
        <v>792</v>
      </c>
      <c r="F83" s="679" t="s">
        <v>793</v>
      </c>
      <c r="G83" s="679" t="s">
        <v>992</v>
      </c>
      <c r="H83" s="679">
        <v>52891</v>
      </c>
      <c r="I83" s="679" t="s">
        <v>995</v>
      </c>
      <c r="J83" s="679">
        <v>100</v>
      </c>
      <c r="K83" s="679" t="s">
        <v>996</v>
      </c>
    </row>
    <row r="84" spans="1:11">
      <c r="A84" s="679" t="s">
        <v>956</v>
      </c>
      <c r="B84" s="679">
        <v>510513</v>
      </c>
      <c r="C84" s="679" t="s">
        <v>837</v>
      </c>
      <c r="D84" s="679" t="s">
        <v>991</v>
      </c>
      <c r="E84" s="679" t="s">
        <v>792</v>
      </c>
      <c r="F84" s="679" t="s">
        <v>793</v>
      </c>
      <c r="G84" s="679" t="s">
        <v>992</v>
      </c>
      <c r="H84" s="679">
        <v>52892</v>
      </c>
      <c r="I84" s="679" t="s">
        <v>997</v>
      </c>
      <c r="J84" s="679">
        <v>100</v>
      </c>
      <c r="K84" s="679" t="s">
        <v>996</v>
      </c>
    </row>
    <row r="85" spans="1:11">
      <c r="A85" s="679" t="s">
        <v>956</v>
      </c>
      <c r="B85" s="679">
        <v>510514</v>
      </c>
      <c r="C85" s="679" t="s">
        <v>838</v>
      </c>
      <c r="D85" s="679" t="s">
        <v>991</v>
      </c>
      <c r="E85" s="679" t="s">
        <v>792</v>
      </c>
      <c r="F85" s="679" t="s">
        <v>793</v>
      </c>
      <c r="G85" s="679" t="s">
        <v>992</v>
      </c>
      <c r="H85" s="679">
        <v>52893</v>
      </c>
      <c r="I85" s="679" t="s">
        <v>998</v>
      </c>
      <c r="J85" s="679">
        <v>100</v>
      </c>
      <c r="K85" s="679" t="s">
        <v>996</v>
      </c>
    </row>
    <row r="86" spans="1:11">
      <c r="A86" s="679" t="s">
        <v>956</v>
      </c>
      <c r="B86" s="679">
        <v>119701</v>
      </c>
      <c r="C86" s="679" t="s">
        <v>999</v>
      </c>
      <c r="D86" s="679" t="s">
        <v>1000</v>
      </c>
      <c r="E86" s="679" t="s">
        <v>792</v>
      </c>
      <c r="F86" s="679" t="s">
        <v>793</v>
      </c>
      <c r="G86" s="679" t="s">
        <v>1001</v>
      </c>
      <c r="H86" s="679">
        <v>51884</v>
      </c>
      <c r="I86" s="679" t="s">
        <v>1002</v>
      </c>
      <c r="J86" s="679">
        <v>85</v>
      </c>
      <c r="K86" s="679" t="s">
        <v>1003</v>
      </c>
    </row>
    <row r="87" spans="1:11">
      <c r="A87" s="679" t="s">
        <v>956</v>
      </c>
      <c r="B87" s="679">
        <v>119702</v>
      </c>
      <c r="C87" s="679" t="s">
        <v>1004</v>
      </c>
      <c r="D87" s="679" t="s">
        <v>1000</v>
      </c>
      <c r="E87" s="679" t="s">
        <v>792</v>
      </c>
      <c r="F87" s="679" t="s">
        <v>793</v>
      </c>
      <c r="G87" s="679" t="s">
        <v>1001</v>
      </c>
      <c r="H87" s="679">
        <v>51885</v>
      </c>
      <c r="I87" s="679" t="s">
        <v>1002</v>
      </c>
      <c r="J87" s="679">
        <v>85</v>
      </c>
      <c r="K87" s="679" t="s">
        <v>1003</v>
      </c>
    </row>
    <row r="88" spans="1:11">
      <c r="A88" s="679" t="s">
        <v>956</v>
      </c>
      <c r="B88" s="679">
        <v>119703</v>
      </c>
      <c r="C88" s="679" t="s">
        <v>1005</v>
      </c>
      <c r="D88" s="679" t="s">
        <v>1000</v>
      </c>
      <c r="E88" s="679" t="s">
        <v>792</v>
      </c>
      <c r="F88" s="679" t="s">
        <v>793</v>
      </c>
      <c r="G88" s="679" t="s">
        <v>1001</v>
      </c>
      <c r="H88" s="679">
        <v>51886</v>
      </c>
      <c r="I88" s="679" t="s">
        <v>1002</v>
      </c>
      <c r="J88" s="679">
        <v>85</v>
      </c>
      <c r="K88" s="679" t="s">
        <v>1003</v>
      </c>
    </row>
    <row r="89" spans="1:11">
      <c r="A89" s="679" t="s">
        <v>956</v>
      </c>
      <c r="B89" s="679">
        <v>119704</v>
      </c>
      <c r="C89" s="679" t="s">
        <v>1006</v>
      </c>
      <c r="D89" s="679" t="s">
        <v>1007</v>
      </c>
      <c r="E89" s="679" t="s">
        <v>792</v>
      </c>
      <c r="F89" s="679" t="s">
        <v>793</v>
      </c>
      <c r="G89" s="679" t="s">
        <v>1001</v>
      </c>
      <c r="H89" s="679">
        <v>51888</v>
      </c>
      <c r="I89" s="679" t="s">
        <v>1002</v>
      </c>
      <c r="J89" s="679">
        <v>85</v>
      </c>
      <c r="K89" s="679" t="s">
        <v>1003</v>
      </c>
    </row>
    <row r="90" spans="1:11">
      <c r="A90" s="679" t="s">
        <v>956</v>
      </c>
      <c r="B90" s="679">
        <v>119705</v>
      </c>
      <c r="C90" s="679" t="s">
        <v>1008</v>
      </c>
      <c r="D90" s="679" t="s">
        <v>1000</v>
      </c>
      <c r="E90" s="679" t="s">
        <v>792</v>
      </c>
      <c r="F90" s="679" t="s">
        <v>793</v>
      </c>
      <c r="G90" s="679" t="s">
        <v>1001</v>
      </c>
      <c r="H90" s="679">
        <v>51887</v>
      </c>
      <c r="I90" s="679" t="s">
        <v>1002</v>
      </c>
      <c r="J90" s="679">
        <v>85</v>
      </c>
      <c r="K90" s="679" t="s">
        <v>1003</v>
      </c>
    </row>
    <row r="91" spans="1:11">
      <c r="A91" s="679" t="s">
        <v>956</v>
      </c>
      <c r="B91" s="679">
        <v>119758</v>
      </c>
      <c r="C91" s="679" t="s">
        <v>1009</v>
      </c>
      <c r="D91" s="679" t="s">
        <v>1010</v>
      </c>
      <c r="E91" s="679" t="s">
        <v>792</v>
      </c>
      <c r="F91" s="679" t="s">
        <v>793</v>
      </c>
      <c r="G91" s="679" t="s">
        <v>1001</v>
      </c>
      <c r="H91" s="679">
        <v>51903</v>
      </c>
      <c r="I91" s="679" t="s">
        <v>1011</v>
      </c>
      <c r="J91" s="679">
        <v>8</v>
      </c>
      <c r="K91" s="679" t="s">
        <v>1012</v>
      </c>
    </row>
    <row r="92" spans="1:11">
      <c r="A92" s="679" t="s">
        <v>956</v>
      </c>
      <c r="B92" s="679">
        <v>510544</v>
      </c>
      <c r="C92" s="679" t="s">
        <v>1013</v>
      </c>
      <c r="D92" s="679" t="s">
        <v>876</v>
      </c>
      <c r="E92" s="679" t="s">
        <v>792</v>
      </c>
      <c r="F92" s="679" t="s">
        <v>818</v>
      </c>
      <c r="G92" s="679" t="s">
        <v>1001</v>
      </c>
      <c r="H92" s="679">
        <v>51889</v>
      </c>
      <c r="I92" s="679" t="s">
        <v>959</v>
      </c>
      <c r="J92" s="679">
        <v>70</v>
      </c>
      <c r="K92" s="679" t="s">
        <v>1003</v>
      </c>
    </row>
    <row r="93" spans="1:11">
      <c r="A93" s="679" t="s">
        <v>956</v>
      </c>
      <c r="B93" s="679">
        <v>510545</v>
      </c>
      <c r="C93" s="679" t="s">
        <v>1014</v>
      </c>
      <c r="D93" s="679" t="s">
        <v>876</v>
      </c>
      <c r="E93" s="679" t="s">
        <v>792</v>
      </c>
      <c r="F93" s="679" t="s">
        <v>818</v>
      </c>
      <c r="G93" s="679" t="s">
        <v>1001</v>
      </c>
      <c r="H93" s="679">
        <v>51890</v>
      </c>
      <c r="I93" s="679" t="s">
        <v>959</v>
      </c>
      <c r="J93" s="679">
        <v>70</v>
      </c>
      <c r="K93" s="679" t="s">
        <v>1003</v>
      </c>
    </row>
    <row r="94" spans="1:11">
      <c r="A94" s="679" t="s">
        <v>921</v>
      </c>
      <c r="B94" s="679" t="s">
        <v>1015</v>
      </c>
      <c r="C94" s="679" t="s">
        <v>942</v>
      </c>
      <c r="D94" s="679" t="s">
        <v>829</v>
      </c>
      <c r="E94" s="679" t="s">
        <v>792</v>
      </c>
      <c r="F94" s="679" t="s">
        <v>793</v>
      </c>
      <c r="G94" s="679" t="s">
        <v>1016</v>
      </c>
      <c r="H94" s="679">
        <v>51466</v>
      </c>
      <c r="I94" s="679" t="s">
        <v>1017</v>
      </c>
      <c r="J94" s="679">
        <v>60</v>
      </c>
    </row>
    <row r="95" spans="1:11">
      <c r="A95" s="679" t="s">
        <v>921</v>
      </c>
      <c r="B95" s="679" t="s">
        <v>1018</v>
      </c>
      <c r="C95" s="679" t="s">
        <v>1019</v>
      </c>
      <c r="D95" s="679" t="s">
        <v>829</v>
      </c>
      <c r="E95" s="679" t="s">
        <v>792</v>
      </c>
      <c r="F95" s="679" t="s">
        <v>793</v>
      </c>
      <c r="G95" s="679" t="s">
        <v>1016</v>
      </c>
      <c r="H95" s="679">
        <v>51467</v>
      </c>
      <c r="I95" s="679" t="s">
        <v>1020</v>
      </c>
      <c r="J95" s="679">
        <v>60</v>
      </c>
    </row>
    <row r="96" spans="1:11">
      <c r="A96" s="679" t="s">
        <v>921</v>
      </c>
      <c r="B96" s="679" t="s">
        <v>1021</v>
      </c>
      <c r="C96" s="679" t="s">
        <v>1022</v>
      </c>
      <c r="D96" s="679" t="s">
        <v>829</v>
      </c>
      <c r="E96" s="679" t="s">
        <v>792</v>
      </c>
      <c r="F96" s="679" t="s">
        <v>793</v>
      </c>
      <c r="G96" s="679" t="s">
        <v>1016</v>
      </c>
      <c r="H96" s="679">
        <v>51468</v>
      </c>
      <c r="I96" s="679" t="s">
        <v>1023</v>
      </c>
      <c r="J96" s="679">
        <v>60</v>
      </c>
    </row>
    <row r="97" spans="1:10">
      <c r="A97" s="679" t="s">
        <v>921</v>
      </c>
      <c r="B97" s="679" t="s">
        <v>1024</v>
      </c>
      <c r="C97" s="679" t="s">
        <v>1025</v>
      </c>
      <c r="D97" s="679" t="s">
        <v>1026</v>
      </c>
      <c r="E97" s="679" t="s">
        <v>792</v>
      </c>
      <c r="F97" s="679" t="s">
        <v>793</v>
      </c>
      <c r="G97" s="679" t="s">
        <v>1016</v>
      </c>
      <c r="H97" s="679">
        <v>51470</v>
      </c>
      <c r="I97" s="679" t="s">
        <v>937</v>
      </c>
      <c r="J97" s="679">
        <v>60</v>
      </c>
    </row>
    <row r="98" spans="1:10">
      <c r="A98" s="679" t="s">
        <v>921</v>
      </c>
      <c r="B98" s="679" t="s">
        <v>1027</v>
      </c>
      <c r="C98" s="679" t="s">
        <v>934</v>
      </c>
      <c r="D98" s="679" t="s">
        <v>829</v>
      </c>
      <c r="E98" s="679" t="s">
        <v>792</v>
      </c>
      <c r="F98" s="679" t="s">
        <v>793</v>
      </c>
      <c r="G98" s="679" t="s">
        <v>1016</v>
      </c>
      <c r="H98" s="679">
        <v>51469</v>
      </c>
      <c r="I98" s="679" t="s">
        <v>1023</v>
      </c>
      <c r="J98" s="679">
        <v>60</v>
      </c>
    </row>
    <row r="99" spans="1:10">
      <c r="A99" s="679" t="s">
        <v>921</v>
      </c>
      <c r="B99" s="679" t="s">
        <v>1028</v>
      </c>
      <c r="C99" s="679" t="s">
        <v>939</v>
      </c>
      <c r="D99" s="679" t="s">
        <v>829</v>
      </c>
      <c r="E99" s="679" t="s">
        <v>792</v>
      </c>
      <c r="F99" s="679" t="s">
        <v>793</v>
      </c>
      <c r="G99" s="679" t="s">
        <v>1016</v>
      </c>
      <c r="H99" s="679">
        <v>51464</v>
      </c>
      <c r="I99" s="679" t="s">
        <v>1029</v>
      </c>
      <c r="J99" s="679">
        <v>60</v>
      </c>
    </row>
    <row r="100" spans="1:10">
      <c r="A100" s="679" t="s">
        <v>921</v>
      </c>
      <c r="B100" s="679" t="s">
        <v>1030</v>
      </c>
      <c r="C100" s="679" t="s">
        <v>945</v>
      </c>
      <c r="D100" s="679" t="s">
        <v>829</v>
      </c>
      <c r="E100" s="679" t="s">
        <v>792</v>
      </c>
      <c r="F100" s="679" t="s">
        <v>793</v>
      </c>
      <c r="G100" s="679" t="s">
        <v>1016</v>
      </c>
      <c r="H100" s="679">
        <v>51465</v>
      </c>
      <c r="I100" s="679" t="s">
        <v>1020</v>
      </c>
      <c r="J100" s="679">
        <v>60</v>
      </c>
    </row>
    <row r="101" spans="1:10">
      <c r="A101" s="679" t="s">
        <v>1031</v>
      </c>
      <c r="B101" s="679" t="s">
        <v>1032</v>
      </c>
      <c r="C101" s="679" t="s">
        <v>1033</v>
      </c>
      <c r="E101" s="679" t="s">
        <v>792</v>
      </c>
      <c r="F101" s="679" t="s">
        <v>793</v>
      </c>
      <c r="G101" s="679" t="s">
        <v>1034</v>
      </c>
      <c r="H101" s="679">
        <v>54522</v>
      </c>
      <c r="I101" s="679" t="s">
        <v>1035</v>
      </c>
      <c r="J101" s="679">
        <v>40</v>
      </c>
    </row>
    <row r="102" spans="1:10">
      <c r="A102" s="679" t="s">
        <v>1031</v>
      </c>
      <c r="B102" s="679" t="s">
        <v>1036</v>
      </c>
      <c r="C102" s="679" t="s">
        <v>1037</v>
      </c>
      <c r="E102" s="679" t="s">
        <v>792</v>
      </c>
      <c r="F102" s="679" t="s">
        <v>793</v>
      </c>
      <c r="G102" s="679" t="s">
        <v>1034</v>
      </c>
      <c r="H102" s="679">
        <v>54523</v>
      </c>
      <c r="I102" s="679" t="s">
        <v>1038</v>
      </c>
      <c r="J102" s="679">
        <v>40</v>
      </c>
    </row>
    <row r="103" spans="1:10">
      <c r="A103" s="679" t="s">
        <v>1031</v>
      </c>
      <c r="B103" s="679" t="s">
        <v>1039</v>
      </c>
      <c r="C103" s="679" t="s">
        <v>1040</v>
      </c>
      <c r="E103" s="679" t="s">
        <v>792</v>
      </c>
      <c r="F103" s="679" t="s">
        <v>793</v>
      </c>
      <c r="G103" s="679" t="s">
        <v>1034</v>
      </c>
      <c r="H103" s="679">
        <v>54524</v>
      </c>
      <c r="I103" s="679" t="s">
        <v>1038</v>
      </c>
      <c r="J103" s="679">
        <v>40</v>
      </c>
    </row>
    <row r="104" spans="1:10">
      <c r="A104" s="679" t="s">
        <v>1041</v>
      </c>
      <c r="B104" s="679">
        <v>957807</v>
      </c>
      <c r="C104" s="679" t="s">
        <v>1042</v>
      </c>
      <c r="D104" s="679" t="s">
        <v>1010</v>
      </c>
      <c r="E104" s="679" t="s">
        <v>792</v>
      </c>
      <c r="F104" s="679" t="s">
        <v>793</v>
      </c>
      <c r="G104" s="679" t="s">
        <v>1043</v>
      </c>
      <c r="H104" s="679">
        <v>59188</v>
      </c>
      <c r="I104" s="679" t="s">
        <v>1044</v>
      </c>
      <c r="J104" s="679">
        <v>3</v>
      </c>
    </row>
    <row r="105" spans="1:10">
      <c r="A105" s="679" t="s">
        <v>1041</v>
      </c>
      <c r="B105" s="679" t="s">
        <v>1045</v>
      </c>
      <c r="C105" s="679" t="s">
        <v>1046</v>
      </c>
      <c r="D105" s="679" t="s">
        <v>1047</v>
      </c>
      <c r="E105" s="679" t="s">
        <v>792</v>
      </c>
      <c r="F105" s="679" t="s">
        <v>793</v>
      </c>
      <c r="G105" s="679" t="s">
        <v>1043</v>
      </c>
      <c r="H105" s="679">
        <v>60433</v>
      </c>
      <c r="I105" s="679" t="s">
        <v>1048</v>
      </c>
      <c r="J105" s="679">
        <v>90</v>
      </c>
    </row>
    <row r="106" spans="1:10">
      <c r="A106" s="679" t="s">
        <v>1041</v>
      </c>
      <c r="B106" s="679" t="s">
        <v>1049</v>
      </c>
      <c r="C106" s="679" t="s">
        <v>1050</v>
      </c>
      <c r="D106" s="679" t="s">
        <v>1047</v>
      </c>
      <c r="E106" s="679" t="s">
        <v>792</v>
      </c>
      <c r="F106" s="679" t="s">
        <v>793</v>
      </c>
      <c r="G106" s="679" t="s">
        <v>1043</v>
      </c>
      <c r="H106" s="679">
        <v>60435</v>
      </c>
      <c r="I106" s="679" t="s">
        <v>1051</v>
      </c>
      <c r="J106" s="682">
        <v>81.8</v>
      </c>
    </row>
    <row r="107" spans="1:10">
      <c r="A107" s="679" t="s">
        <v>1041</v>
      </c>
      <c r="B107" s="679" t="s">
        <v>1052</v>
      </c>
      <c r="C107" s="679" t="s">
        <v>1053</v>
      </c>
      <c r="D107" s="679" t="s">
        <v>1047</v>
      </c>
      <c r="E107" s="679" t="s">
        <v>792</v>
      </c>
      <c r="F107" s="679" t="s">
        <v>793</v>
      </c>
      <c r="G107" s="679" t="s">
        <v>1043</v>
      </c>
      <c r="H107" s="679">
        <v>60436</v>
      </c>
      <c r="I107" s="679" t="s">
        <v>1054</v>
      </c>
      <c r="J107" s="682">
        <v>81.8</v>
      </c>
    </row>
    <row r="108" spans="1:10">
      <c r="A108" s="679" t="s">
        <v>1041</v>
      </c>
      <c r="B108" s="679" t="s">
        <v>1055</v>
      </c>
      <c r="C108" s="679" t="s">
        <v>1056</v>
      </c>
      <c r="D108" s="679" t="s">
        <v>1047</v>
      </c>
      <c r="E108" s="679" t="s">
        <v>792</v>
      </c>
      <c r="F108" s="679" t="s">
        <v>793</v>
      </c>
      <c r="G108" s="679" t="s">
        <v>1043</v>
      </c>
      <c r="H108" s="679">
        <v>60437</v>
      </c>
      <c r="I108" s="679" t="s">
        <v>1057</v>
      </c>
      <c r="J108" s="682">
        <v>81.8</v>
      </c>
    </row>
    <row r="109" spans="1:10">
      <c r="A109" s="679" t="s">
        <v>1041</v>
      </c>
      <c r="B109" s="679" t="s">
        <v>1058</v>
      </c>
      <c r="C109" s="679" t="s">
        <v>1059</v>
      </c>
      <c r="D109" s="679" t="s">
        <v>1060</v>
      </c>
      <c r="E109" s="679" t="s">
        <v>792</v>
      </c>
      <c r="F109" s="679" t="s">
        <v>793</v>
      </c>
      <c r="G109" s="679" t="s">
        <v>1043</v>
      </c>
      <c r="H109" s="679">
        <v>60438</v>
      </c>
      <c r="I109" s="679" t="s">
        <v>1061</v>
      </c>
      <c r="J109" s="682">
        <v>81.8</v>
      </c>
    </row>
    <row r="110" spans="1:10">
      <c r="A110" s="679" t="s">
        <v>1041</v>
      </c>
      <c r="B110" s="679" t="s">
        <v>1062</v>
      </c>
      <c r="C110" s="679" t="s">
        <v>1063</v>
      </c>
      <c r="D110" s="679" t="s">
        <v>1060</v>
      </c>
      <c r="E110" s="679" t="s">
        <v>792</v>
      </c>
      <c r="F110" s="679" t="s">
        <v>793</v>
      </c>
      <c r="G110" s="679" t="s">
        <v>1043</v>
      </c>
      <c r="H110" s="679">
        <v>60439</v>
      </c>
      <c r="I110" s="679" t="s">
        <v>1064</v>
      </c>
      <c r="J110" s="682">
        <v>81.8</v>
      </c>
    </row>
    <row r="111" spans="1:10">
      <c r="A111" s="679" t="s">
        <v>1041</v>
      </c>
      <c r="B111" s="679" t="s">
        <v>1065</v>
      </c>
      <c r="C111" s="679" t="s">
        <v>1066</v>
      </c>
      <c r="D111" s="679" t="s">
        <v>1060</v>
      </c>
      <c r="E111" s="679" t="s">
        <v>792</v>
      </c>
      <c r="F111" s="679" t="s">
        <v>793</v>
      </c>
      <c r="G111" s="679" t="s">
        <v>1043</v>
      </c>
      <c r="H111" s="679">
        <v>60440</v>
      </c>
      <c r="I111" s="679" t="s">
        <v>1067</v>
      </c>
      <c r="J111" s="682">
        <v>81.8</v>
      </c>
    </row>
    <row r="112" spans="1:10">
      <c r="A112" s="679" t="s">
        <v>1041</v>
      </c>
      <c r="B112" s="679" t="s">
        <v>1068</v>
      </c>
      <c r="C112" s="679" t="s">
        <v>1069</v>
      </c>
      <c r="D112" s="679" t="s">
        <v>1060</v>
      </c>
      <c r="E112" s="679" t="s">
        <v>792</v>
      </c>
      <c r="F112" s="679" t="s">
        <v>793</v>
      </c>
      <c r="G112" s="679" t="s">
        <v>1043</v>
      </c>
      <c r="H112" s="679">
        <v>60441</v>
      </c>
      <c r="I112" s="679" t="s">
        <v>1070</v>
      </c>
      <c r="J112" s="682">
        <v>81.8</v>
      </c>
    </row>
    <row r="113" spans="1:16139">
      <c r="A113" s="679" t="s">
        <v>1041</v>
      </c>
      <c r="B113" s="679" t="s">
        <v>1071</v>
      </c>
      <c r="C113" s="679" t="s">
        <v>1072</v>
      </c>
      <c r="D113" s="679" t="s">
        <v>1073</v>
      </c>
      <c r="E113" s="679" t="s">
        <v>792</v>
      </c>
      <c r="F113" s="679" t="s">
        <v>793</v>
      </c>
      <c r="G113" s="679" t="s">
        <v>1043</v>
      </c>
      <c r="H113" s="679">
        <v>60442</v>
      </c>
      <c r="I113" s="679" t="s">
        <v>1074</v>
      </c>
      <c r="J113" s="682">
        <v>81.8</v>
      </c>
    </row>
    <row r="114" spans="1:16139">
      <c r="A114" s="679" t="s">
        <v>1041</v>
      </c>
      <c r="B114" s="679" t="s">
        <v>1075</v>
      </c>
      <c r="C114" s="679" t="s">
        <v>1076</v>
      </c>
      <c r="D114" s="679" t="s">
        <v>1073</v>
      </c>
      <c r="E114" s="679" t="s">
        <v>792</v>
      </c>
      <c r="F114" s="679" t="s">
        <v>793</v>
      </c>
      <c r="G114" s="679" t="s">
        <v>1043</v>
      </c>
      <c r="H114" s="679">
        <v>60444</v>
      </c>
      <c r="I114" s="679" t="s">
        <v>1077</v>
      </c>
      <c r="J114" s="682">
        <v>81.8</v>
      </c>
    </row>
    <row r="115" spans="1:16139">
      <c r="A115" s="679" t="s">
        <v>1041</v>
      </c>
      <c r="B115" s="679" t="s">
        <v>1078</v>
      </c>
      <c r="C115" s="679" t="s">
        <v>1079</v>
      </c>
      <c r="D115" s="679" t="s">
        <v>1073</v>
      </c>
      <c r="E115" s="679" t="s">
        <v>792</v>
      </c>
      <c r="F115" s="679" t="s">
        <v>793</v>
      </c>
      <c r="G115" s="679" t="s">
        <v>1043</v>
      </c>
      <c r="H115" s="679">
        <v>60445</v>
      </c>
      <c r="I115" s="679" t="s">
        <v>1080</v>
      </c>
      <c r="J115" s="682">
        <v>81.8</v>
      </c>
    </row>
    <row r="116" spans="1:16139">
      <c r="A116" s="679" t="s">
        <v>1041</v>
      </c>
      <c r="B116" s="679" t="s">
        <v>1081</v>
      </c>
      <c r="C116" s="679" t="s">
        <v>1082</v>
      </c>
      <c r="D116" s="679" t="s">
        <v>1073</v>
      </c>
      <c r="E116" s="679" t="s">
        <v>792</v>
      </c>
      <c r="F116" s="679" t="s">
        <v>793</v>
      </c>
      <c r="G116" s="679" t="s">
        <v>1043</v>
      </c>
      <c r="H116" s="679">
        <v>60443</v>
      </c>
      <c r="I116" s="679" t="s">
        <v>1083</v>
      </c>
      <c r="J116" s="682">
        <v>81.8</v>
      </c>
    </row>
    <row r="117" spans="1:16139">
      <c r="A117" s="679" t="s">
        <v>815</v>
      </c>
      <c r="B117" s="679">
        <v>15468</v>
      </c>
      <c r="C117" s="679" t="s">
        <v>1084</v>
      </c>
      <c r="E117" s="679" t="s">
        <v>792</v>
      </c>
      <c r="F117" s="679" t="s">
        <v>793</v>
      </c>
      <c r="G117" s="679" t="s">
        <v>1085</v>
      </c>
      <c r="H117" s="679">
        <v>54123</v>
      </c>
      <c r="I117" s="679" t="s">
        <v>1086</v>
      </c>
      <c r="J117" s="679">
        <v>7</v>
      </c>
    </row>
    <row r="118" spans="1:16139">
      <c r="A118" s="679" t="s">
        <v>815</v>
      </c>
      <c r="B118" s="679">
        <v>15469</v>
      </c>
      <c r="C118" s="679" t="s">
        <v>1087</v>
      </c>
      <c r="D118" s="679" t="s">
        <v>1088</v>
      </c>
      <c r="E118" s="679" t="s">
        <v>792</v>
      </c>
      <c r="F118" s="679" t="s">
        <v>1089</v>
      </c>
      <c r="G118" s="679" t="s">
        <v>1085</v>
      </c>
      <c r="H118" s="679">
        <v>54124</v>
      </c>
      <c r="I118" s="679" t="s">
        <v>1090</v>
      </c>
      <c r="J118" s="679">
        <v>7</v>
      </c>
    </row>
    <row r="119" spans="1:16139">
      <c r="A119" s="679" t="s">
        <v>815</v>
      </c>
      <c r="B119" s="679">
        <v>119207</v>
      </c>
      <c r="C119" s="679" t="s">
        <v>828</v>
      </c>
      <c r="D119" s="679" t="s">
        <v>1091</v>
      </c>
      <c r="E119" s="679" t="s">
        <v>792</v>
      </c>
      <c r="F119" s="679" t="s">
        <v>793</v>
      </c>
      <c r="G119" s="679" t="s">
        <v>1085</v>
      </c>
      <c r="H119" s="679">
        <v>54117</v>
      </c>
      <c r="I119" s="679" t="s">
        <v>1092</v>
      </c>
      <c r="J119" s="679">
        <v>75</v>
      </c>
    </row>
    <row r="120" spans="1:16139">
      <c r="A120" s="679" t="s">
        <v>815</v>
      </c>
      <c r="B120" s="679">
        <v>119208</v>
      </c>
      <c r="C120" s="679" t="s">
        <v>832</v>
      </c>
      <c r="D120" s="679" t="s">
        <v>1091</v>
      </c>
      <c r="E120" s="679" t="s">
        <v>792</v>
      </c>
      <c r="F120" s="679" t="s">
        <v>793</v>
      </c>
      <c r="G120" s="679" t="s">
        <v>1085</v>
      </c>
      <c r="H120" s="679">
        <v>54118</v>
      </c>
      <c r="I120" s="679" t="s">
        <v>1093</v>
      </c>
      <c r="J120" s="679">
        <v>75</v>
      </c>
    </row>
    <row r="121" spans="1:16139">
      <c r="A121" s="679" t="s">
        <v>815</v>
      </c>
      <c r="B121" s="679">
        <v>119209</v>
      </c>
      <c r="C121" s="679" t="s">
        <v>833</v>
      </c>
      <c r="D121" s="679" t="s">
        <v>1091</v>
      </c>
      <c r="E121" s="679" t="s">
        <v>792</v>
      </c>
      <c r="F121" s="679" t="s">
        <v>793</v>
      </c>
      <c r="G121" s="679" t="s">
        <v>1085</v>
      </c>
      <c r="H121" s="679">
        <v>54119</v>
      </c>
      <c r="I121" s="679" t="s">
        <v>1093</v>
      </c>
      <c r="J121" s="679">
        <v>75</v>
      </c>
    </row>
    <row r="122" spans="1:16139">
      <c r="A122" s="679" t="s">
        <v>815</v>
      </c>
      <c r="B122" s="679">
        <v>119223</v>
      </c>
      <c r="C122" s="679" t="s">
        <v>1094</v>
      </c>
      <c r="D122" s="679" t="s">
        <v>924</v>
      </c>
      <c r="E122" s="679" t="s">
        <v>792</v>
      </c>
      <c r="F122" s="679" t="s">
        <v>1089</v>
      </c>
      <c r="G122" s="679" t="s">
        <v>1085</v>
      </c>
      <c r="H122" s="679">
        <v>54120</v>
      </c>
      <c r="I122" s="679" t="s">
        <v>1095</v>
      </c>
      <c r="J122" s="679">
        <v>75</v>
      </c>
    </row>
    <row r="123" spans="1:16139">
      <c r="A123" s="679" t="s">
        <v>815</v>
      </c>
      <c r="B123" s="679">
        <v>119224</v>
      </c>
      <c r="C123" s="679" t="s">
        <v>1096</v>
      </c>
      <c r="D123" s="679" t="s">
        <v>924</v>
      </c>
      <c r="E123" s="679" t="s">
        <v>792</v>
      </c>
      <c r="F123" s="679" t="s">
        <v>1089</v>
      </c>
      <c r="G123" s="679" t="s">
        <v>1085</v>
      </c>
      <c r="H123" s="679">
        <v>54121</v>
      </c>
      <c r="I123" s="679" t="s">
        <v>1097</v>
      </c>
      <c r="J123" s="679">
        <v>75</v>
      </c>
    </row>
    <row r="124" spans="1:16139">
      <c r="A124" s="679" t="s">
        <v>815</v>
      </c>
      <c r="B124" s="679">
        <v>119225</v>
      </c>
      <c r="C124" s="679" t="s">
        <v>1098</v>
      </c>
      <c r="D124" s="679" t="s">
        <v>924</v>
      </c>
      <c r="E124" s="679" t="s">
        <v>792</v>
      </c>
      <c r="F124" s="679" t="s">
        <v>1089</v>
      </c>
      <c r="G124" s="679" t="s">
        <v>1085</v>
      </c>
      <c r="H124" s="679">
        <v>54122</v>
      </c>
      <c r="I124" s="679" t="s">
        <v>1095</v>
      </c>
      <c r="J124" s="679">
        <v>75</v>
      </c>
    </row>
    <row r="125" spans="1:16139">
      <c r="A125" s="751" t="s">
        <v>1099</v>
      </c>
      <c r="B125" s="751" t="s">
        <v>1100</v>
      </c>
      <c r="C125" s="751" t="s">
        <v>1101</v>
      </c>
      <c r="D125" s="751" t="s">
        <v>1102</v>
      </c>
      <c r="E125" s="751" t="s">
        <v>792</v>
      </c>
      <c r="F125" s="751" t="s">
        <v>793</v>
      </c>
      <c r="G125" s="751" t="s">
        <v>1103</v>
      </c>
      <c r="H125" s="751">
        <v>51684</v>
      </c>
      <c r="I125" s="751" t="s">
        <v>1104</v>
      </c>
      <c r="J125" s="751">
        <v>18</v>
      </c>
      <c r="K125" s="751"/>
      <c r="L125" s="751"/>
      <c r="M125" s="751"/>
      <c r="N125" s="751"/>
      <c r="O125" s="751"/>
      <c r="P125" s="751"/>
      <c r="Q125" s="751"/>
      <c r="R125" s="751"/>
      <c r="S125" s="751"/>
      <c r="T125" s="751"/>
      <c r="U125" s="751"/>
      <c r="V125" s="751"/>
      <c r="W125" s="751"/>
      <c r="X125" s="751"/>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c r="BJ125" s="751"/>
      <c r="BK125" s="751"/>
      <c r="BL125" s="751"/>
      <c r="BM125" s="751"/>
      <c r="BN125" s="751"/>
      <c r="BO125" s="751"/>
      <c r="BP125" s="751"/>
      <c r="BQ125" s="751"/>
      <c r="BR125" s="751"/>
      <c r="BS125" s="751"/>
      <c r="BT125" s="751"/>
      <c r="BU125" s="751"/>
      <c r="BV125" s="751"/>
      <c r="BW125" s="751"/>
      <c r="BX125" s="751"/>
      <c r="BY125" s="751"/>
      <c r="BZ125" s="751"/>
      <c r="CA125" s="751"/>
      <c r="CB125" s="751"/>
      <c r="CC125" s="751"/>
      <c r="CD125" s="751"/>
      <c r="CE125" s="751"/>
      <c r="CF125" s="751"/>
      <c r="CG125" s="751"/>
      <c r="CH125" s="751"/>
      <c r="CI125" s="751"/>
      <c r="CJ125" s="751"/>
      <c r="CK125" s="751"/>
      <c r="CL125" s="751"/>
      <c r="CM125" s="751"/>
      <c r="CN125" s="751"/>
      <c r="CO125" s="751"/>
      <c r="CP125" s="751"/>
      <c r="CQ125" s="751"/>
      <c r="CR125" s="751"/>
      <c r="CS125" s="751"/>
      <c r="CT125" s="751"/>
      <c r="CU125" s="751"/>
      <c r="CV125" s="751"/>
      <c r="CW125" s="751"/>
      <c r="CX125" s="751"/>
      <c r="CY125" s="751"/>
      <c r="CZ125" s="751"/>
      <c r="DA125" s="751"/>
      <c r="DB125" s="751"/>
      <c r="DC125" s="751"/>
      <c r="DD125" s="751"/>
      <c r="DE125" s="751"/>
      <c r="DF125" s="751"/>
      <c r="DG125" s="751"/>
      <c r="DH125" s="751"/>
      <c r="DI125" s="751"/>
      <c r="DJ125" s="751"/>
      <c r="DK125" s="751"/>
      <c r="DL125" s="751"/>
      <c r="DM125" s="751"/>
      <c r="DN125" s="751"/>
      <c r="DO125" s="751"/>
      <c r="DP125" s="751"/>
      <c r="DQ125" s="751"/>
      <c r="DR125" s="751"/>
      <c r="DS125" s="751"/>
      <c r="DT125" s="751"/>
      <c r="DU125" s="751"/>
      <c r="DV125" s="751"/>
      <c r="DW125" s="751"/>
      <c r="DX125" s="751"/>
      <c r="DY125" s="751"/>
      <c r="DZ125" s="751"/>
      <c r="EA125" s="751"/>
      <c r="EB125" s="751"/>
      <c r="EC125" s="751"/>
      <c r="ED125" s="751"/>
      <c r="EE125" s="751"/>
      <c r="EF125" s="751"/>
      <c r="EG125" s="751"/>
      <c r="EH125" s="751"/>
      <c r="EI125" s="751"/>
      <c r="EJ125" s="751"/>
      <c r="EK125" s="751"/>
      <c r="EL125" s="751"/>
      <c r="EM125" s="751"/>
      <c r="EN125" s="751"/>
      <c r="EO125" s="751"/>
      <c r="EP125" s="751"/>
      <c r="EQ125" s="751"/>
      <c r="ER125" s="751"/>
      <c r="ES125" s="751"/>
      <c r="ET125" s="751"/>
      <c r="EU125" s="751"/>
      <c r="EV125" s="751"/>
      <c r="EW125" s="751"/>
      <c r="EX125" s="751"/>
      <c r="EY125" s="751"/>
      <c r="EZ125" s="751"/>
      <c r="FA125" s="751"/>
      <c r="FB125" s="751"/>
      <c r="FC125" s="751"/>
      <c r="FD125" s="751"/>
      <c r="FE125" s="751"/>
      <c r="FF125" s="751"/>
      <c r="FG125" s="751"/>
      <c r="FH125" s="751"/>
      <c r="FI125" s="751"/>
      <c r="FJ125" s="751"/>
      <c r="FK125" s="751"/>
      <c r="FL125" s="751"/>
      <c r="FM125" s="751"/>
      <c r="FN125" s="751"/>
      <c r="FO125" s="751"/>
      <c r="FP125" s="751"/>
      <c r="FQ125" s="751"/>
      <c r="FR125" s="751"/>
      <c r="FS125" s="751"/>
      <c r="FT125" s="751"/>
      <c r="FU125" s="751"/>
      <c r="FV125" s="751"/>
      <c r="FW125" s="751"/>
      <c r="FX125" s="751"/>
      <c r="FY125" s="751"/>
      <c r="FZ125" s="751"/>
      <c r="GA125" s="751"/>
      <c r="GB125" s="751"/>
      <c r="GC125" s="751"/>
      <c r="GD125" s="751"/>
      <c r="GE125" s="751"/>
      <c r="GF125" s="751"/>
      <c r="GG125" s="751"/>
      <c r="GH125" s="751"/>
      <c r="GI125" s="751"/>
      <c r="GJ125" s="751"/>
      <c r="GK125" s="751"/>
      <c r="GL125" s="751"/>
      <c r="GM125" s="751"/>
      <c r="GN125" s="751"/>
      <c r="GO125" s="751"/>
      <c r="GP125" s="751"/>
      <c r="GQ125" s="751"/>
      <c r="GR125" s="751"/>
      <c r="GS125" s="751"/>
      <c r="GT125" s="751"/>
      <c r="GU125" s="751"/>
      <c r="GV125" s="751"/>
      <c r="GW125" s="751"/>
      <c r="GX125" s="751"/>
      <c r="GY125" s="751"/>
      <c r="GZ125" s="751"/>
      <c r="HA125" s="751"/>
      <c r="HB125" s="751"/>
      <c r="HC125" s="751"/>
      <c r="HD125" s="751"/>
      <c r="HE125" s="751"/>
      <c r="HF125" s="751"/>
      <c r="HG125" s="751"/>
      <c r="HH125" s="751"/>
      <c r="HI125" s="751"/>
      <c r="HJ125" s="751"/>
      <c r="HK125" s="751"/>
      <c r="HL125" s="751"/>
      <c r="HM125" s="751"/>
      <c r="HN125" s="751"/>
      <c r="HO125" s="751"/>
      <c r="HP125" s="751"/>
      <c r="HQ125" s="751"/>
      <c r="HR125" s="751"/>
      <c r="HS125" s="751"/>
      <c r="HT125" s="751"/>
      <c r="HU125" s="751"/>
      <c r="HV125" s="751"/>
      <c r="HW125" s="751"/>
      <c r="HX125" s="751"/>
      <c r="HY125" s="751"/>
      <c r="HZ125" s="751"/>
      <c r="IA125" s="751"/>
      <c r="IB125" s="751"/>
      <c r="IC125" s="751"/>
      <c r="ID125" s="751"/>
      <c r="IE125" s="751"/>
      <c r="IF125" s="751"/>
      <c r="IG125" s="751"/>
      <c r="IH125" s="751"/>
      <c r="II125" s="751"/>
      <c r="IJ125" s="751"/>
      <c r="IK125" s="751"/>
      <c r="IL125" s="751"/>
      <c r="IM125" s="751"/>
      <c r="IN125" s="751"/>
      <c r="IO125" s="751"/>
      <c r="IP125" s="751"/>
      <c r="IQ125" s="751"/>
      <c r="IR125" s="751"/>
      <c r="IS125" s="751"/>
      <c r="IT125" s="751"/>
      <c r="IU125" s="751"/>
      <c r="IV125" s="751"/>
      <c r="IW125" s="751"/>
      <c r="IX125" s="751"/>
      <c r="IY125" s="751"/>
      <c r="IZ125" s="751"/>
      <c r="JA125" s="751"/>
      <c r="JB125" s="751"/>
      <c r="JC125" s="751"/>
      <c r="JD125" s="751"/>
      <c r="JE125" s="751"/>
      <c r="JF125" s="751"/>
      <c r="JG125" s="751"/>
      <c r="JH125" s="751"/>
      <c r="JI125" s="751"/>
      <c r="JJ125" s="751"/>
      <c r="JK125" s="751"/>
      <c r="JL125" s="751"/>
      <c r="JM125" s="751"/>
      <c r="JN125" s="751"/>
      <c r="JO125" s="751"/>
      <c r="JP125" s="751"/>
      <c r="JQ125" s="751"/>
      <c r="JR125" s="751"/>
      <c r="JS125" s="751"/>
      <c r="JT125" s="751"/>
      <c r="JU125" s="751"/>
      <c r="JV125" s="751"/>
      <c r="JW125" s="751"/>
      <c r="JX125" s="751"/>
      <c r="JY125" s="751"/>
      <c r="JZ125" s="751"/>
      <c r="KA125" s="751"/>
      <c r="KB125" s="751"/>
      <c r="KC125" s="751"/>
      <c r="KD125" s="751"/>
      <c r="KE125" s="751"/>
      <c r="KF125" s="751"/>
      <c r="KG125" s="751"/>
      <c r="KH125" s="751"/>
      <c r="KI125" s="751"/>
      <c r="KJ125" s="751"/>
      <c r="KK125" s="751"/>
      <c r="KL125" s="751"/>
      <c r="KM125" s="751"/>
      <c r="KN125" s="751"/>
      <c r="KO125" s="751"/>
      <c r="KP125" s="751"/>
      <c r="KQ125" s="751"/>
      <c r="KR125" s="751"/>
      <c r="KS125" s="751"/>
      <c r="KT125" s="751"/>
      <c r="KU125" s="751"/>
      <c r="KV125" s="751"/>
      <c r="KW125" s="751"/>
      <c r="KX125" s="751"/>
      <c r="KY125" s="751"/>
      <c r="KZ125" s="751"/>
      <c r="LA125" s="751"/>
      <c r="LB125" s="751"/>
      <c r="LC125" s="751"/>
      <c r="LD125" s="751"/>
      <c r="LE125" s="751"/>
      <c r="LF125" s="751"/>
      <c r="LG125" s="751"/>
      <c r="LH125" s="751"/>
      <c r="LI125" s="751"/>
      <c r="LJ125" s="751"/>
      <c r="LK125" s="751"/>
      <c r="LL125" s="751"/>
      <c r="LM125" s="751"/>
      <c r="LN125" s="751"/>
      <c r="LO125" s="751"/>
      <c r="LP125" s="751"/>
      <c r="LQ125" s="751"/>
      <c r="LR125" s="751"/>
      <c r="LS125" s="751"/>
      <c r="LT125" s="751"/>
      <c r="LU125" s="751"/>
      <c r="LV125" s="751"/>
      <c r="LW125" s="751"/>
      <c r="LX125" s="751"/>
      <c r="LY125" s="751"/>
      <c r="LZ125" s="751"/>
      <c r="MA125" s="751"/>
      <c r="MB125" s="751"/>
      <c r="MC125" s="751"/>
      <c r="MD125" s="751"/>
      <c r="ME125" s="751"/>
      <c r="MF125" s="751"/>
      <c r="MG125" s="751"/>
      <c r="MH125" s="751"/>
      <c r="MI125" s="751"/>
      <c r="MJ125" s="751"/>
      <c r="MK125" s="751"/>
      <c r="ML125" s="751"/>
      <c r="MM125" s="751"/>
      <c r="MN125" s="751"/>
      <c r="MO125" s="751"/>
      <c r="MP125" s="751"/>
      <c r="MQ125" s="751"/>
      <c r="MR125" s="751"/>
      <c r="MS125" s="751"/>
      <c r="MT125" s="751"/>
      <c r="MU125" s="751"/>
      <c r="MV125" s="751"/>
      <c r="MW125" s="751"/>
      <c r="MX125" s="751"/>
      <c r="MY125" s="751"/>
      <c r="MZ125" s="751"/>
      <c r="NA125" s="751"/>
      <c r="NB125" s="751"/>
      <c r="NC125" s="751"/>
      <c r="ND125" s="751"/>
      <c r="NE125" s="751"/>
      <c r="NF125" s="751"/>
      <c r="NG125" s="751"/>
      <c r="NH125" s="751"/>
      <c r="NI125" s="751"/>
      <c r="NJ125" s="751"/>
      <c r="NK125" s="751"/>
      <c r="NL125" s="751"/>
      <c r="NM125" s="751"/>
      <c r="NN125" s="751"/>
      <c r="NO125" s="751"/>
      <c r="NP125" s="751"/>
      <c r="NQ125" s="751"/>
      <c r="NR125" s="751"/>
      <c r="NS125" s="751"/>
      <c r="NT125" s="751"/>
      <c r="NU125" s="751"/>
      <c r="NV125" s="751"/>
      <c r="NW125" s="751"/>
      <c r="NX125" s="751"/>
      <c r="NY125" s="751"/>
      <c r="NZ125" s="751"/>
      <c r="OA125" s="751"/>
      <c r="OB125" s="751"/>
      <c r="OC125" s="751"/>
      <c r="OD125" s="751"/>
      <c r="OE125" s="751"/>
      <c r="OF125" s="751"/>
      <c r="OG125" s="751"/>
      <c r="OH125" s="751"/>
      <c r="OI125" s="751"/>
      <c r="OJ125" s="751"/>
      <c r="OK125" s="751"/>
      <c r="OL125" s="751"/>
      <c r="OM125" s="751"/>
      <c r="ON125" s="751"/>
      <c r="OO125" s="751"/>
      <c r="OP125" s="751"/>
      <c r="OQ125" s="751"/>
      <c r="OR125" s="751"/>
      <c r="OS125" s="751"/>
      <c r="OT125" s="751"/>
      <c r="OU125" s="751"/>
      <c r="OV125" s="751"/>
      <c r="OW125" s="751"/>
      <c r="OX125" s="751"/>
      <c r="OY125" s="751"/>
      <c r="OZ125" s="751"/>
      <c r="PA125" s="751"/>
      <c r="PB125" s="751"/>
      <c r="PC125" s="751"/>
      <c r="PD125" s="751"/>
      <c r="PE125" s="751"/>
      <c r="PF125" s="751"/>
      <c r="PG125" s="751"/>
      <c r="PH125" s="751"/>
      <c r="PI125" s="751"/>
      <c r="PJ125" s="751"/>
      <c r="PK125" s="751"/>
      <c r="PL125" s="751"/>
      <c r="PM125" s="751"/>
      <c r="PN125" s="751"/>
      <c r="PO125" s="751"/>
      <c r="PP125" s="751"/>
      <c r="PQ125" s="751"/>
      <c r="PR125" s="751"/>
      <c r="PS125" s="751"/>
      <c r="PT125" s="751"/>
      <c r="PU125" s="751"/>
      <c r="PV125" s="751"/>
      <c r="PW125" s="751"/>
      <c r="PX125" s="751"/>
      <c r="PY125" s="751"/>
      <c r="PZ125" s="751"/>
      <c r="QA125" s="751"/>
      <c r="QB125" s="751"/>
      <c r="QC125" s="751"/>
      <c r="QD125" s="751"/>
      <c r="QE125" s="751"/>
      <c r="QF125" s="751"/>
      <c r="QG125" s="751"/>
      <c r="QH125" s="751"/>
      <c r="QI125" s="751"/>
      <c r="QJ125" s="751"/>
      <c r="QK125" s="751"/>
      <c r="QL125" s="751"/>
      <c r="QM125" s="751"/>
      <c r="QN125" s="751"/>
      <c r="QO125" s="751"/>
      <c r="QP125" s="751"/>
      <c r="QQ125" s="751"/>
      <c r="QR125" s="751"/>
      <c r="QS125" s="751"/>
      <c r="QT125" s="751"/>
      <c r="QU125" s="751"/>
      <c r="QV125" s="751"/>
      <c r="QW125" s="751"/>
      <c r="QX125" s="751"/>
      <c r="QY125" s="751"/>
      <c r="QZ125" s="751"/>
      <c r="RA125" s="751"/>
      <c r="RB125" s="751"/>
      <c r="RC125" s="751"/>
      <c r="RD125" s="751"/>
      <c r="RE125" s="751"/>
      <c r="RF125" s="751"/>
      <c r="RG125" s="751"/>
      <c r="RH125" s="751"/>
      <c r="RI125" s="751"/>
      <c r="RJ125" s="751"/>
      <c r="RK125" s="751"/>
      <c r="RL125" s="751"/>
      <c r="RM125" s="751"/>
      <c r="RN125" s="751"/>
      <c r="RO125" s="751"/>
      <c r="RP125" s="751"/>
      <c r="RQ125" s="751"/>
      <c r="RR125" s="751"/>
      <c r="RS125" s="751"/>
      <c r="RT125" s="751"/>
      <c r="RU125" s="751"/>
      <c r="RV125" s="751"/>
      <c r="RW125" s="751"/>
      <c r="RX125" s="751"/>
      <c r="RY125" s="751"/>
      <c r="RZ125" s="751"/>
      <c r="SA125" s="751"/>
      <c r="SB125" s="751"/>
      <c r="SC125" s="751"/>
      <c r="SD125" s="751"/>
      <c r="SE125" s="751"/>
      <c r="SF125" s="751"/>
      <c r="SG125" s="751"/>
      <c r="SH125" s="751"/>
      <c r="SI125" s="751"/>
      <c r="SJ125" s="751"/>
      <c r="SK125" s="751"/>
      <c r="SL125" s="751"/>
      <c r="SM125" s="751"/>
      <c r="SN125" s="751"/>
      <c r="SO125" s="751"/>
      <c r="SP125" s="751"/>
      <c r="SQ125" s="751"/>
      <c r="SR125" s="751"/>
      <c r="SS125" s="751"/>
      <c r="ST125" s="751"/>
      <c r="SU125" s="751"/>
      <c r="SV125" s="751"/>
      <c r="SW125" s="751"/>
      <c r="SX125" s="751"/>
      <c r="SY125" s="751"/>
      <c r="SZ125" s="751"/>
      <c r="TA125" s="751"/>
      <c r="TB125" s="751"/>
      <c r="TC125" s="751"/>
      <c r="TD125" s="751"/>
      <c r="TE125" s="751"/>
      <c r="TF125" s="751"/>
      <c r="TG125" s="751"/>
      <c r="TH125" s="751"/>
      <c r="TI125" s="751"/>
      <c r="TJ125" s="751"/>
      <c r="TK125" s="751"/>
      <c r="TL125" s="751"/>
      <c r="TM125" s="751"/>
      <c r="TN125" s="751"/>
      <c r="TO125" s="751"/>
      <c r="TP125" s="751"/>
      <c r="TQ125" s="751"/>
      <c r="TR125" s="751"/>
      <c r="TS125" s="751"/>
      <c r="TT125" s="751"/>
      <c r="TU125" s="751"/>
      <c r="TV125" s="751"/>
      <c r="TW125" s="751"/>
      <c r="TX125" s="751"/>
      <c r="TY125" s="751"/>
      <c r="TZ125" s="751"/>
      <c r="UA125" s="751"/>
      <c r="UB125" s="751"/>
      <c r="UC125" s="751"/>
      <c r="UD125" s="751"/>
      <c r="UE125" s="751"/>
      <c r="UF125" s="751"/>
      <c r="UG125" s="751"/>
      <c r="UH125" s="751"/>
      <c r="UI125" s="751"/>
      <c r="UJ125" s="751"/>
      <c r="UK125" s="751"/>
      <c r="UL125" s="751"/>
      <c r="UM125" s="751"/>
      <c r="UN125" s="751"/>
      <c r="UO125" s="751"/>
      <c r="UP125" s="751"/>
      <c r="UQ125" s="751"/>
      <c r="UR125" s="751"/>
      <c r="US125" s="751"/>
      <c r="UT125" s="751"/>
      <c r="UU125" s="751"/>
      <c r="UV125" s="751"/>
      <c r="UW125" s="751"/>
      <c r="UX125" s="751"/>
      <c r="UY125" s="751"/>
      <c r="UZ125" s="751"/>
      <c r="VA125" s="751"/>
      <c r="VB125" s="751"/>
      <c r="VC125" s="751"/>
      <c r="VD125" s="751"/>
      <c r="VE125" s="751"/>
      <c r="VF125" s="751"/>
      <c r="VG125" s="751"/>
      <c r="VH125" s="751"/>
      <c r="VI125" s="751"/>
      <c r="VJ125" s="751"/>
      <c r="VK125" s="751"/>
      <c r="VL125" s="751"/>
      <c r="VM125" s="751"/>
      <c r="VN125" s="751"/>
      <c r="VO125" s="751"/>
      <c r="VP125" s="751"/>
      <c r="VQ125" s="751"/>
      <c r="VR125" s="751"/>
      <c r="VS125" s="751"/>
      <c r="VT125" s="751"/>
      <c r="VU125" s="751"/>
      <c r="VV125" s="751"/>
      <c r="VW125" s="751"/>
      <c r="VX125" s="751"/>
      <c r="VY125" s="751"/>
      <c r="VZ125" s="751"/>
      <c r="WA125" s="751"/>
      <c r="WB125" s="751"/>
      <c r="WC125" s="751"/>
      <c r="WD125" s="751"/>
      <c r="WE125" s="751"/>
      <c r="WF125" s="751"/>
      <c r="WG125" s="751"/>
      <c r="WH125" s="751"/>
      <c r="WI125" s="751"/>
      <c r="WJ125" s="751"/>
      <c r="WK125" s="751"/>
      <c r="WL125" s="751"/>
      <c r="WM125" s="751"/>
      <c r="WN125" s="751"/>
      <c r="WO125" s="751"/>
      <c r="WP125" s="751"/>
      <c r="WQ125" s="751"/>
      <c r="WR125" s="751"/>
      <c r="WS125" s="751"/>
      <c r="WT125" s="751"/>
      <c r="WU125" s="751"/>
      <c r="WV125" s="751"/>
      <c r="WW125" s="751"/>
      <c r="WX125" s="751"/>
      <c r="WY125" s="751"/>
      <c r="WZ125" s="751"/>
      <c r="XA125" s="751"/>
      <c r="XB125" s="751"/>
      <c r="XC125" s="751"/>
      <c r="XD125" s="751"/>
      <c r="XE125" s="751"/>
      <c r="XF125" s="751"/>
      <c r="XG125" s="751"/>
      <c r="XH125" s="751"/>
      <c r="XI125" s="751"/>
      <c r="XJ125" s="751"/>
      <c r="XK125" s="751"/>
      <c r="XL125" s="751"/>
      <c r="XM125" s="751"/>
      <c r="XN125" s="751"/>
      <c r="XO125" s="751"/>
      <c r="XP125" s="751"/>
      <c r="XQ125" s="751"/>
      <c r="XR125" s="751"/>
      <c r="XS125" s="751"/>
      <c r="XT125" s="751"/>
      <c r="XU125" s="751"/>
      <c r="XV125" s="751"/>
      <c r="XW125" s="751"/>
      <c r="XX125" s="751"/>
      <c r="XY125" s="751"/>
      <c r="XZ125" s="751"/>
      <c r="YA125" s="751"/>
      <c r="YB125" s="751"/>
      <c r="YC125" s="751"/>
      <c r="YD125" s="751"/>
      <c r="YE125" s="751"/>
      <c r="YF125" s="751"/>
      <c r="YG125" s="751"/>
      <c r="YH125" s="751"/>
      <c r="YI125" s="751"/>
      <c r="YJ125" s="751"/>
      <c r="YK125" s="751"/>
      <c r="YL125" s="751"/>
      <c r="YM125" s="751"/>
      <c r="YN125" s="751"/>
      <c r="YO125" s="751"/>
      <c r="YP125" s="751"/>
      <c r="YQ125" s="751"/>
      <c r="YR125" s="751"/>
      <c r="YS125" s="751"/>
      <c r="YT125" s="751"/>
      <c r="YU125" s="751"/>
      <c r="YV125" s="751"/>
      <c r="YW125" s="751"/>
      <c r="YX125" s="751"/>
      <c r="YY125" s="751"/>
      <c r="YZ125" s="751"/>
      <c r="ZA125" s="751"/>
      <c r="ZB125" s="751"/>
      <c r="ZC125" s="751"/>
      <c r="ZD125" s="751"/>
      <c r="ZE125" s="751"/>
      <c r="ZF125" s="751"/>
      <c r="ZG125" s="751"/>
      <c r="ZH125" s="751"/>
      <c r="ZI125" s="751"/>
      <c r="ZJ125" s="751"/>
      <c r="ZK125" s="751"/>
      <c r="ZL125" s="751"/>
      <c r="ZM125" s="751"/>
      <c r="ZN125" s="751"/>
      <c r="ZO125" s="751"/>
      <c r="ZP125" s="751"/>
      <c r="ZQ125" s="751"/>
      <c r="ZR125" s="751"/>
      <c r="ZS125" s="751"/>
      <c r="ZT125" s="751"/>
      <c r="ZU125" s="751"/>
      <c r="ZV125" s="751"/>
      <c r="ZW125" s="751"/>
      <c r="ZX125" s="751"/>
      <c r="ZY125" s="751"/>
      <c r="ZZ125" s="751"/>
      <c r="AAA125" s="751"/>
      <c r="AAB125" s="751"/>
      <c r="AAC125" s="751"/>
      <c r="AAD125" s="751"/>
      <c r="AAE125" s="751"/>
      <c r="AAF125" s="751"/>
      <c r="AAG125" s="751"/>
      <c r="AAH125" s="751"/>
      <c r="AAI125" s="751"/>
      <c r="AAJ125" s="751"/>
      <c r="AAK125" s="751"/>
      <c r="AAL125" s="751"/>
      <c r="AAM125" s="751"/>
      <c r="AAN125" s="751"/>
      <c r="AAO125" s="751"/>
      <c r="AAP125" s="751"/>
      <c r="AAQ125" s="751"/>
      <c r="AAR125" s="751"/>
      <c r="AAS125" s="751"/>
      <c r="AAT125" s="751"/>
      <c r="AAU125" s="751"/>
      <c r="AAV125" s="751"/>
      <c r="AAW125" s="751"/>
      <c r="AAX125" s="751"/>
      <c r="AAY125" s="751"/>
      <c r="AAZ125" s="751"/>
      <c r="ABA125" s="751"/>
      <c r="ABB125" s="751"/>
      <c r="ABC125" s="751"/>
      <c r="ABD125" s="751"/>
      <c r="ABE125" s="751"/>
      <c r="ABF125" s="751"/>
      <c r="ABG125" s="751"/>
      <c r="ABH125" s="751"/>
      <c r="ABI125" s="751"/>
      <c r="ABJ125" s="751"/>
      <c r="ABK125" s="751"/>
      <c r="ABL125" s="751"/>
      <c r="ABM125" s="751"/>
      <c r="ABN125" s="751"/>
      <c r="ABO125" s="751"/>
      <c r="ABP125" s="751"/>
      <c r="ABQ125" s="751"/>
      <c r="ABR125" s="751"/>
      <c r="ABS125" s="751"/>
      <c r="ABT125" s="751"/>
      <c r="ABU125" s="751"/>
      <c r="ABV125" s="751"/>
      <c r="ABW125" s="751"/>
      <c r="ABX125" s="751"/>
      <c r="ABY125" s="751"/>
      <c r="ABZ125" s="751"/>
      <c r="ACA125" s="751"/>
      <c r="ACB125" s="751"/>
      <c r="ACC125" s="751"/>
      <c r="ACD125" s="751"/>
      <c r="ACE125" s="751"/>
      <c r="ACF125" s="751"/>
      <c r="ACG125" s="751"/>
      <c r="ACH125" s="751"/>
      <c r="ACI125" s="751"/>
      <c r="ACJ125" s="751"/>
      <c r="ACK125" s="751"/>
      <c r="ACL125" s="751"/>
      <c r="ACM125" s="751"/>
      <c r="ACN125" s="751"/>
      <c r="ACO125" s="751"/>
      <c r="ACP125" s="751"/>
      <c r="ACQ125" s="751"/>
      <c r="ACR125" s="751"/>
      <c r="ACS125" s="751"/>
      <c r="ACT125" s="751"/>
      <c r="ACU125" s="751"/>
      <c r="ACV125" s="751"/>
      <c r="ACW125" s="751"/>
      <c r="ACX125" s="751"/>
      <c r="ACY125" s="751"/>
      <c r="ACZ125" s="751"/>
      <c r="ADA125" s="751"/>
      <c r="ADB125" s="751"/>
      <c r="ADC125" s="751"/>
      <c r="ADD125" s="751"/>
      <c r="ADE125" s="751"/>
      <c r="ADF125" s="751"/>
      <c r="ADG125" s="751"/>
      <c r="ADH125" s="751"/>
      <c r="ADI125" s="751"/>
      <c r="ADJ125" s="751"/>
      <c r="ADK125" s="751"/>
      <c r="ADL125" s="751"/>
      <c r="ADM125" s="751"/>
      <c r="ADN125" s="751"/>
      <c r="ADO125" s="751"/>
      <c r="ADP125" s="751"/>
      <c r="ADQ125" s="751"/>
      <c r="ADR125" s="751"/>
      <c r="ADS125" s="751"/>
      <c r="ADT125" s="751"/>
      <c r="ADU125" s="751"/>
      <c r="ADV125" s="751"/>
      <c r="ADW125" s="751"/>
      <c r="ADX125" s="751"/>
      <c r="ADY125" s="751"/>
      <c r="ADZ125" s="751"/>
      <c r="AEA125" s="751"/>
      <c r="AEB125" s="751"/>
      <c r="AEC125" s="751"/>
      <c r="AED125" s="751"/>
      <c r="AEE125" s="751"/>
      <c r="AEF125" s="751"/>
      <c r="AEG125" s="751"/>
      <c r="AEH125" s="751"/>
      <c r="AEI125" s="751"/>
      <c r="AEJ125" s="751"/>
      <c r="AEK125" s="751"/>
      <c r="AEL125" s="751"/>
      <c r="AEM125" s="751"/>
      <c r="AEN125" s="751"/>
      <c r="AEO125" s="751"/>
      <c r="AEP125" s="751"/>
      <c r="AEQ125" s="751"/>
      <c r="AER125" s="751"/>
      <c r="AES125" s="751"/>
      <c r="AET125" s="751"/>
      <c r="AEU125" s="751"/>
      <c r="AEV125" s="751"/>
      <c r="AEW125" s="751"/>
      <c r="AEX125" s="751"/>
      <c r="AEY125" s="751"/>
      <c r="AEZ125" s="751"/>
      <c r="AFA125" s="751"/>
      <c r="AFB125" s="751"/>
      <c r="AFC125" s="751"/>
      <c r="AFD125" s="751"/>
      <c r="AFE125" s="751"/>
      <c r="AFF125" s="751"/>
      <c r="AFG125" s="751"/>
      <c r="AFH125" s="751"/>
      <c r="AFI125" s="751"/>
      <c r="AFJ125" s="751"/>
      <c r="AFK125" s="751"/>
      <c r="AFL125" s="751"/>
      <c r="AFM125" s="751"/>
      <c r="AFN125" s="751"/>
      <c r="AFO125" s="751"/>
      <c r="AFP125" s="751"/>
      <c r="AFQ125" s="751"/>
      <c r="AFR125" s="751"/>
      <c r="AFS125" s="751"/>
      <c r="AFT125" s="751"/>
      <c r="AFU125" s="751"/>
      <c r="AFV125" s="751"/>
      <c r="AFW125" s="751"/>
      <c r="AFX125" s="751"/>
      <c r="AFY125" s="751"/>
      <c r="AFZ125" s="751"/>
      <c r="AGA125" s="751"/>
      <c r="AGB125" s="751"/>
      <c r="AGC125" s="751"/>
      <c r="AGD125" s="751"/>
      <c r="AGE125" s="751"/>
      <c r="AGF125" s="751"/>
      <c r="AGG125" s="751"/>
      <c r="AGH125" s="751"/>
      <c r="AGI125" s="751"/>
      <c r="AGJ125" s="751"/>
      <c r="AGK125" s="751"/>
      <c r="AGL125" s="751"/>
      <c r="AGM125" s="751"/>
      <c r="AGN125" s="751"/>
      <c r="AGO125" s="751"/>
      <c r="AGP125" s="751"/>
      <c r="AGQ125" s="751"/>
      <c r="AGR125" s="751"/>
      <c r="AGS125" s="751"/>
      <c r="AGT125" s="751"/>
      <c r="AGU125" s="751"/>
      <c r="AGV125" s="751"/>
      <c r="AGW125" s="751"/>
      <c r="AGX125" s="751"/>
      <c r="AGY125" s="751"/>
      <c r="AGZ125" s="751"/>
      <c r="AHA125" s="751"/>
      <c r="AHB125" s="751"/>
      <c r="AHC125" s="751"/>
      <c r="AHD125" s="751"/>
      <c r="AHE125" s="751"/>
      <c r="AHF125" s="751"/>
      <c r="AHG125" s="751"/>
      <c r="AHH125" s="751"/>
      <c r="AHI125" s="751"/>
      <c r="AHJ125" s="751"/>
      <c r="AHK125" s="751"/>
      <c r="AHL125" s="751"/>
      <c r="AHM125" s="751"/>
      <c r="AHN125" s="751"/>
      <c r="AHO125" s="751"/>
      <c r="AHP125" s="751"/>
      <c r="AHQ125" s="751"/>
      <c r="AHR125" s="751"/>
      <c r="AHS125" s="751"/>
      <c r="AHT125" s="751"/>
      <c r="AHU125" s="751"/>
      <c r="AHV125" s="751"/>
      <c r="AHW125" s="751"/>
      <c r="AHX125" s="751"/>
      <c r="AHY125" s="751"/>
      <c r="AHZ125" s="751"/>
      <c r="AIA125" s="751"/>
      <c r="AIB125" s="751"/>
      <c r="AIC125" s="751"/>
      <c r="AID125" s="751"/>
      <c r="AIE125" s="751"/>
      <c r="AIF125" s="751"/>
      <c r="AIG125" s="751"/>
      <c r="AIH125" s="751"/>
      <c r="AII125" s="751"/>
      <c r="AIJ125" s="751"/>
      <c r="AIK125" s="751"/>
      <c r="AIL125" s="751"/>
      <c r="AIM125" s="751"/>
      <c r="AIN125" s="751"/>
      <c r="AIO125" s="751"/>
      <c r="AIP125" s="751"/>
      <c r="AIQ125" s="751"/>
      <c r="AIR125" s="751"/>
      <c r="AIS125" s="751"/>
      <c r="AIT125" s="751"/>
      <c r="AIU125" s="751"/>
      <c r="AIV125" s="751"/>
      <c r="AIW125" s="751"/>
      <c r="AIX125" s="751"/>
      <c r="AIY125" s="751"/>
      <c r="AIZ125" s="751"/>
      <c r="AJA125" s="751"/>
      <c r="AJB125" s="751"/>
      <c r="AJC125" s="751"/>
      <c r="AJD125" s="751"/>
      <c r="AJE125" s="751"/>
      <c r="AJF125" s="751"/>
      <c r="AJG125" s="751"/>
      <c r="AJH125" s="751"/>
      <c r="AJI125" s="751"/>
      <c r="AJJ125" s="751"/>
      <c r="AJK125" s="751"/>
      <c r="AJL125" s="751"/>
      <c r="AJM125" s="751"/>
      <c r="AJN125" s="751"/>
      <c r="AJO125" s="751"/>
      <c r="AJP125" s="751"/>
      <c r="AJQ125" s="751"/>
      <c r="AJR125" s="751"/>
      <c r="AJS125" s="751"/>
      <c r="AJT125" s="751"/>
      <c r="AJU125" s="751"/>
      <c r="AJV125" s="751"/>
      <c r="AJW125" s="751"/>
      <c r="AJX125" s="751"/>
      <c r="AJY125" s="751"/>
      <c r="AJZ125" s="751"/>
      <c r="AKA125" s="751"/>
      <c r="AKB125" s="751"/>
      <c r="AKC125" s="751"/>
      <c r="AKD125" s="751"/>
      <c r="AKE125" s="751"/>
      <c r="AKF125" s="751"/>
      <c r="AKG125" s="751"/>
      <c r="AKH125" s="751"/>
      <c r="AKI125" s="751"/>
      <c r="AKJ125" s="751"/>
      <c r="AKK125" s="751"/>
      <c r="AKL125" s="751"/>
      <c r="AKM125" s="751"/>
      <c r="AKN125" s="751"/>
      <c r="AKO125" s="751"/>
      <c r="AKP125" s="751"/>
      <c r="AKQ125" s="751"/>
      <c r="AKR125" s="751"/>
      <c r="AKS125" s="751"/>
      <c r="AKT125" s="751"/>
      <c r="AKU125" s="751"/>
      <c r="AKV125" s="751"/>
      <c r="AKW125" s="751"/>
      <c r="AKX125" s="751"/>
      <c r="AKY125" s="751"/>
      <c r="AKZ125" s="751"/>
      <c r="ALA125" s="751"/>
      <c r="ALB125" s="751"/>
      <c r="ALC125" s="751"/>
      <c r="ALD125" s="751"/>
      <c r="ALE125" s="751"/>
      <c r="ALF125" s="751"/>
      <c r="ALG125" s="751"/>
      <c r="ALH125" s="751"/>
      <c r="ALI125" s="751"/>
      <c r="ALJ125" s="751"/>
      <c r="ALK125" s="751"/>
      <c r="ALL125" s="751"/>
      <c r="ALM125" s="751"/>
      <c r="ALN125" s="751"/>
      <c r="ALO125" s="751"/>
      <c r="ALP125" s="751"/>
      <c r="ALQ125" s="751"/>
      <c r="ALR125" s="751"/>
      <c r="ALS125" s="751"/>
      <c r="ALT125" s="751"/>
      <c r="ALU125" s="751"/>
      <c r="ALV125" s="751"/>
      <c r="ALW125" s="751"/>
      <c r="ALX125" s="751"/>
      <c r="ALY125" s="751"/>
      <c r="ALZ125" s="751"/>
      <c r="AMA125" s="751"/>
      <c r="AMB125" s="751"/>
      <c r="AMC125" s="751"/>
      <c r="AMD125" s="751"/>
      <c r="AME125" s="751"/>
      <c r="AMF125" s="751"/>
      <c r="AMG125" s="751"/>
      <c r="AMH125" s="751"/>
      <c r="AMI125" s="751"/>
      <c r="AMJ125" s="751"/>
      <c r="AMK125" s="751"/>
      <c r="AML125" s="751"/>
      <c r="AMM125" s="751"/>
      <c r="AMN125" s="751"/>
      <c r="AMO125" s="751"/>
      <c r="AMP125" s="751"/>
      <c r="AMQ125" s="751"/>
      <c r="AMR125" s="751"/>
      <c r="AMS125" s="751"/>
      <c r="AMT125" s="751"/>
      <c r="AMU125" s="751"/>
      <c r="AMV125" s="751"/>
      <c r="AMW125" s="751"/>
      <c r="AMX125" s="751"/>
      <c r="AMY125" s="751"/>
      <c r="AMZ125" s="751"/>
      <c r="ANA125" s="751"/>
      <c r="ANB125" s="751"/>
      <c r="ANC125" s="751"/>
      <c r="AND125" s="751"/>
      <c r="ANE125" s="751"/>
      <c r="ANF125" s="751"/>
      <c r="ANG125" s="751"/>
      <c r="ANH125" s="751"/>
      <c r="ANI125" s="751"/>
      <c r="ANJ125" s="751"/>
      <c r="ANK125" s="751"/>
      <c r="ANL125" s="751"/>
      <c r="ANM125" s="751"/>
      <c r="ANN125" s="751"/>
      <c r="ANO125" s="751"/>
      <c r="ANP125" s="751"/>
      <c r="ANQ125" s="751"/>
      <c r="ANR125" s="751"/>
      <c r="ANS125" s="751"/>
      <c r="ANT125" s="751"/>
      <c r="ANU125" s="751"/>
      <c r="ANV125" s="751"/>
      <c r="ANW125" s="751"/>
      <c r="ANX125" s="751"/>
      <c r="ANY125" s="751"/>
      <c r="ANZ125" s="751"/>
      <c r="AOA125" s="751"/>
      <c r="AOB125" s="751"/>
      <c r="AOC125" s="751"/>
      <c r="AOD125" s="751"/>
      <c r="AOE125" s="751"/>
      <c r="AOF125" s="751"/>
      <c r="AOG125" s="751"/>
      <c r="AOH125" s="751"/>
      <c r="AOI125" s="751"/>
      <c r="AOJ125" s="751"/>
      <c r="AOK125" s="751"/>
      <c r="AOL125" s="751"/>
      <c r="AOM125" s="751"/>
      <c r="AON125" s="751"/>
      <c r="AOO125" s="751"/>
      <c r="AOP125" s="751"/>
      <c r="AOQ125" s="751"/>
      <c r="AOR125" s="751"/>
      <c r="AOS125" s="751"/>
      <c r="AOT125" s="751"/>
      <c r="AOU125" s="751"/>
      <c r="AOV125" s="751"/>
      <c r="AOW125" s="751"/>
      <c r="AOX125" s="751"/>
      <c r="AOY125" s="751"/>
      <c r="AOZ125" s="751"/>
      <c r="APA125" s="751"/>
      <c r="APB125" s="751"/>
      <c r="APC125" s="751"/>
      <c r="APD125" s="751"/>
      <c r="APE125" s="751"/>
      <c r="APF125" s="751"/>
      <c r="APG125" s="751"/>
      <c r="APH125" s="751"/>
      <c r="API125" s="751"/>
      <c r="APJ125" s="751"/>
      <c r="APK125" s="751"/>
      <c r="APL125" s="751"/>
      <c r="APM125" s="751"/>
      <c r="APN125" s="751"/>
      <c r="APO125" s="751"/>
      <c r="APP125" s="751"/>
      <c r="APQ125" s="751"/>
      <c r="APR125" s="751"/>
      <c r="APS125" s="751"/>
      <c r="APT125" s="751"/>
      <c r="APU125" s="751"/>
      <c r="APV125" s="751"/>
      <c r="APW125" s="751"/>
      <c r="APX125" s="751"/>
      <c r="APY125" s="751"/>
      <c r="APZ125" s="751"/>
      <c r="AQA125" s="751"/>
      <c r="AQB125" s="751"/>
      <c r="AQC125" s="751"/>
      <c r="AQD125" s="751"/>
      <c r="AQE125" s="751"/>
      <c r="AQF125" s="751"/>
      <c r="AQG125" s="751"/>
      <c r="AQH125" s="751"/>
      <c r="AQI125" s="751"/>
      <c r="AQJ125" s="751"/>
      <c r="AQK125" s="751"/>
      <c r="AQL125" s="751"/>
      <c r="AQM125" s="751"/>
      <c r="AQN125" s="751"/>
      <c r="AQO125" s="751"/>
      <c r="AQP125" s="751"/>
      <c r="AQQ125" s="751"/>
      <c r="AQR125" s="751"/>
      <c r="AQS125" s="751"/>
      <c r="AQT125" s="751"/>
      <c r="AQU125" s="751"/>
      <c r="AQV125" s="751"/>
      <c r="AQW125" s="751"/>
      <c r="AQX125" s="751"/>
      <c r="AQY125" s="751"/>
      <c r="AQZ125" s="751"/>
      <c r="ARA125" s="751"/>
      <c r="ARB125" s="751"/>
      <c r="ARC125" s="751"/>
      <c r="ARD125" s="751"/>
      <c r="ARE125" s="751"/>
      <c r="ARF125" s="751"/>
      <c r="ARG125" s="751"/>
      <c r="ARH125" s="751"/>
      <c r="ARI125" s="751"/>
      <c r="ARJ125" s="751"/>
      <c r="ARK125" s="751"/>
      <c r="ARL125" s="751"/>
      <c r="ARM125" s="751"/>
      <c r="ARN125" s="751"/>
      <c r="ARO125" s="751"/>
      <c r="ARP125" s="751"/>
      <c r="ARQ125" s="751"/>
      <c r="ARR125" s="751"/>
      <c r="ARS125" s="751"/>
      <c r="ART125" s="751"/>
      <c r="ARU125" s="751"/>
      <c r="ARV125" s="751"/>
      <c r="ARW125" s="751"/>
      <c r="ARX125" s="751"/>
      <c r="ARY125" s="751"/>
      <c r="ARZ125" s="751"/>
      <c r="ASA125" s="751"/>
      <c r="ASB125" s="751"/>
      <c r="ASC125" s="751"/>
      <c r="ASD125" s="751"/>
      <c r="ASE125" s="751"/>
      <c r="ASF125" s="751"/>
      <c r="ASG125" s="751"/>
      <c r="ASH125" s="751"/>
      <c r="ASI125" s="751"/>
      <c r="ASJ125" s="751"/>
      <c r="ASK125" s="751"/>
      <c r="ASL125" s="751"/>
      <c r="ASM125" s="751"/>
      <c r="ASN125" s="751"/>
      <c r="ASO125" s="751"/>
      <c r="ASP125" s="751"/>
      <c r="ASQ125" s="751"/>
      <c r="ASR125" s="751"/>
      <c r="ASS125" s="751"/>
      <c r="AST125" s="751"/>
      <c r="ASU125" s="751"/>
      <c r="ASV125" s="751"/>
      <c r="ASW125" s="751"/>
      <c r="ASX125" s="751"/>
      <c r="ASY125" s="751"/>
      <c r="ASZ125" s="751"/>
      <c r="ATA125" s="751"/>
      <c r="ATB125" s="751"/>
      <c r="ATC125" s="751"/>
      <c r="ATD125" s="751"/>
      <c r="ATE125" s="751"/>
      <c r="ATF125" s="751"/>
      <c r="ATG125" s="751"/>
      <c r="ATH125" s="751"/>
      <c r="ATI125" s="751"/>
      <c r="ATJ125" s="751"/>
      <c r="ATK125" s="751"/>
      <c r="ATL125" s="751"/>
      <c r="ATM125" s="751"/>
      <c r="ATN125" s="751"/>
      <c r="ATO125" s="751"/>
      <c r="ATP125" s="751"/>
      <c r="ATQ125" s="751"/>
      <c r="ATR125" s="751"/>
      <c r="ATS125" s="751"/>
      <c r="ATT125" s="751"/>
      <c r="ATU125" s="751"/>
      <c r="ATV125" s="751"/>
      <c r="ATW125" s="751"/>
      <c r="ATX125" s="751"/>
      <c r="ATY125" s="751"/>
      <c r="ATZ125" s="751"/>
      <c r="AUA125" s="751"/>
      <c r="AUB125" s="751"/>
      <c r="AUC125" s="751"/>
      <c r="AUD125" s="751"/>
      <c r="AUE125" s="751"/>
      <c r="AUF125" s="751"/>
      <c r="AUG125" s="751"/>
      <c r="AUH125" s="751"/>
      <c r="AUI125" s="751"/>
      <c r="AUJ125" s="751"/>
      <c r="AUK125" s="751"/>
      <c r="AUL125" s="751"/>
      <c r="AUM125" s="751"/>
      <c r="AUN125" s="751"/>
      <c r="AUO125" s="751"/>
      <c r="AUP125" s="751"/>
      <c r="AUQ125" s="751"/>
      <c r="AUR125" s="751"/>
      <c r="AUS125" s="751"/>
      <c r="AUT125" s="751"/>
      <c r="AUU125" s="751"/>
      <c r="AUV125" s="751"/>
      <c r="AUW125" s="751"/>
      <c r="AUX125" s="751"/>
      <c r="AUY125" s="751"/>
      <c r="AUZ125" s="751"/>
      <c r="AVA125" s="751"/>
      <c r="AVB125" s="751"/>
      <c r="AVC125" s="751"/>
      <c r="AVD125" s="751"/>
      <c r="AVE125" s="751"/>
      <c r="AVF125" s="751"/>
      <c r="AVG125" s="751"/>
      <c r="AVH125" s="751"/>
      <c r="AVI125" s="751"/>
      <c r="AVJ125" s="751"/>
      <c r="AVK125" s="751"/>
      <c r="AVL125" s="751"/>
      <c r="AVM125" s="751"/>
      <c r="AVN125" s="751"/>
      <c r="AVO125" s="751"/>
      <c r="AVP125" s="751"/>
      <c r="AVQ125" s="751"/>
      <c r="AVR125" s="751"/>
      <c r="AVS125" s="751"/>
      <c r="AVT125" s="751"/>
      <c r="AVU125" s="751"/>
      <c r="AVV125" s="751"/>
      <c r="AVW125" s="751"/>
      <c r="AVX125" s="751"/>
      <c r="AVY125" s="751"/>
      <c r="AVZ125" s="751"/>
      <c r="AWA125" s="751"/>
      <c r="AWB125" s="751"/>
      <c r="AWC125" s="751"/>
      <c r="AWD125" s="751"/>
      <c r="AWE125" s="751"/>
      <c r="AWF125" s="751"/>
      <c r="AWG125" s="751"/>
      <c r="AWH125" s="751"/>
      <c r="AWI125" s="751"/>
      <c r="AWJ125" s="751"/>
      <c r="AWK125" s="751"/>
      <c r="AWL125" s="751"/>
      <c r="AWM125" s="751"/>
      <c r="AWN125" s="751"/>
      <c r="AWO125" s="751"/>
      <c r="AWP125" s="751"/>
      <c r="AWQ125" s="751"/>
      <c r="AWR125" s="751"/>
      <c r="AWS125" s="751"/>
      <c r="AWT125" s="751"/>
      <c r="AWU125" s="751"/>
      <c r="AWV125" s="751"/>
      <c r="AWW125" s="751"/>
      <c r="AWX125" s="751"/>
      <c r="AWY125" s="751"/>
      <c r="AWZ125" s="751"/>
      <c r="AXA125" s="751"/>
      <c r="AXB125" s="751"/>
      <c r="AXC125" s="751"/>
      <c r="AXD125" s="751"/>
      <c r="AXE125" s="751"/>
      <c r="AXF125" s="751"/>
      <c r="AXG125" s="751"/>
      <c r="AXH125" s="751"/>
      <c r="AXI125" s="751"/>
      <c r="AXJ125" s="751"/>
      <c r="AXK125" s="751"/>
      <c r="AXL125" s="751"/>
      <c r="AXM125" s="751"/>
      <c r="AXN125" s="751"/>
      <c r="AXO125" s="751"/>
      <c r="AXP125" s="751"/>
      <c r="AXQ125" s="751"/>
      <c r="AXR125" s="751"/>
      <c r="AXS125" s="751"/>
      <c r="AXT125" s="751"/>
      <c r="AXU125" s="751"/>
      <c r="AXV125" s="751"/>
      <c r="AXW125" s="751"/>
      <c r="AXX125" s="751"/>
      <c r="AXY125" s="751"/>
      <c r="AXZ125" s="751"/>
      <c r="AYA125" s="751"/>
      <c r="AYB125" s="751"/>
      <c r="AYC125" s="751"/>
      <c r="AYD125" s="751"/>
      <c r="AYE125" s="751"/>
      <c r="AYF125" s="751"/>
      <c r="AYG125" s="751"/>
      <c r="AYH125" s="751"/>
      <c r="AYI125" s="751"/>
      <c r="AYJ125" s="751"/>
      <c r="AYK125" s="751"/>
      <c r="AYL125" s="751"/>
      <c r="AYM125" s="751"/>
      <c r="AYN125" s="751"/>
      <c r="AYO125" s="751"/>
      <c r="AYP125" s="751"/>
      <c r="AYQ125" s="751"/>
      <c r="AYR125" s="751"/>
      <c r="AYS125" s="751"/>
      <c r="AYT125" s="751"/>
      <c r="AYU125" s="751"/>
      <c r="AYV125" s="751"/>
      <c r="AYW125" s="751"/>
      <c r="AYX125" s="751"/>
      <c r="AYY125" s="751"/>
      <c r="AYZ125" s="751"/>
      <c r="AZA125" s="751"/>
      <c r="AZB125" s="751"/>
      <c r="AZC125" s="751"/>
      <c r="AZD125" s="751"/>
      <c r="AZE125" s="751"/>
      <c r="AZF125" s="751"/>
      <c r="AZG125" s="751"/>
      <c r="AZH125" s="751"/>
      <c r="AZI125" s="751"/>
      <c r="AZJ125" s="751"/>
      <c r="AZK125" s="751"/>
      <c r="AZL125" s="751"/>
      <c r="AZM125" s="751"/>
      <c r="AZN125" s="751"/>
      <c r="AZO125" s="751"/>
      <c r="AZP125" s="751"/>
      <c r="AZQ125" s="751"/>
      <c r="AZR125" s="751"/>
      <c r="AZS125" s="751"/>
      <c r="AZT125" s="751"/>
      <c r="AZU125" s="751"/>
      <c r="AZV125" s="751"/>
      <c r="AZW125" s="751"/>
      <c r="AZX125" s="751"/>
      <c r="AZY125" s="751"/>
      <c r="AZZ125" s="751"/>
      <c r="BAA125" s="751"/>
      <c r="BAB125" s="751"/>
      <c r="BAC125" s="751"/>
      <c r="BAD125" s="751"/>
      <c r="BAE125" s="751"/>
      <c r="BAF125" s="751"/>
      <c r="BAG125" s="751"/>
      <c r="BAH125" s="751"/>
      <c r="BAI125" s="751"/>
      <c r="BAJ125" s="751"/>
      <c r="BAK125" s="751"/>
      <c r="BAL125" s="751"/>
      <c r="BAM125" s="751"/>
      <c r="BAN125" s="751"/>
      <c r="BAO125" s="751"/>
      <c r="BAP125" s="751"/>
      <c r="BAQ125" s="751"/>
      <c r="BAR125" s="751"/>
      <c r="BAS125" s="751"/>
      <c r="BAT125" s="751"/>
      <c r="BAU125" s="751"/>
      <c r="BAV125" s="751"/>
      <c r="BAW125" s="751"/>
      <c r="BAX125" s="751"/>
      <c r="BAY125" s="751"/>
      <c r="BAZ125" s="751"/>
      <c r="BBA125" s="751"/>
      <c r="BBB125" s="751"/>
      <c r="BBC125" s="751"/>
      <c r="BBD125" s="751"/>
      <c r="BBE125" s="751"/>
      <c r="BBF125" s="751"/>
      <c r="BBG125" s="751"/>
      <c r="BBH125" s="751"/>
      <c r="BBI125" s="751"/>
      <c r="BBJ125" s="751"/>
      <c r="BBK125" s="751"/>
      <c r="BBL125" s="751"/>
      <c r="BBM125" s="751"/>
      <c r="BBN125" s="751"/>
      <c r="BBO125" s="751"/>
      <c r="BBP125" s="751"/>
      <c r="BBQ125" s="751"/>
      <c r="BBR125" s="751"/>
      <c r="BBS125" s="751"/>
      <c r="BBT125" s="751"/>
      <c r="BBU125" s="751"/>
      <c r="BBV125" s="751"/>
      <c r="BBW125" s="751"/>
      <c r="BBX125" s="751"/>
      <c r="BBY125" s="751"/>
      <c r="BBZ125" s="751"/>
      <c r="BCA125" s="751"/>
      <c r="BCB125" s="751"/>
      <c r="BCC125" s="751"/>
      <c r="BCD125" s="751"/>
      <c r="BCE125" s="751"/>
      <c r="BCF125" s="751"/>
      <c r="BCG125" s="751"/>
      <c r="BCH125" s="751"/>
      <c r="BCI125" s="751"/>
      <c r="BCJ125" s="751"/>
      <c r="BCK125" s="751"/>
      <c r="BCL125" s="751"/>
      <c r="BCM125" s="751"/>
      <c r="BCN125" s="751"/>
      <c r="BCO125" s="751"/>
      <c r="BCP125" s="751"/>
      <c r="BCQ125" s="751"/>
      <c r="BCR125" s="751"/>
      <c r="BCS125" s="751"/>
      <c r="BCT125" s="751"/>
      <c r="BCU125" s="751"/>
      <c r="BCV125" s="751"/>
      <c r="BCW125" s="751"/>
      <c r="BCX125" s="751"/>
      <c r="BCY125" s="751"/>
      <c r="BCZ125" s="751"/>
      <c r="BDA125" s="751"/>
      <c r="BDB125" s="751"/>
      <c r="BDC125" s="751"/>
      <c r="BDD125" s="751"/>
      <c r="BDE125" s="751"/>
      <c r="BDF125" s="751"/>
      <c r="BDG125" s="751"/>
      <c r="BDH125" s="751"/>
      <c r="BDI125" s="751"/>
      <c r="BDJ125" s="751"/>
      <c r="BDK125" s="751"/>
      <c r="BDL125" s="751"/>
      <c r="BDM125" s="751"/>
      <c r="BDN125" s="751"/>
      <c r="BDO125" s="751"/>
      <c r="BDP125" s="751"/>
      <c r="BDQ125" s="751"/>
      <c r="BDR125" s="751"/>
      <c r="BDS125" s="751"/>
      <c r="BDT125" s="751"/>
      <c r="BDU125" s="751"/>
      <c r="BDV125" s="751"/>
      <c r="BDW125" s="751"/>
      <c r="BDX125" s="751"/>
      <c r="BDY125" s="751"/>
      <c r="BDZ125" s="751"/>
      <c r="BEA125" s="751"/>
      <c r="BEB125" s="751"/>
      <c r="BEC125" s="751"/>
      <c r="BED125" s="751"/>
      <c r="BEE125" s="751"/>
      <c r="BEF125" s="751"/>
      <c r="BEG125" s="751"/>
      <c r="BEH125" s="751"/>
      <c r="BEI125" s="751"/>
      <c r="BEJ125" s="751"/>
      <c r="BEK125" s="751"/>
      <c r="BEL125" s="751"/>
      <c r="BEM125" s="751"/>
      <c r="BEN125" s="751"/>
      <c r="BEO125" s="751"/>
      <c r="BEP125" s="751"/>
      <c r="BEQ125" s="751"/>
      <c r="BER125" s="751"/>
      <c r="BES125" s="751"/>
      <c r="BET125" s="751"/>
      <c r="BEU125" s="751"/>
      <c r="BEV125" s="751"/>
      <c r="BEW125" s="751"/>
      <c r="BEX125" s="751"/>
      <c r="BEY125" s="751"/>
      <c r="BEZ125" s="751"/>
      <c r="BFA125" s="751"/>
      <c r="BFB125" s="751"/>
      <c r="BFC125" s="751"/>
      <c r="BFD125" s="751"/>
      <c r="BFE125" s="751"/>
      <c r="BFF125" s="751"/>
      <c r="BFG125" s="751"/>
      <c r="BFH125" s="751"/>
      <c r="BFI125" s="751"/>
      <c r="BFJ125" s="751"/>
      <c r="BFK125" s="751"/>
      <c r="BFL125" s="751"/>
      <c r="BFM125" s="751"/>
      <c r="BFN125" s="751"/>
      <c r="BFO125" s="751"/>
      <c r="BFP125" s="751"/>
      <c r="BFQ125" s="751"/>
      <c r="BFR125" s="751"/>
      <c r="BFS125" s="751"/>
      <c r="BFT125" s="751"/>
      <c r="BFU125" s="751"/>
      <c r="BFV125" s="751"/>
      <c r="BFW125" s="751"/>
      <c r="BFX125" s="751"/>
      <c r="BFY125" s="751"/>
      <c r="BFZ125" s="751"/>
      <c r="BGA125" s="751"/>
      <c r="BGB125" s="751"/>
      <c r="BGC125" s="751"/>
      <c r="BGD125" s="751"/>
      <c r="BGE125" s="751"/>
      <c r="BGF125" s="751"/>
      <c r="BGG125" s="751"/>
      <c r="BGH125" s="751"/>
      <c r="BGI125" s="751"/>
      <c r="BGJ125" s="751"/>
      <c r="BGK125" s="751"/>
      <c r="BGL125" s="751"/>
      <c r="BGM125" s="751"/>
      <c r="BGN125" s="751"/>
      <c r="BGO125" s="751"/>
      <c r="BGP125" s="751"/>
      <c r="BGQ125" s="751"/>
      <c r="BGR125" s="751"/>
      <c r="BGS125" s="751"/>
      <c r="BGT125" s="751"/>
      <c r="BGU125" s="751"/>
      <c r="BGV125" s="751"/>
      <c r="BGW125" s="751"/>
      <c r="BGX125" s="751"/>
      <c r="BGY125" s="751"/>
      <c r="BGZ125" s="751"/>
      <c r="BHA125" s="751"/>
      <c r="BHB125" s="751"/>
      <c r="BHC125" s="751"/>
      <c r="BHD125" s="751"/>
      <c r="BHE125" s="751"/>
      <c r="BHF125" s="751"/>
      <c r="BHG125" s="751"/>
      <c r="BHH125" s="751"/>
      <c r="BHI125" s="751"/>
      <c r="BHJ125" s="751"/>
      <c r="BHK125" s="751"/>
      <c r="BHL125" s="751"/>
      <c r="BHM125" s="751"/>
      <c r="BHN125" s="751"/>
      <c r="BHO125" s="751"/>
      <c r="BHP125" s="751"/>
      <c r="BHQ125" s="751"/>
      <c r="BHR125" s="751"/>
      <c r="BHS125" s="751"/>
      <c r="BHT125" s="751"/>
      <c r="BHU125" s="751"/>
      <c r="BHV125" s="751"/>
      <c r="BHW125" s="751"/>
      <c r="BHX125" s="751"/>
      <c r="BHY125" s="751"/>
      <c r="BHZ125" s="751"/>
      <c r="BIA125" s="751"/>
      <c r="BIB125" s="751"/>
      <c r="BIC125" s="751"/>
      <c r="BID125" s="751"/>
      <c r="BIE125" s="751"/>
      <c r="BIF125" s="751"/>
      <c r="BIG125" s="751"/>
      <c r="BIH125" s="751"/>
      <c r="BII125" s="751"/>
      <c r="BIJ125" s="751"/>
      <c r="BIK125" s="751"/>
      <c r="BIL125" s="751"/>
      <c r="BIM125" s="751"/>
      <c r="BIN125" s="751"/>
      <c r="BIO125" s="751"/>
      <c r="BIP125" s="751"/>
      <c r="BIQ125" s="751"/>
      <c r="BIR125" s="751"/>
      <c r="BIS125" s="751"/>
      <c r="BIT125" s="751"/>
      <c r="BIU125" s="751"/>
      <c r="BIV125" s="751"/>
      <c r="BIW125" s="751"/>
      <c r="BIX125" s="751"/>
      <c r="BIY125" s="751"/>
      <c r="BIZ125" s="751"/>
      <c r="BJA125" s="751"/>
      <c r="BJB125" s="751"/>
      <c r="BJC125" s="751"/>
      <c r="BJD125" s="751"/>
      <c r="BJE125" s="751"/>
      <c r="BJF125" s="751"/>
      <c r="BJG125" s="751"/>
      <c r="BJH125" s="751"/>
      <c r="BJI125" s="751"/>
      <c r="BJJ125" s="751"/>
      <c r="BJK125" s="751"/>
      <c r="BJL125" s="751"/>
      <c r="BJM125" s="751"/>
      <c r="BJN125" s="751"/>
      <c r="BJO125" s="751"/>
      <c r="BJP125" s="751"/>
      <c r="BJQ125" s="751"/>
      <c r="BJR125" s="751"/>
      <c r="BJS125" s="751"/>
      <c r="BJT125" s="751"/>
      <c r="BJU125" s="751"/>
      <c r="BJV125" s="751"/>
      <c r="BJW125" s="751"/>
      <c r="BJX125" s="751"/>
      <c r="BJY125" s="751"/>
      <c r="BJZ125" s="751"/>
      <c r="BKA125" s="751"/>
      <c r="BKB125" s="751"/>
      <c r="BKC125" s="751"/>
      <c r="BKD125" s="751"/>
      <c r="BKE125" s="751"/>
      <c r="BKF125" s="751"/>
      <c r="BKG125" s="751"/>
      <c r="BKH125" s="751"/>
      <c r="BKI125" s="751"/>
      <c r="BKJ125" s="751"/>
      <c r="BKK125" s="751"/>
      <c r="BKL125" s="751"/>
      <c r="BKM125" s="751"/>
      <c r="BKN125" s="751"/>
      <c r="BKO125" s="751"/>
      <c r="BKP125" s="751"/>
      <c r="BKQ125" s="751"/>
      <c r="BKR125" s="751"/>
      <c r="BKS125" s="751"/>
      <c r="BKT125" s="751"/>
      <c r="BKU125" s="751"/>
      <c r="BKV125" s="751"/>
      <c r="BKW125" s="751"/>
      <c r="BKX125" s="751"/>
      <c r="BKY125" s="751"/>
      <c r="BKZ125" s="751"/>
      <c r="BLA125" s="751"/>
      <c r="BLB125" s="751"/>
      <c r="BLC125" s="751"/>
      <c r="BLD125" s="751"/>
      <c r="BLE125" s="751"/>
      <c r="BLF125" s="751"/>
      <c r="BLG125" s="751"/>
      <c r="BLH125" s="751"/>
      <c r="BLI125" s="751"/>
      <c r="BLJ125" s="751"/>
      <c r="BLK125" s="751"/>
      <c r="BLL125" s="751"/>
      <c r="BLM125" s="751"/>
      <c r="BLN125" s="751"/>
      <c r="BLO125" s="751"/>
      <c r="BLP125" s="751"/>
      <c r="BLQ125" s="751"/>
      <c r="BLR125" s="751"/>
      <c r="BLS125" s="751"/>
      <c r="BLT125" s="751"/>
      <c r="BLU125" s="751"/>
      <c r="BLV125" s="751"/>
      <c r="BLW125" s="751"/>
      <c r="BLX125" s="751"/>
      <c r="BLY125" s="751"/>
      <c r="BLZ125" s="751"/>
      <c r="BMA125" s="751"/>
      <c r="BMB125" s="751"/>
      <c r="BMC125" s="751"/>
      <c r="BMD125" s="751"/>
      <c r="BME125" s="751"/>
      <c r="BMF125" s="751"/>
      <c r="BMG125" s="751"/>
      <c r="BMH125" s="751"/>
      <c r="BMI125" s="751"/>
      <c r="BMJ125" s="751"/>
      <c r="BMK125" s="751"/>
      <c r="BML125" s="751"/>
      <c r="BMM125" s="751"/>
      <c r="BMN125" s="751"/>
      <c r="BMO125" s="751"/>
      <c r="BMP125" s="751"/>
      <c r="BMQ125" s="751"/>
      <c r="BMR125" s="751"/>
      <c r="BMS125" s="751"/>
      <c r="BMT125" s="751"/>
      <c r="BMU125" s="751"/>
      <c r="BMV125" s="751"/>
      <c r="BMW125" s="751"/>
      <c r="BMX125" s="751"/>
      <c r="BMY125" s="751"/>
      <c r="BMZ125" s="751"/>
      <c r="BNA125" s="751"/>
      <c r="BNB125" s="751"/>
      <c r="BNC125" s="751"/>
      <c r="BND125" s="751"/>
      <c r="BNE125" s="751"/>
      <c r="BNF125" s="751"/>
      <c r="BNG125" s="751"/>
      <c r="BNH125" s="751"/>
      <c r="BNI125" s="751"/>
      <c r="BNJ125" s="751"/>
      <c r="BNK125" s="751"/>
      <c r="BNL125" s="751"/>
      <c r="BNM125" s="751"/>
      <c r="BNN125" s="751"/>
      <c r="BNO125" s="751"/>
      <c r="BNP125" s="751"/>
      <c r="BNQ125" s="751"/>
      <c r="BNR125" s="751"/>
      <c r="BNS125" s="751"/>
      <c r="BNT125" s="751"/>
      <c r="BNU125" s="751"/>
      <c r="BNV125" s="751"/>
      <c r="BNW125" s="751"/>
      <c r="BNX125" s="751"/>
      <c r="BNY125" s="751"/>
      <c r="BNZ125" s="751"/>
      <c r="BOA125" s="751"/>
      <c r="BOB125" s="751"/>
      <c r="BOC125" s="751"/>
      <c r="BOD125" s="751"/>
      <c r="BOE125" s="751"/>
      <c r="BOF125" s="751"/>
      <c r="BOG125" s="751"/>
      <c r="BOH125" s="751"/>
      <c r="BOI125" s="751"/>
      <c r="BOJ125" s="751"/>
      <c r="BOK125" s="751"/>
      <c r="BOL125" s="751"/>
      <c r="BOM125" s="751"/>
      <c r="BON125" s="751"/>
      <c r="BOO125" s="751"/>
      <c r="BOP125" s="751"/>
      <c r="BOQ125" s="751"/>
      <c r="BOR125" s="751"/>
      <c r="BOS125" s="751"/>
      <c r="BOT125" s="751"/>
      <c r="BOU125" s="751"/>
      <c r="BOV125" s="751"/>
      <c r="BOW125" s="751"/>
      <c r="BOX125" s="751"/>
      <c r="BOY125" s="751"/>
      <c r="BOZ125" s="751"/>
      <c r="BPA125" s="751"/>
      <c r="BPB125" s="751"/>
      <c r="BPC125" s="751"/>
      <c r="BPD125" s="751"/>
      <c r="BPE125" s="751"/>
      <c r="BPF125" s="751"/>
      <c r="BPG125" s="751"/>
      <c r="BPH125" s="751"/>
      <c r="BPI125" s="751"/>
      <c r="BPJ125" s="751"/>
      <c r="BPK125" s="751"/>
      <c r="BPL125" s="751"/>
      <c r="BPM125" s="751"/>
      <c r="BPN125" s="751"/>
      <c r="BPO125" s="751"/>
      <c r="BPP125" s="751"/>
      <c r="BPQ125" s="751"/>
      <c r="BPR125" s="751"/>
      <c r="BPS125" s="751"/>
      <c r="BPT125" s="751"/>
      <c r="BPU125" s="751"/>
      <c r="BPV125" s="751"/>
      <c r="BPW125" s="751"/>
      <c r="BPX125" s="751"/>
      <c r="BPY125" s="751"/>
      <c r="BPZ125" s="751"/>
      <c r="BQA125" s="751"/>
      <c r="BQB125" s="751"/>
      <c r="BQC125" s="751"/>
      <c r="BQD125" s="751"/>
      <c r="BQE125" s="751"/>
      <c r="BQF125" s="751"/>
      <c r="BQG125" s="751"/>
      <c r="BQH125" s="751"/>
      <c r="BQI125" s="751"/>
      <c r="BQJ125" s="751"/>
      <c r="BQK125" s="751"/>
      <c r="BQL125" s="751"/>
      <c r="BQM125" s="751"/>
      <c r="BQN125" s="751"/>
      <c r="BQO125" s="751"/>
      <c r="BQP125" s="751"/>
      <c r="BQQ125" s="751"/>
      <c r="BQR125" s="751"/>
      <c r="BQS125" s="751"/>
      <c r="BQT125" s="751"/>
      <c r="BQU125" s="751"/>
      <c r="BQV125" s="751"/>
      <c r="BQW125" s="751"/>
      <c r="BQX125" s="751"/>
      <c r="BQY125" s="751"/>
      <c r="BQZ125" s="751"/>
      <c r="BRA125" s="751"/>
      <c r="BRB125" s="751"/>
      <c r="BRC125" s="751"/>
      <c r="BRD125" s="751"/>
      <c r="BRE125" s="751"/>
      <c r="BRF125" s="751"/>
      <c r="BRG125" s="751"/>
      <c r="BRH125" s="751"/>
      <c r="BRI125" s="751"/>
      <c r="BRJ125" s="751"/>
      <c r="BRK125" s="751"/>
      <c r="BRL125" s="751"/>
      <c r="BRM125" s="751"/>
      <c r="BRN125" s="751"/>
      <c r="BRO125" s="751"/>
      <c r="BRP125" s="751"/>
      <c r="BRQ125" s="751"/>
      <c r="BRR125" s="751"/>
      <c r="BRS125" s="751"/>
      <c r="BRT125" s="751"/>
      <c r="BRU125" s="751"/>
      <c r="BRV125" s="751"/>
      <c r="BRW125" s="751"/>
      <c r="BRX125" s="751"/>
      <c r="BRY125" s="751"/>
      <c r="BRZ125" s="751"/>
      <c r="BSA125" s="751"/>
      <c r="BSB125" s="751"/>
      <c r="BSC125" s="751"/>
      <c r="BSD125" s="751"/>
      <c r="BSE125" s="751"/>
      <c r="BSF125" s="751"/>
      <c r="BSG125" s="751"/>
      <c r="BSH125" s="751"/>
      <c r="BSI125" s="751"/>
      <c r="BSJ125" s="751"/>
      <c r="BSK125" s="751"/>
      <c r="BSL125" s="751"/>
      <c r="BSM125" s="751"/>
      <c r="BSN125" s="751"/>
      <c r="BSO125" s="751"/>
      <c r="BSP125" s="751"/>
      <c r="BSQ125" s="751"/>
      <c r="BSR125" s="751"/>
      <c r="BSS125" s="751"/>
      <c r="BST125" s="751"/>
      <c r="BSU125" s="751"/>
      <c r="BSV125" s="751"/>
      <c r="BSW125" s="751"/>
      <c r="BSX125" s="751"/>
      <c r="BSY125" s="751"/>
      <c r="BSZ125" s="751"/>
      <c r="BTA125" s="751"/>
      <c r="BTB125" s="751"/>
      <c r="BTC125" s="751"/>
      <c r="BTD125" s="751"/>
      <c r="BTE125" s="751"/>
      <c r="BTF125" s="751"/>
      <c r="BTG125" s="751"/>
      <c r="BTH125" s="751"/>
      <c r="BTI125" s="751"/>
      <c r="BTJ125" s="751"/>
      <c r="BTK125" s="751"/>
      <c r="BTL125" s="751"/>
      <c r="BTM125" s="751"/>
      <c r="BTN125" s="751"/>
      <c r="BTO125" s="751"/>
      <c r="BTP125" s="751"/>
      <c r="BTQ125" s="751"/>
      <c r="BTR125" s="751"/>
      <c r="BTS125" s="751"/>
      <c r="BTT125" s="751"/>
      <c r="BTU125" s="751"/>
      <c r="BTV125" s="751"/>
      <c r="BTW125" s="751"/>
      <c r="BTX125" s="751"/>
      <c r="BTY125" s="751"/>
      <c r="BTZ125" s="751"/>
      <c r="BUA125" s="751"/>
      <c r="BUB125" s="751"/>
      <c r="BUC125" s="751"/>
      <c r="BUD125" s="751"/>
      <c r="BUE125" s="751"/>
      <c r="BUF125" s="751"/>
      <c r="BUG125" s="751"/>
      <c r="BUH125" s="751"/>
      <c r="BUI125" s="751"/>
      <c r="BUJ125" s="751"/>
      <c r="BUK125" s="751"/>
      <c r="BUL125" s="751"/>
      <c r="BUM125" s="751"/>
      <c r="BUN125" s="751"/>
      <c r="BUO125" s="751"/>
      <c r="BUP125" s="751"/>
      <c r="BUQ125" s="751"/>
      <c r="BUR125" s="751"/>
      <c r="BUS125" s="751"/>
      <c r="BUT125" s="751"/>
      <c r="BUU125" s="751"/>
      <c r="BUV125" s="751"/>
      <c r="BUW125" s="751"/>
      <c r="BUX125" s="751"/>
      <c r="BUY125" s="751"/>
      <c r="BUZ125" s="751"/>
      <c r="BVA125" s="751"/>
      <c r="BVB125" s="751"/>
      <c r="BVC125" s="751"/>
      <c r="BVD125" s="751"/>
      <c r="BVE125" s="751"/>
      <c r="BVF125" s="751"/>
      <c r="BVG125" s="751"/>
      <c r="BVH125" s="751"/>
      <c r="BVI125" s="751"/>
      <c r="BVJ125" s="751"/>
      <c r="BVK125" s="751"/>
      <c r="BVL125" s="751"/>
      <c r="BVM125" s="751"/>
      <c r="BVN125" s="751"/>
      <c r="BVO125" s="751"/>
      <c r="BVP125" s="751"/>
      <c r="BVQ125" s="751"/>
      <c r="BVR125" s="751"/>
      <c r="BVS125" s="751"/>
      <c r="BVT125" s="751"/>
      <c r="BVU125" s="751"/>
      <c r="BVV125" s="751"/>
      <c r="BVW125" s="751"/>
      <c r="BVX125" s="751"/>
      <c r="BVY125" s="751"/>
      <c r="BVZ125" s="751"/>
      <c r="BWA125" s="751"/>
      <c r="BWB125" s="751"/>
      <c r="BWC125" s="751"/>
      <c r="BWD125" s="751"/>
      <c r="BWE125" s="751"/>
      <c r="BWF125" s="751"/>
      <c r="BWG125" s="751"/>
      <c r="BWH125" s="751"/>
      <c r="BWI125" s="751"/>
      <c r="BWJ125" s="751"/>
      <c r="BWK125" s="751"/>
      <c r="BWL125" s="751"/>
      <c r="BWM125" s="751"/>
      <c r="BWN125" s="751"/>
      <c r="BWO125" s="751"/>
      <c r="BWP125" s="751"/>
      <c r="BWQ125" s="751"/>
      <c r="BWR125" s="751"/>
      <c r="BWS125" s="751"/>
      <c r="BWT125" s="751"/>
      <c r="BWU125" s="751"/>
      <c r="BWV125" s="751"/>
      <c r="BWW125" s="751"/>
      <c r="BWX125" s="751"/>
      <c r="BWY125" s="751"/>
      <c r="BWZ125" s="751"/>
      <c r="BXA125" s="751"/>
      <c r="BXB125" s="751"/>
      <c r="BXC125" s="751"/>
      <c r="BXD125" s="751"/>
      <c r="BXE125" s="751"/>
      <c r="BXF125" s="751"/>
      <c r="BXG125" s="751"/>
      <c r="BXH125" s="751"/>
      <c r="BXI125" s="751"/>
      <c r="BXJ125" s="751"/>
      <c r="BXK125" s="751"/>
      <c r="BXL125" s="751"/>
      <c r="BXM125" s="751"/>
      <c r="BXN125" s="751"/>
      <c r="BXO125" s="751"/>
      <c r="BXP125" s="751"/>
      <c r="BXQ125" s="751"/>
      <c r="BXR125" s="751"/>
      <c r="BXS125" s="751"/>
      <c r="BXT125" s="751"/>
      <c r="BXU125" s="751"/>
      <c r="BXV125" s="751"/>
      <c r="BXW125" s="751"/>
      <c r="BXX125" s="751"/>
      <c r="BXY125" s="751"/>
      <c r="BXZ125" s="751"/>
      <c r="BYA125" s="751"/>
      <c r="BYB125" s="751"/>
      <c r="BYC125" s="751"/>
      <c r="BYD125" s="751"/>
      <c r="BYE125" s="751"/>
      <c r="BYF125" s="751"/>
      <c r="BYG125" s="751"/>
      <c r="BYH125" s="751"/>
      <c r="BYI125" s="751"/>
      <c r="BYJ125" s="751"/>
      <c r="BYK125" s="751"/>
      <c r="BYL125" s="751"/>
      <c r="BYM125" s="751"/>
      <c r="BYN125" s="751"/>
      <c r="BYO125" s="751"/>
      <c r="BYP125" s="751"/>
      <c r="BYQ125" s="751"/>
      <c r="BYR125" s="751"/>
      <c r="BYS125" s="751"/>
      <c r="BYT125" s="751"/>
      <c r="BYU125" s="751"/>
      <c r="BYV125" s="751"/>
      <c r="BYW125" s="751"/>
      <c r="BYX125" s="751"/>
      <c r="BYY125" s="751"/>
      <c r="BYZ125" s="751"/>
      <c r="BZA125" s="751"/>
      <c r="BZB125" s="751"/>
      <c r="BZC125" s="751"/>
      <c r="BZD125" s="751"/>
      <c r="BZE125" s="751"/>
      <c r="BZF125" s="751"/>
      <c r="BZG125" s="751"/>
      <c r="BZH125" s="751"/>
      <c r="BZI125" s="751"/>
      <c r="BZJ125" s="751"/>
      <c r="BZK125" s="751"/>
      <c r="BZL125" s="751"/>
      <c r="BZM125" s="751"/>
      <c r="BZN125" s="751"/>
      <c r="BZO125" s="751"/>
      <c r="BZP125" s="751"/>
      <c r="BZQ125" s="751"/>
      <c r="BZR125" s="751"/>
      <c r="BZS125" s="751"/>
      <c r="BZT125" s="751"/>
      <c r="BZU125" s="751"/>
      <c r="BZV125" s="751"/>
      <c r="BZW125" s="751"/>
      <c r="BZX125" s="751"/>
      <c r="BZY125" s="751"/>
      <c r="BZZ125" s="751"/>
      <c r="CAA125" s="751"/>
      <c r="CAB125" s="751"/>
      <c r="CAC125" s="751"/>
      <c r="CAD125" s="751"/>
      <c r="CAE125" s="751"/>
      <c r="CAF125" s="751"/>
      <c r="CAG125" s="751"/>
      <c r="CAH125" s="751"/>
      <c r="CAI125" s="751"/>
      <c r="CAJ125" s="751"/>
      <c r="CAK125" s="751"/>
      <c r="CAL125" s="751"/>
      <c r="CAM125" s="751"/>
      <c r="CAN125" s="751"/>
      <c r="CAO125" s="751"/>
      <c r="CAP125" s="751"/>
      <c r="CAQ125" s="751"/>
      <c r="CAR125" s="751"/>
      <c r="CAS125" s="751"/>
      <c r="CAT125" s="751"/>
      <c r="CAU125" s="751"/>
      <c r="CAV125" s="751"/>
      <c r="CAW125" s="751"/>
      <c r="CAX125" s="751"/>
      <c r="CAY125" s="751"/>
      <c r="CAZ125" s="751"/>
      <c r="CBA125" s="751"/>
      <c r="CBB125" s="751"/>
      <c r="CBC125" s="751"/>
      <c r="CBD125" s="751"/>
      <c r="CBE125" s="751"/>
      <c r="CBF125" s="751"/>
      <c r="CBG125" s="751"/>
      <c r="CBH125" s="751"/>
      <c r="CBI125" s="751"/>
      <c r="CBJ125" s="751"/>
      <c r="CBK125" s="751"/>
      <c r="CBL125" s="751"/>
      <c r="CBM125" s="751"/>
      <c r="CBN125" s="751"/>
      <c r="CBO125" s="751"/>
      <c r="CBP125" s="751"/>
      <c r="CBQ125" s="751"/>
      <c r="CBR125" s="751"/>
      <c r="CBS125" s="751"/>
      <c r="CBT125" s="751"/>
      <c r="CBU125" s="751"/>
      <c r="CBV125" s="751"/>
      <c r="CBW125" s="751"/>
      <c r="CBX125" s="751"/>
      <c r="CBY125" s="751"/>
      <c r="CBZ125" s="751"/>
      <c r="CCA125" s="751"/>
      <c r="CCB125" s="751"/>
      <c r="CCC125" s="751"/>
      <c r="CCD125" s="751"/>
      <c r="CCE125" s="751"/>
      <c r="CCF125" s="751"/>
      <c r="CCG125" s="751"/>
      <c r="CCH125" s="751"/>
      <c r="CCI125" s="751"/>
      <c r="CCJ125" s="751"/>
      <c r="CCK125" s="751"/>
      <c r="CCL125" s="751"/>
      <c r="CCM125" s="751"/>
      <c r="CCN125" s="751"/>
      <c r="CCO125" s="751"/>
      <c r="CCP125" s="751"/>
      <c r="CCQ125" s="751"/>
      <c r="CCR125" s="751"/>
      <c r="CCS125" s="751"/>
      <c r="CCT125" s="751"/>
      <c r="CCU125" s="751"/>
      <c r="CCV125" s="751"/>
      <c r="CCW125" s="751"/>
      <c r="CCX125" s="751"/>
      <c r="CCY125" s="751"/>
      <c r="CCZ125" s="751"/>
      <c r="CDA125" s="751"/>
      <c r="CDB125" s="751"/>
      <c r="CDC125" s="751"/>
      <c r="CDD125" s="751"/>
      <c r="CDE125" s="751"/>
      <c r="CDF125" s="751"/>
      <c r="CDG125" s="751"/>
      <c r="CDH125" s="751"/>
      <c r="CDI125" s="751"/>
      <c r="CDJ125" s="751"/>
      <c r="CDK125" s="751"/>
      <c r="CDL125" s="751"/>
      <c r="CDM125" s="751"/>
      <c r="CDN125" s="751"/>
      <c r="CDO125" s="751"/>
      <c r="CDP125" s="751"/>
      <c r="CDQ125" s="751"/>
      <c r="CDR125" s="751"/>
      <c r="CDS125" s="751"/>
      <c r="CDT125" s="751"/>
      <c r="CDU125" s="751"/>
      <c r="CDV125" s="751"/>
      <c r="CDW125" s="751"/>
      <c r="CDX125" s="751"/>
      <c r="CDY125" s="751"/>
      <c r="CDZ125" s="751"/>
      <c r="CEA125" s="751"/>
      <c r="CEB125" s="751"/>
      <c r="CEC125" s="751"/>
      <c r="CED125" s="751"/>
      <c r="CEE125" s="751"/>
      <c r="CEF125" s="751"/>
      <c r="CEG125" s="751"/>
      <c r="CEH125" s="751"/>
      <c r="CEI125" s="751"/>
      <c r="CEJ125" s="751"/>
      <c r="CEK125" s="751"/>
      <c r="CEL125" s="751"/>
      <c r="CEM125" s="751"/>
      <c r="CEN125" s="751"/>
      <c r="CEO125" s="751"/>
      <c r="CEP125" s="751"/>
      <c r="CEQ125" s="751"/>
      <c r="CER125" s="751"/>
      <c r="CES125" s="751"/>
      <c r="CET125" s="751"/>
      <c r="CEU125" s="751"/>
      <c r="CEV125" s="751"/>
      <c r="CEW125" s="751"/>
      <c r="CEX125" s="751"/>
      <c r="CEY125" s="751"/>
      <c r="CEZ125" s="751"/>
      <c r="CFA125" s="751"/>
      <c r="CFB125" s="751"/>
      <c r="CFC125" s="751"/>
      <c r="CFD125" s="751"/>
      <c r="CFE125" s="751"/>
      <c r="CFF125" s="751"/>
      <c r="CFG125" s="751"/>
      <c r="CFH125" s="751"/>
      <c r="CFI125" s="751"/>
      <c r="CFJ125" s="751"/>
      <c r="CFK125" s="751"/>
      <c r="CFL125" s="751"/>
      <c r="CFM125" s="751"/>
      <c r="CFN125" s="751"/>
      <c r="CFO125" s="751"/>
      <c r="CFP125" s="751"/>
      <c r="CFQ125" s="751"/>
      <c r="CFR125" s="751"/>
      <c r="CFS125" s="751"/>
      <c r="CFT125" s="751"/>
      <c r="CFU125" s="751"/>
      <c r="CFV125" s="751"/>
      <c r="CFW125" s="751"/>
      <c r="CFX125" s="751"/>
      <c r="CFY125" s="751"/>
      <c r="CFZ125" s="751"/>
      <c r="CGA125" s="751"/>
      <c r="CGB125" s="751"/>
      <c r="CGC125" s="751"/>
      <c r="CGD125" s="751"/>
      <c r="CGE125" s="751"/>
      <c r="CGF125" s="751"/>
      <c r="CGG125" s="751"/>
      <c r="CGH125" s="751"/>
      <c r="CGI125" s="751"/>
      <c r="CGJ125" s="751"/>
      <c r="CGK125" s="751"/>
      <c r="CGL125" s="751"/>
      <c r="CGM125" s="751"/>
      <c r="CGN125" s="751"/>
      <c r="CGO125" s="751"/>
      <c r="CGP125" s="751"/>
      <c r="CGQ125" s="751"/>
      <c r="CGR125" s="751"/>
      <c r="CGS125" s="751"/>
      <c r="CGT125" s="751"/>
      <c r="CGU125" s="751"/>
      <c r="CGV125" s="751"/>
      <c r="CGW125" s="751"/>
      <c r="CGX125" s="751"/>
      <c r="CGY125" s="751"/>
      <c r="CGZ125" s="751"/>
      <c r="CHA125" s="751"/>
      <c r="CHB125" s="751"/>
      <c r="CHC125" s="751"/>
      <c r="CHD125" s="751"/>
      <c r="CHE125" s="751"/>
      <c r="CHF125" s="751"/>
      <c r="CHG125" s="751"/>
      <c r="CHH125" s="751"/>
      <c r="CHI125" s="751"/>
      <c r="CHJ125" s="751"/>
      <c r="CHK125" s="751"/>
      <c r="CHL125" s="751"/>
      <c r="CHM125" s="751"/>
      <c r="CHN125" s="751"/>
      <c r="CHO125" s="751"/>
      <c r="CHP125" s="751"/>
      <c r="CHQ125" s="751"/>
      <c r="CHR125" s="751"/>
      <c r="CHS125" s="751"/>
      <c r="CHT125" s="751"/>
      <c r="CHU125" s="751"/>
      <c r="CHV125" s="751"/>
      <c r="CHW125" s="751"/>
      <c r="CHX125" s="751"/>
      <c r="CHY125" s="751"/>
      <c r="CHZ125" s="751"/>
      <c r="CIA125" s="751"/>
      <c r="CIB125" s="751"/>
      <c r="CIC125" s="751"/>
      <c r="CID125" s="751"/>
      <c r="CIE125" s="751"/>
      <c r="CIF125" s="751"/>
      <c r="CIG125" s="751"/>
      <c r="CIH125" s="751"/>
      <c r="CII125" s="751"/>
      <c r="CIJ125" s="751"/>
      <c r="CIK125" s="751"/>
      <c r="CIL125" s="751"/>
      <c r="CIM125" s="751"/>
      <c r="CIN125" s="751"/>
      <c r="CIO125" s="751"/>
      <c r="CIP125" s="751"/>
      <c r="CIQ125" s="751"/>
      <c r="CIR125" s="751"/>
      <c r="CIS125" s="751"/>
      <c r="CIT125" s="751"/>
      <c r="CIU125" s="751"/>
      <c r="CIV125" s="751"/>
      <c r="CIW125" s="751"/>
      <c r="CIX125" s="751"/>
      <c r="CIY125" s="751"/>
      <c r="CIZ125" s="751"/>
      <c r="CJA125" s="751"/>
      <c r="CJB125" s="751"/>
      <c r="CJC125" s="751"/>
      <c r="CJD125" s="751"/>
      <c r="CJE125" s="751"/>
      <c r="CJF125" s="751"/>
      <c r="CJG125" s="751"/>
      <c r="CJH125" s="751"/>
      <c r="CJI125" s="751"/>
      <c r="CJJ125" s="751"/>
      <c r="CJK125" s="751"/>
      <c r="CJL125" s="751"/>
      <c r="CJM125" s="751"/>
      <c r="CJN125" s="751"/>
      <c r="CJO125" s="751"/>
      <c r="CJP125" s="751"/>
      <c r="CJQ125" s="751"/>
      <c r="CJR125" s="751"/>
      <c r="CJS125" s="751"/>
      <c r="CJT125" s="751"/>
      <c r="CJU125" s="751"/>
      <c r="CJV125" s="751"/>
      <c r="CJW125" s="751"/>
      <c r="CJX125" s="751"/>
      <c r="CJY125" s="751"/>
      <c r="CJZ125" s="751"/>
      <c r="CKA125" s="751"/>
      <c r="CKB125" s="751"/>
      <c r="CKC125" s="751"/>
      <c r="CKD125" s="751"/>
      <c r="CKE125" s="751"/>
      <c r="CKF125" s="751"/>
      <c r="CKG125" s="751"/>
      <c r="CKH125" s="751"/>
      <c r="CKI125" s="751"/>
      <c r="CKJ125" s="751"/>
      <c r="CKK125" s="751"/>
      <c r="CKL125" s="751"/>
      <c r="CKM125" s="751"/>
      <c r="CKN125" s="751"/>
      <c r="CKO125" s="751"/>
      <c r="CKP125" s="751"/>
      <c r="CKQ125" s="751"/>
      <c r="CKR125" s="751"/>
      <c r="CKS125" s="751"/>
      <c r="CKT125" s="751"/>
      <c r="CKU125" s="751"/>
      <c r="CKV125" s="751"/>
      <c r="CKW125" s="751"/>
      <c r="CKX125" s="751"/>
      <c r="CKY125" s="751"/>
      <c r="CKZ125" s="751"/>
      <c r="CLA125" s="751"/>
      <c r="CLB125" s="751"/>
      <c r="CLC125" s="751"/>
      <c r="CLD125" s="751"/>
      <c r="CLE125" s="751"/>
      <c r="CLF125" s="751"/>
      <c r="CLG125" s="751"/>
      <c r="CLH125" s="751"/>
      <c r="CLI125" s="751"/>
      <c r="CLJ125" s="751"/>
      <c r="CLK125" s="751"/>
      <c r="CLL125" s="751"/>
      <c r="CLM125" s="751"/>
      <c r="CLN125" s="751"/>
      <c r="CLO125" s="751"/>
      <c r="CLP125" s="751"/>
      <c r="CLQ125" s="751"/>
      <c r="CLR125" s="751"/>
      <c r="CLS125" s="751"/>
      <c r="CLT125" s="751"/>
      <c r="CLU125" s="751"/>
      <c r="CLV125" s="751"/>
      <c r="CLW125" s="751"/>
      <c r="CLX125" s="751"/>
      <c r="CLY125" s="751"/>
      <c r="CLZ125" s="751"/>
      <c r="CMA125" s="751"/>
      <c r="CMB125" s="751"/>
      <c r="CMC125" s="751"/>
      <c r="CMD125" s="751"/>
      <c r="CME125" s="751"/>
      <c r="CMF125" s="751"/>
      <c r="CMG125" s="751"/>
      <c r="CMH125" s="751"/>
      <c r="CMI125" s="751"/>
      <c r="CMJ125" s="751"/>
      <c r="CMK125" s="751"/>
      <c r="CML125" s="751"/>
      <c r="CMM125" s="751"/>
      <c r="CMN125" s="751"/>
      <c r="CMO125" s="751"/>
      <c r="CMP125" s="751"/>
      <c r="CMQ125" s="751"/>
      <c r="CMR125" s="751"/>
      <c r="CMS125" s="751"/>
      <c r="CMT125" s="751"/>
      <c r="CMU125" s="751"/>
      <c r="CMV125" s="751"/>
      <c r="CMW125" s="751"/>
      <c r="CMX125" s="751"/>
      <c r="CMY125" s="751"/>
      <c r="CMZ125" s="751"/>
      <c r="CNA125" s="751"/>
      <c r="CNB125" s="751"/>
      <c r="CNC125" s="751"/>
      <c r="CND125" s="751"/>
      <c r="CNE125" s="751"/>
      <c r="CNF125" s="751"/>
      <c r="CNG125" s="751"/>
      <c r="CNH125" s="751"/>
      <c r="CNI125" s="751"/>
      <c r="CNJ125" s="751"/>
      <c r="CNK125" s="751"/>
      <c r="CNL125" s="751"/>
      <c r="CNM125" s="751"/>
      <c r="CNN125" s="751"/>
      <c r="CNO125" s="751"/>
      <c r="CNP125" s="751"/>
      <c r="CNQ125" s="751"/>
      <c r="CNR125" s="751"/>
      <c r="CNS125" s="751"/>
      <c r="CNT125" s="751"/>
      <c r="CNU125" s="751"/>
      <c r="CNV125" s="751"/>
      <c r="CNW125" s="751"/>
      <c r="CNX125" s="751"/>
      <c r="CNY125" s="751"/>
      <c r="CNZ125" s="751"/>
      <c r="COA125" s="751"/>
      <c r="COB125" s="751"/>
      <c r="COC125" s="751"/>
      <c r="COD125" s="751"/>
      <c r="COE125" s="751"/>
      <c r="COF125" s="751"/>
      <c r="COG125" s="751"/>
      <c r="COH125" s="751"/>
      <c r="COI125" s="751"/>
      <c r="COJ125" s="751"/>
      <c r="COK125" s="751"/>
      <c r="COL125" s="751"/>
      <c r="COM125" s="751"/>
      <c r="CON125" s="751"/>
      <c r="COO125" s="751"/>
      <c r="COP125" s="751"/>
      <c r="COQ125" s="751"/>
      <c r="COR125" s="751"/>
      <c r="COS125" s="751"/>
      <c r="COT125" s="751"/>
      <c r="COU125" s="751"/>
      <c r="COV125" s="751"/>
      <c r="COW125" s="751"/>
      <c r="COX125" s="751"/>
      <c r="COY125" s="751"/>
      <c r="COZ125" s="751"/>
      <c r="CPA125" s="751"/>
      <c r="CPB125" s="751"/>
      <c r="CPC125" s="751"/>
      <c r="CPD125" s="751"/>
      <c r="CPE125" s="751"/>
      <c r="CPF125" s="751"/>
      <c r="CPG125" s="751"/>
      <c r="CPH125" s="751"/>
      <c r="CPI125" s="751"/>
      <c r="CPJ125" s="751"/>
      <c r="CPK125" s="751"/>
      <c r="CPL125" s="751"/>
      <c r="CPM125" s="751"/>
      <c r="CPN125" s="751"/>
      <c r="CPO125" s="751"/>
      <c r="CPP125" s="751"/>
      <c r="CPQ125" s="751"/>
      <c r="CPR125" s="751"/>
      <c r="CPS125" s="751"/>
      <c r="CPT125" s="751"/>
      <c r="CPU125" s="751"/>
      <c r="CPV125" s="751"/>
      <c r="CPW125" s="751"/>
      <c r="CPX125" s="751"/>
      <c r="CPY125" s="751"/>
      <c r="CPZ125" s="751"/>
      <c r="CQA125" s="751"/>
      <c r="CQB125" s="751"/>
      <c r="CQC125" s="751"/>
      <c r="CQD125" s="751"/>
      <c r="CQE125" s="751"/>
      <c r="CQF125" s="751"/>
      <c r="CQG125" s="751"/>
      <c r="CQH125" s="751"/>
      <c r="CQI125" s="751"/>
      <c r="CQJ125" s="751"/>
      <c r="CQK125" s="751"/>
      <c r="CQL125" s="751"/>
      <c r="CQM125" s="751"/>
      <c r="CQN125" s="751"/>
      <c r="CQO125" s="751"/>
      <c r="CQP125" s="751"/>
      <c r="CQQ125" s="751"/>
      <c r="CQR125" s="751"/>
      <c r="CQS125" s="751"/>
      <c r="CQT125" s="751"/>
      <c r="CQU125" s="751"/>
      <c r="CQV125" s="751"/>
      <c r="CQW125" s="751"/>
      <c r="CQX125" s="751"/>
      <c r="CQY125" s="751"/>
      <c r="CQZ125" s="751"/>
      <c r="CRA125" s="751"/>
      <c r="CRB125" s="751"/>
      <c r="CRC125" s="751"/>
      <c r="CRD125" s="751"/>
      <c r="CRE125" s="751"/>
      <c r="CRF125" s="751"/>
      <c r="CRG125" s="751"/>
      <c r="CRH125" s="751"/>
      <c r="CRI125" s="751"/>
      <c r="CRJ125" s="751"/>
      <c r="CRK125" s="751"/>
      <c r="CRL125" s="751"/>
      <c r="CRM125" s="751"/>
      <c r="CRN125" s="751"/>
      <c r="CRO125" s="751"/>
      <c r="CRP125" s="751"/>
      <c r="CRQ125" s="751"/>
      <c r="CRR125" s="751"/>
      <c r="CRS125" s="751"/>
      <c r="CRT125" s="751"/>
      <c r="CRU125" s="751"/>
      <c r="CRV125" s="751"/>
      <c r="CRW125" s="751"/>
      <c r="CRX125" s="751"/>
      <c r="CRY125" s="751"/>
      <c r="CRZ125" s="751"/>
      <c r="CSA125" s="751"/>
      <c r="CSB125" s="751"/>
      <c r="CSC125" s="751"/>
      <c r="CSD125" s="751"/>
      <c r="CSE125" s="751"/>
      <c r="CSF125" s="751"/>
      <c r="CSG125" s="751"/>
      <c r="CSH125" s="751"/>
      <c r="CSI125" s="751"/>
      <c r="CSJ125" s="751"/>
      <c r="CSK125" s="751"/>
      <c r="CSL125" s="751"/>
      <c r="CSM125" s="751"/>
      <c r="CSN125" s="751"/>
      <c r="CSO125" s="751"/>
      <c r="CSP125" s="751"/>
      <c r="CSQ125" s="751"/>
      <c r="CSR125" s="751"/>
      <c r="CSS125" s="751"/>
      <c r="CST125" s="751"/>
      <c r="CSU125" s="751"/>
      <c r="CSV125" s="751"/>
      <c r="CSW125" s="751"/>
      <c r="CSX125" s="751"/>
      <c r="CSY125" s="751"/>
      <c r="CSZ125" s="751"/>
      <c r="CTA125" s="751"/>
      <c r="CTB125" s="751"/>
      <c r="CTC125" s="751"/>
      <c r="CTD125" s="751"/>
      <c r="CTE125" s="751"/>
      <c r="CTF125" s="751"/>
      <c r="CTG125" s="751"/>
      <c r="CTH125" s="751"/>
      <c r="CTI125" s="751"/>
      <c r="CTJ125" s="751"/>
      <c r="CTK125" s="751"/>
      <c r="CTL125" s="751"/>
      <c r="CTM125" s="751"/>
      <c r="CTN125" s="751"/>
      <c r="CTO125" s="751"/>
      <c r="CTP125" s="751"/>
      <c r="CTQ125" s="751"/>
      <c r="CTR125" s="751"/>
      <c r="CTS125" s="751"/>
      <c r="CTT125" s="751"/>
      <c r="CTU125" s="751"/>
      <c r="CTV125" s="751"/>
      <c r="CTW125" s="751"/>
      <c r="CTX125" s="751"/>
      <c r="CTY125" s="751"/>
      <c r="CTZ125" s="751"/>
      <c r="CUA125" s="751"/>
      <c r="CUB125" s="751"/>
      <c r="CUC125" s="751"/>
      <c r="CUD125" s="751"/>
      <c r="CUE125" s="751"/>
      <c r="CUF125" s="751"/>
      <c r="CUG125" s="751"/>
      <c r="CUH125" s="751"/>
      <c r="CUI125" s="751"/>
      <c r="CUJ125" s="751"/>
      <c r="CUK125" s="751"/>
      <c r="CUL125" s="751"/>
      <c r="CUM125" s="751"/>
      <c r="CUN125" s="751"/>
      <c r="CUO125" s="751"/>
      <c r="CUP125" s="751"/>
      <c r="CUQ125" s="751"/>
      <c r="CUR125" s="751"/>
      <c r="CUS125" s="751"/>
      <c r="CUT125" s="751"/>
      <c r="CUU125" s="751"/>
      <c r="CUV125" s="751"/>
      <c r="CUW125" s="751"/>
      <c r="CUX125" s="751"/>
      <c r="CUY125" s="751"/>
      <c r="CUZ125" s="751"/>
      <c r="CVA125" s="751"/>
      <c r="CVB125" s="751"/>
      <c r="CVC125" s="751"/>
      <c r="CVD125" s="751"/>
      <c r="CVE125" s="751"/>
      <c r="CVF125" s="751"/>
      <c r="CVG125" s="751"/>
      <c r="CVH125" s="751"/>
      <c r="CVI125" s="751"/>
      <c r="CVJ125" s="751"/>
      <c r="CVK125" s="751"/>
      <c r="CVL125" s="751"/>
      <c r="CVM125" s="751"/>
      <c r="CVN125" s="751"/>
      <c r="CVO125" s="751"/>
      <c r="CVP125" s="751"/>
      <c r="CVQ125" s="751"/>
      <c r="CVR125" s="751"/>
      <c r="CVS125" s="751"/>
      <c r="CVT125" s="751"/>
      <c r="CVU125" s="751"/>
      <c r="CVV125" s="751"/>
      <c r="CVW125" s="751"/>
      <c r="CVX125" s="751"/>
      <c r="CVY125" s="751"/>
      <c r="CVZ125" s="751"/>
      <c r="CWA125" s="751"/>
      <c r="CWB125" s="751"/>
      <c r="CWC125" s="751"/>
      <c r="CWD125" s="751"/>
      <c r="CWE125" s="751"/>
      <c r="CWF125" s="751"/>
      <c r="CWG125" s="751"/>
      <c r="CWH125" s="751"/>
      <c r="CWI125" s="751"/>
      <c r="CWJ125" s="751"/>
      <c r="CWK125" s="751"/>
      <c r="CWL125" s="751"/>
      <c r="CWM125" s="751"/>
      <c r="CWN125" s="751"/>
      <c r="CWO125" s="751"/>
      <c r="CWP125" s="751"/>
      <c r="CWQ125" s="751"/>
      <c r="CWR125" s="751"/>
      <c r="CWS125" s="751"/>
      <c r="CWT125" s="751"/>
      <c r="CWU125" s="751"/>
      <c r="CWV125" s="751"/>
      <c r="CWW125" s="751"/>
      <c r="CWX125" s="751"/>
      <c r="CWY125" s="751"/>
      <c r="CWZ125" s="751"/>
      <c r="CXA125" s="751"/>
      <c r="CXB125" s="751"/>
      <c r="CXC125" s="751"/>
      <c r="CXD125" s="751"/>
      <c r="CXE125" s="751"/>
      <c r="CXF125" s="751"/>
      <c r="CXG125" s="751"/>
      <c r="CXH125" s="751"/>
      <c r="CXI125" s="751"/>
      <c r="CXJ125" s="751"/>
      <c r="CXK125" s="751"/>
      <c r="CXL125" s="751"/>
      <c r="CXM125" s="751"/>
      <c r="CXN125" s="751"/>
      <c r="CXO125" s="751"/>
      <c r="CXP125" s="751"/>
      <c r="CXQ125" s="751"/>
      <c r="CXR125" s="751"/>
      <c r="CXS125" s="751"/>
      <c r="CXT125" s="751"/>
      <c r="CXU125" s="751"/>
      <c r="CXV125" s="751"/>
      <c r="CXW125" s="751"/>
      <c r="CXX125" s="751"/>
      <c r="CXY125" s="751"/>
      <c r="CXZ125" s="751"/>
      <c r="CYA125" s="751"/>
      <c r="CYB125" s="751"/>
      <c r="CYC125" s="751"/>
      <c r="CYD125" s="751"/>
      <c r="CYE125" s="751"/>
      <c r="CYF125" s="751"/>
      <c r="CYG125" s="751"/>
      <c r="CYH125" s="751"/>
      <c r="CYI125" s="751"/>
      <c r="CYJ125" s="751"/>
      <c r="CYK125" s="751"/>
      <c r="CYL125" s="751"/>
      <c r="CYM125" s="751"/>
      <c r="CYN125" s="751"/>
      <c r="CYO125" s="751"/>
      <c r="CYP125" s="751"/>
      <c r="CYQ125" s="751"/>
      <c r="CYR125" s="751"/>
      <c r="CYS125" s="751"/>
      <c r="CYT125" s="751"/>
      <c r="CYU125" s="751"/>
      <c r="CYV125" s="751"/>
      <c r="CYW125" s="751"/>
      <c r="CYX125" s="751"/>
      <c r="CYY125" s="751"/>
      <c r="CYZ125" s="751"/>
      <c r="CZA125" s="751"/>
      <c r="CZB125" s="751"/>
      <c r="CZC125" s="751"/>
      <c r="CZD125" s="751"/>
      <c r="CZE125" s="751"/>
      <c r="CZF125" s="751"/>
      <c r="CZG125" s="751"/>
      <c r="CZH125" s="751"/>
      <c r="CZI125" s="751"/>
      <c r="CZJ125" s="751"/>
      <c r="CZK125" s="751"/>
      <c r="CZL125" s="751"/>
      <c r="CZM125" s="751"/>
      <c r="CZN125" s="751"/>
      <c r="CZO125" s="751"/>
      <c r="CZP125" s="751"/>
      <c r="CZQ125" s="751"/>
      <c r="CZR125" s="751"/>
      <c r="CZS125" s="751"/>
      <c r="CZT125" s="751"/>
      <c r="CZU125" s="751"/>
      <c r="CZV125" s="751"/>
      <c r="CZW125" s="751"/>
      <c r="CZX125" s="751"/>
      <c r="CZY125" s="751"/>
      <c r="CZZ125" s="751"/>
      <c r="DAA125" s="751"/>
      <c r="DAB125" s="751"/>
      <c r="DAC125" s="751"/>
      <c r="DAD125" s="751"/>
      <c r="DAE125" s="751"/>
      <c r="DAF125" s="751"/>
      <c r="DAG125" s="751"/>
      <c r="DAH125" s="751"/>
      <c r="DAI125" s="751"/>
      <c r="DAJ125" s="751"/>
      <c r="DAK125" s="751"/>
      <c r="DAL125" s="751"/>
      <c r="DAM125" s="751"/>
      <c r="DAN125" s="751"/>
      <c r="DAO125" s="751"/>
      <c r="DAP125" s="751"/>
      <c r="DAQ125" s="751"/>
      <c r="DAR125" s="751"/>
      <c r="DAS125" s="751"/>
      <c r="DAT125" s="751"/>
      <c r="DAU125" s="751"/>
      <c r="DAV125" s="751"/>
      <c r="DAW125" s="751"/>
      <c r="DAX125" s="751"/>
      <c r="DAY125" s="751"/>
      <c r="DAZ125" s="751"/>
      <c r="DBA125" s="751"/>
      <c r="DBB125" s="751"/>
      <c r="DBC125" s="751"/>
      <c r="DBD125" s="751"/>
      <c r="DBE125" s="751"/>
      <c r="DBF125" s="751"/>
      <c r="DBG125" s="751"/>
      <c r="DBH125" s="751"/>
      <c r="DBI125" s="751"/>
      <c r="DBJ125" s="751"/>
      <c r="DBK125" s="751"/>
      <c r="DBL125" s="751"/>
      <c r="DBM125" s="751"/>
      <c r="DBN125" s="751"/>
      <c r="DBO125" s="751"/>
      <c r="DBP125" s="751"/>
      <c r="DBQ125" s="751"/>
      <c r="DBR125" s="751"/>
      <c r="DBS125" s="751"/>
      <c r="DBT125" s="751"/>
      <c r="DBU125" s="751"/>
      <c r="DBV125" s="751"/>
      <c r="DBW125" s="751"/>
      <c r="DBX125" s="751"/>
      <c r="DBY125" s="751"/>
      <c r="DBZ125" s="751"/>
      <c r="DCA125" s="751"/>
      <c r="DCB125" s="751"/>
      <c r="DCC125" s="751"/>
      <c r="DCD125" s="751"/>
      <c r="DCE125" s="751"/>
      <c r="DCF125" s="751"/>
      <c r="DCG125" s="751"/>
      <c r="DCH125" s="751"/>
      <c r="DCI125" s="751"/>
      <c r="DCJ125" s="751"/>
      <c r="DCK125" s="751"/>
      <c r="DCL125" s="751"/>
      <c r="DCM125" s="751"/>
      <c r="DCN125" s="751"/>
      <c r="DCO125" s="751"/>
      <c r="DCP125" s="751"/>
      <c r="DCQ125" s="751"/>
      <c r="DCR125" s="751"/>
      <c r="DCS125" s="751"/>
      <c r="DCT125" s="751"/>
      <c r="DCU125" s="751"/>
      <c r="DCV125" s="751"/>
      <c r="DCW125" s="751"/>
      <c r="DCX125" s="751"/>
      <c r="DCY125" s="751"/>
      <c r="DCZ125" s="751"/>
      <c r="DDA125" s="751"/>
      <c r="DDB125" s="751"/>
      <c r="DDC125" s="751"/>
      <c r="DDD125" s="751"/>
      <c r="DDE125" s="751"/>
      <c r="DDF125" s="751"/>
      <c r="DDG125" s="751"/>
      <c r="DDH125" s="751"/>
      <c r="DDI125" s="751"/>
      <c r="DDJ125" s="751"/>
      <c r="DDK125" s="751"/>
      <c r="DDL125" s="751"/>
      <c r="DDM125" s="751"/>
      <c r="DDN125" s="751"/>
      <c r="DDO125" s="751"/>
      <c r="DDP125" s="751"/>
      <c r="DDQ125" s="751"/>
      <c r="DDR125" s="751"/>
      <c r="DDS125" s="751"/>
      <c r="DDT125" s="751"/>
      <c r="DDU125" s="751"/>
      <c r="DDV125" s="751"/>
      <c r="DDW125" s="751"/>
      <c r="DDX125" s="751"/>
      <c r="DDY125" s="751"/>
      <c r="DDZ125" s="751"/>
      <c r="DEA125" s="751"/>
      <c r="DEB125" s="751"/>
      <c r="DEC125" s="751"/>
      <c r="DED125" s="751"/>
      <c r="DEE125" s="751"/>
      <c r="DEF125" s="751"/>
      <c r="DEG125" s="751"/>
      <c r="DEH125" s="751"/>
      <c r="DEI125" s="751"/>
      <c r="DEJ125" s="751"/>
      <c r="DEK125" s="751"/>
      <c r="DEL125" s="751"/>
      <c r="DEM125" s="751"/>
      <c r="DEN125" s="751"/>
      <c r="DEO125" s="751"/>
      <c r="DEP125" s="751"/>
      <c r="DEQ125" s="751"/>
      <c r="DER125" s="751"/>
      <c r="DES125" s="751"/>
      <c r="DET125" s="751"/>
      <c r="DEU125" s="751"/>
      <c r="DEV125" s="751"/>
      <c r="DEW125" s="751"/>
      <c r="DEX125" s="751"/>
      <c r="DEY125" s="751"/>
      <c r="DEZ125" s="751"/>
      <c r="DFA125" s="751"/>
      <c r="DFB125" s="751"/>
      <c r="DFC125" s="751"/>
      <c r="DFD125" s="751"/>
      <c r="DFE125" s="751"/>
      <c r="DFF125" s="751"/>
      <c r="DFG125" s="751"/>
      <c r="DFH125" s="751"/>
      <c r="DFI125" s="751"/>
      <c r="DFJ125" s="751"/>
      <c r="DFK125" s="751"/>
      <c r="DFL125" s="751"/>
      <c r="DFM125" s="751"/>
      <c r="DFN125" s="751"/>
      <c r="DFO125" s="751"/>
      <c r="DFP125" s="751"/>
      <c r="DFQ125" s="751"/>
      <c r="DFR125" s="751"/>
      <c r="DFS125" s="751"/>
      <c r="DFT125" s="751"/>
      <c r="DFU125" s="751"/>
      <c r="DFV125" s="751"/>
      <c r="DFW125" s="751"/>
      <c r="DFX125" s="751"/>
      <c r="DFY125" s="751"/>
      <c r="DFZ125" s="751"/>
      <c r="DGA125" s="751"/>
      <c r="DGB125" s="751"/>
      <c r="DGC125" s="751"/>
      <c r="DGD125" s="751"/>
      <c r="DGE125" s="751"/>
      <c r="DGF125" s="751"/>
      <c r="DGG125" s="751"/>
      <c r="DGH125" s="751"/>
      <c r="DGI125" s="751"/>
      <c r="DGJ125" s="751"/>
      <c r="DGK125" s="751"/>
      <c r="DGL125" s="751"/>
      <c r="DGM125" s="751"/>
      <c r="DGN125" s="751"/>
      <c r="DGO125" s="751"/>
      <c r="DGP125" s="751"/>
      <c r="DGQ125" s="751"/>
      <c r="DGR125" s="751"/>
      <c r="DGS125" s="751"/>
      <c r="DGT125" s="751"/>
      <c r="DGU125" s="751"/>
      <c r="DGV125" s="751"/>
      <c r="DGW125" s="751"/>
      <c r="DGX125" s="751"/>
      <c r="DGY125" s="751"/>
      <c r="DGZ125" s="751"/>
      <c r="DHA125" s="751"/>
      <c r="DHB125" s="751"/>
      <c r="DHC125" s="751"/>
      <c r="DHD125" s="751"/>
      <c r="DHE125" s="751"/>
      <c r="DHF125" s="751"/>
      <c r="DHG125" s="751"/>
      <c r="DHH125" s="751"/>
      <c r="DHI125" s="751"/>
      <c r="DHJ125" s="751"/>
      <c r="DHK125" s="751"/>
      <c r="DHL125" s="751"/>
      <c r="DHM125" s="751"/>
      <c r="DHN125" s="751"/>
      <c r="DHO125" s="751"/>
      <c r="DHP125" s="751"/>
      <c r="DHQ125" s="751"/>
      <c r="DHR125" s="751"/>
      <c r="DHS125" s="751"/>
      <c r="DHT125" s="751"/>
      <c r="DHU125" s="751"/>
      <c r="DHV125" s="751"/>
      <c r="DHW125" s="751"/>
      <c r="DHX125" s="751"/>
      <c r="DHY125" s="751"/>
      <c r="DHZ125" s="751"/>
      <c r="DIA125" s="751"/>
      <c r="DIB125" s="751"/>
      <c r="DIC125" s="751"/>
      <c r="DID125" s="751"/>
      <c r="DIE125" s="751"/>
      <c r="DIF125" s="751"/>
      <c r="DIG125" s="751"/>
      <c r="DIH125" s="751"/>
      <c r="DII125" s="751"/>
      <c r="DIJ125" s="751"/>
      <c r="DIK125" s="751"/>
      <c r="DIL125" s="751"/>
      <c r="DIM125" s="751"/>
      <c r="DIN125" s="751"/>
      <c r="DIO125" s="751"/>
      <c r="DIP125" s="751"/>
      <c r="DIQ125" s="751"/>
      <c r="DIR125" s="751"/>
      <c r="DIS125" s="751"/>
      <c r="DIT125" s="751"/>
      <c r="DIU125" s="751"/>
      <c r="DIV125" s="751"/>
      <c r="DIW125" s="751"/>
      <c r="DIX125" s="751"/>
      <c r="DIY125" s="751"/>
      <c r="DIZ125" s="751"/>
      <c r="DJA125" s="751"/>
      <c r="DJB125" s="751"/>
      <c r="DJC125" s="751"/>
      <c r="DJD125" s="751"/>
      <c r="DJE125" s="751"/>
      <c r="DJF125" s="751"/>
      <c r="DJG125" s="751"/>
      <c r="DJH125" s="751"/>
      <c r="DJI125" s="751"/>
      <c r="DJJ125" s="751"/>
      <c r="DJK125" s="751"/>
      <c r="DJL125" s="751"/>
      <c r="DJM125" s="751"/>
      <c r="DJN125" s="751"/>
      <c r="DJO125" s="751"/>
      <c r="DJP125" s="751"/>
      <c r="DJQ125" s="751"/>
      <c r="DJR125" s="751"/>
      <c r="DJS125" s="751"/>
      <c r="DJT125" s="751"/>
      <c r="DJU125" s="751"/>
      <c r="DJV125" s="751"/>
      <c r="DJW125" s="751"/>
      <c r="DJX125" s="751"/>
      <c r="DJY125" s="751"/>
      <c r="DJZ125" s="751"/>
      <c r="DKA125" s="751"/>
      <c r="DKB125" s="751"/>
      <c r="DKC125" s="751"/>
      <c r="DKD125" s="751"/>
      <c r="DKE125" s="751"/>
      <c r="DKF125" s="751"/>
      <c r="DKG125" s="751"/>
      <c r="DKH125" s="751"/>
      <c r="DKI125" s="751"/>
      <c r="DKJ125" s="751"/>
      <c r="DKK125" s="751"/>
      <c r="DKL125" s="751"/>
      <c r="DKM125" s="751"/>
      <c r="DKN125" s="751"/>
      <c r="DKO125" s="751"/>
      <c r="DKP125" s="751"/>
      <c r="DKQ125" s="751"/>
      <c r="DKR125" s="751"/>
      <c r="DKS125" s="751"/>
      <c r="DKT125" s="751"/>
      <c r="DKU125" s="751"/>
      <c r="DKV125" s="751"/>
      <c r="DKW125" s="751"/>
      <c r="DKX125" s="751"/>
      <c r="DKY125" s="751"/>
      <c r="DKZ125" s="751"/>
      <c r="DLA125" s="751"/>
      <c r="DLB125" s="751"/>
      <c r="DLC125" s="751"/>
      <c r="DLD125" s="751"/>
      <c r="DLE125" s="751"/>
      <c r="DLF125" s="751"/>
      <c r="DLG125" s="751"/>
      <c r="DLH125" s="751"/>
      <c r="DLI125" s="751"/>
      <c r="DLJ125" s="751"/>
      <c r="DLK125" s="751"/>
      <c r="DLL125" s="751"/>
      <c r="DLM125" s="751"/>
      <c r="DLN125" s="751"/>
      <c r="DLO125" s="751"/>
      <c r="DLP125" s="751"/>
      <c r="DLQ125" s="751"/>
      <c r="DLR125" s="751"/>
      <c r="DLS125" s="751"/>
      <c r="DLT125" s="751"/>
      <c r="DLU125" s="751"/>
      <c r="DLV125" s="751"/>
      <c r="DLW125" s="751"/>
      <c r="DLX125" s="751"/>
      <c r="DLY125" s="751"/>
      <c r="DLZ125" s="751"/>
      <c r="DMA125" s="751"/>
      <c r="DMB125" s="751"/>
      <c r="DMC125" s="751"/>
      <c r="DMD125" s="751"/>
      <c r="DME125" s="751"/>
      <c r="DMF125" s="751"/>
      <c r="DMG125" s="751"/>
      <c r="DMH125" s="751"/>
      <c r="DMI125" s="751"/>
      <c r="DMJ125" s="751"/>
      <c r="DMK125" s="751"/>
      <c r="DML125" s="751"/>
      <c r="DMM125" s="751"/>
      <c r="DMN125" s="751"/>
      <c r="DMO125" s="751"/>
      <c r="DMP125" s="751"/>
      <c r="DMQ125" s="751"/>
      <c r="DMR125" s="751"/>
      <c r="DMS125" s="751"/>
      <c r="DMT125" s="751"/>
      <c r="DMU125" s="751"/>
      <c r="DMV125" s="751"/>
      <c r="DMW125" s="751"/>
      <c r="DMX125" s="751"/>
      <c r="DMY125" s="751"/>
      <c r="DMZ125" s="751"/>
      <c r="DNA125" s="751"/>
      <c r="DNB125" s="751"/>
      <c r="DNC125" s="751"/>
      <c r="DND125" s="751"/>
      <c r="DNE125" s="751"/>
      <c r="DNF125" s="751"/>
      <c r="DNG125" s="751"/>
      <c r="DNH125" s="751"/>
      <c r="DNI125" s="751"/>
      <c r="DNJ125" s="751"/>
      <c r="DNK125" s="751"/>
      <c r="DNL125" s="751"/>
      <c r="DNM125" s="751"/>
      <c r="DNN125" s="751"/>
      <c r="DNO125" s="751"/>
      <c r="DNP125" s="751"/>
      <c r="DNQ125" s="751"/>
      <c r="DNR125" s="751"/>
      <c r="DNS125" s="751"/>
      <c r="DNT125" s="751"/>
      <c r="DNU125" s="751"/>
      <c r="DNV125" s="751"/>
      <c r="DNW125" s="751"/>
      <c r="DNX125" s="751"/>
      <c r="DNY125" s="751"/>
      <c r="DNZ125" s="751"/>
      <c r="DOA125" s="751"/>
      <c r="DOB125" s="751"/>
      <c r="DOC125" s="751"/>
      <c r="DOD125" s="751"/>
      <c r="DOE125" s="751"/>
      <c r="DOF125" s="751"/>
      <c r="DOG125" s="751"/>
      <c r="DOH125" s="751"/>
      <c r="DOI125" s="751"/>
      <c r="DOJ125" s="751"/>
      <c r="DOK125" s="751"/>
      <c r="DOL125" s="751"/>
      <c r="DOM125" s="751"/>
      <c r="DON125" s="751"/>
      <c r="DOO125" s="751"/>
      <c r="DOP125" s="751"/>
      <c r="DOQ125" s="751"/>
      <c r="DOR125" s="751"/>
      <c r="DOS125" s="751"/>
      <c r="DOT125" s="751"/>
      <c r="DOU125" s="751"/>
      <c r="DOV125" s="751"/>
      <c r="DOW125" s="751"/>
      <c r="DOX125" s="751"/>
      <c r="DOY125" s="751"/>
      <c r="DOZ125" s="751"/>
      <c r="DPA125" s="751"/>
      <c r="DPB125" s="751"/>
      <c r="DPC125" s="751"/>
      <c r="DPD125" s="751"/>
      <c r="DPE125" s="751"/>
      <c r="DPF125" s="751"/>
      <c r="DPG125" s="751"/>
      <c r="DPH125" s="751"/>
      <c r="DPI125" s="751"/>
      <c r="DPJ125" s="751"/>
      <c r="DPK125" s="751"/>
      <c r="DPL125" s="751"/>
      <c r="DPM125" s="751"/>
      <c r="DPN125" s="751"/>
      <c r="DPO125" s="751"/>
      <c r="DPP125" s="751"/>
      <c r="DPQ125" s="751"/>
      <c r="DPR125" s="751"/>
      <c r="DPS125" s="751"/>
      <c r="DPT125" s="751"/>
      <c r="DPU125" s="751"/>
      <c r="DPV125" s="751"/>
      <c r="DPW125" s="751"/>
      <c r="DPX125" s="751"/>
      <c r="DPY125" s="751"/>
      <c r="DPZ125" s="751"/>
      <c r="DQA125" s="751"/>
      <c r="DQB125" s="751"/>
      <c r="DQC125" s="751"/>
      <c r="DQD125" s="751"/>
      <c r="DQE125" s="751"/>
      <c r="DQF125" s="751"/>
      <c r="DQG125" s="751"/>
      <c r="DQH125" s="751"/>
      <c r="DQI125" s="751"/>
      <c r="DQJ125" s="751"/>
      <c r="DQK125" s="751"/>
      <c r="DQL125" s="751"/>
      <c r="DQM125" s="751"/>
      <c r="DQN125" s="751"/>
      <c r="DQO125" s="751"/>
      <c r="DQP125" s="751"/>
      <c r="DQQ125" s="751"/>
      <c r="DQR125" s="751"/>
      <c r="DQS125" s="751"/>
      <c r="DQT125" s="751"/>
      <c r="DQU125" s="751"/>
      <c r="DQV125" s="751"/>
      <c r="DQW125" s="751"/>
      <c r="DQX125" s="751"/>
      <c r="DQY125" s="751"/>
      <c r="DQZ125" s="751"/>
      <c r="DRA125" s="751"/>
      <c r="DRB125" s="751"/>
      <c r="DRC125" s="751"/>
      <c r="DRD125" s="751"/>
      <c r="DRE125" s="751"/>
      <c r="DRF125" s="751"/>
      <c r="DRG125" s="751"/>
      <c r="DRH125" s="751"/>
      <c r="DRI125" s="751"/>
      <c r="DRJ125" s="751"/>
      <c r="DRK125" s="751"/>
      <c r="DRL125" s="751"/>
      <c r="DRM125" s="751"/>
      <c r="DRN125" s="751"/>
      <c r="DRO125" s="751"/>
      <c r="DRP125" s="751"/>
      <c r="DRQ125" s="751"/>
      <c r="DRR125" s="751"/>
      <c r="DRS125" s="751"/>
      <c r="DRT125" s="751"/>
      <c r="DRU125" s="751"/>
      <c r="DRV125" s="751"/>
      <c r="DRW125" s="751"/>
      <c r="DRX125" s="751"/>
      <c r="DRY125" s="751"/>
      <c r="DRZ125" s="751"/>
      <c r="DSA125" s="751"/>
      <c r="DSB125" s="751"/>
      <c r="DSC125" s="751"/>
      <c r="DSD125" s="751"/>
      <c r="DSE125" s="751"/>
      <c r="DSF125" s="751"/>
      <c r="DSG125" s="751"/>
      <c r="DSH125" s="751"/>
      <c r="DSI125" s="751"/>
      <c r="DSJ125" s="751"/>
      <c r="DSK125" s="751"/>
      <c r="DSL125" s="751"/>
      <c r="DSM125" s="751"/>
      <c r="DSN125" s="751"/>
      <c r="DSO125" s="751"/>
      <c r="DSP125" s="751"/>
      <c r="DSQ125" s="751"/>
      <c r="DSR125" s="751"/>
      <c r="DSS125" s="751"/>
      <c r="DST125" s="751"/>
      <c r="DSU125" s="751"/>
      <c r="DSV125" s="751"/>
      <c r="DSW125" s="751"/>
      <c r="DSX125" s="751"/>
      <c r="DSY125" s="751"/>
      <c r="DSZ125" s="751"/>
      <c r="DTA125" s="751"/>
      <c r="DTB125" s="751"/>
      <c r="DTC125" s="751"/>
      <c r="DTD125" s="751"/>
      <c r="DTE125" s="751"/>
      <c r="DTF125" s="751"/>
      <c r="DTG125" s="751"/>
      <c r="DTH125" s="751"/>
      <c r="DTI125" s="751"/>
      <c r="DTJ125" s="751"/>
      <c r="DTK125" s="751"/>
      <c r="DTL125" s="751"/>
      <c r="DTM125" s="751"/>
      <c r="DTN125" s="751"/>
      <c r="DTO125" s="751"/>
      <c r="DTP125" s="751"/>
      <c r="DTQ125" s="751"/>
      <c r="DTR125" s="751"/>
      <c r="DTS125" s="751"/>
      <c r="DTT125" s="751"/>
      <c r="DTU125" s="751"/>
      <c r="DTV125" s="751"/>
      <c r="DTW125" s="751"/>
      <c r="DTX125" s="751"/>
      <c r="DTY125" s="751"/>
      <c r="DTZ125" s="751"/>
      <c r="DUA125" s="751"/>
      <c r="DUB125" s="751"/>
      <c r="DUC125" s="751"/>
      <c r="DUD125" s="751"/>
      <c r="DUE125" s="751"/>
      <c r="DUF125" s="751"/>
      <c r="DUG125" s="751"/>
      <c r="DUH125" s="751"/>
      <c r="DUI125" s="751"/>
      <c r="DUJ125" s="751"/>
      <c r="DUK125" s="751"/>
      <c r="DUL125" s="751"/>
      <c r="DUM125" s="751"/>
      <c r="DUN125" s="751"/>
      <c r="DUO125" s="751"/>
      <c r="DUP125" s="751"/>
      <c r="DUQ125" s="751"/>
      <c r="DUR125" s="751"/>
      <c r="DUS125" s="751"/>
      <c r="DUT125" s="751"/>
      <c r="DUU125" s="751"/>
      <c r="DUV125" s="751"/>
      <c r="DUW125" s="751"/>
      <c r="DUX125" s="751"/>
      <c r="DUY125" s="751"/>
      <c r="DUZ125" s="751"/>
      <c r="DVA125" s="751"/>
      <c r="DVB125" s="751"/>
      <c r="DVC125" s="751"/>
      <c r="DVD125" s="751"/>
      <c r="DVE125" s="751"/>
      <c r="DVF125" s="751"/>
      <c r="DVG125" s="751"/>
      <c r="DVH125" s="751"/>
      <c r="DVI125" s="751"/>
      <c r="DVJ125" s="751"/>
      <c r="DVK125" s="751"/>
      <c r="DVL125" s="751"/>
      <c r="DVM125" s="751"/>
      <c r="DVN125" s="751"/>
      <c r="DVO125" s="751"/>
      <c r="DVP125" s="751"/>
      <c r="DVQ125" s="751"/>
      <c r="DVR125" s="751"/>
      <c r="DVS125" s="751"/>
      <c r="DVT125" s="751"/>
      <c r="DVU125" s="751"/>
      <c r="DVV125" s="751"/>
      <c r="DVW125" s="751"/>
      <c r="DVX125" s="751"/>
      <c r="DVY125" s="751"/>
      <c r="DVZ125" s="751"/>
      <c r="DWA125" s="751"/>
      <c r="DWB125" s="751"/>
      <c r="DWC125" s="751"/>
      <c r="DWD125" s="751"/>
      <c r="DWE125" s="751"/>
      <c r="DWF125" s="751"/>
      <c r="DWG125" s="751"/>
      <c r="DWH125" s="751"/>
      <c r="DWI125" s="751"/>
      <c r="DWJ125" s="751"/>
      <c r="DWK125" s="751"/>
      <c r="DWL125" s="751"/>
      <c r="DWM125" s="751"/>
      <c r="DWN125" s="751"/>
      <c r="DWO125" s="751"/>
      <c r="DWP125" s="751"/>
      <c r="DWQ125" s="751"/>
      <c r="DWR125" s="751"/>
      <c r="DWS125" s="751"/>
      <c r="DWT125" s="751"/>
      <c r="DWU125" s="751"/>
      <c r="DWV125" s="751"/>
      <c r="DWW125" s="751"/>
      <c r="DWX125" s="751"/>
      <c r="DWY125" s="751"/>
      <c r="DWZ125" s="751"/>
      <c r="DXA125" s="751"/>
      <c r="DXB125" s="751"/>
      <c r="DXC125" s="751"/>
      <c r="DXD125" s="751"/>
      <c r="DXE125" s="751"/>
      <c r="DXF125" s="751"/>
      <c r="DXG125" s="751"/>
      <c r="DXH125" s="751"/>
      <c r="DXI125" s="751"/>
      <c r="DXJ125" s="751"/>
      <c r="DXK125" s="751"/>
      <c r="DXL125" s="751"/>
      <c r="DXM125" s="751"/>
      <c r="DXN125" s="751"/>
      <c r="DXO125" s="751"/>
      <c r="DXP125" s="751"/>
      <c r="DXQ125" s="751"/>
      <c r="DXR125" s="751"/>
      <c r="DXS125" s="751"/>
      <c r="DXT125" s="751"/>
      <c r="DXU125" s="751"/>
      <c r="DXV125" s="751"/>
      <c r="DXW125" s="751"/>
      <c r="DXX125" s="751"/>
      <c r="DXY125" s="751"/>
      <c r="DXZ125" s="751"/>
      <c r="DYA125" s="751"/>
      <c r="DYB125" s="751"/>
      <c r="DYC125" s="751"/>
      <c r="DYD125" s="751"/>
      <c r="DYE125" s="751"/>
      <c r="DYF125" s="751"/>
      <c r="DYG125" s="751"/>
      <c r="DYH125" s="751"/>
      <c r="DYI125" s="751"/>
      <c r="DYJ125" s="751"/>
      <c r="DYK125" s="751"/>
      <c r="DYL125" s="751"/>
      <c r="DYM125" s="751"/>
      <c r="DYN125" s="751"/>
      <c r="DYO125" s="751"/>
      <c r="DYP125" s="751"/>
      <c r="DYQ125" s="751"/>
      <c r="DYR125" s="751"/>
      <c r="DYS125" s="751"/>
      <c r="DYT125" s="751"/>
      <c r="DYU125" s="751"/>
      <c r="DYV125" s="751"/>
      <c r="DYW125" s="751"/>
      <c r="DYX125" s="751"/>
      <c r="DYY125" s="751"/>
      <c r="DYZ125" s="751"/>
      <c r="DZA125" s="751"/>
      <c r="DZB125" s="751"/>
      <c r="DZC125" s="751"/>
      <c r="DZD125" s="751"/>
      <c r="DZE125" s="751"/>
      <c r="DZF125" s="751"/>
      <c r="DZG125" s="751"/>
      <c r="DZH125" s="751"/>
      <c r="DZI125" s="751"/>
      <c r="DZJ125" s="751"/>
      <c r="DZK125" s="751"/>
      <c r="DZL125" s="751"/>
      <c r="DZM125" s="751"/>
      <c r="DZN125" s="751"/>
      <c r="DZO125" s="751"/>
      <c r="DZP125" s="751"/>
      <c r="DZQ125" s="751"/>
      <c r="DZR125" s="751"/>
      <c r="DZS125" s="751"/>
      <c r="DZT125" s="751"/>
      <c r="DZU125" s="751"/>
      <c r="DZV125" s="751"/>
      <c r="DZW125" s="751"/>
      <c r="DZX125" s="751"/>
      <c r="DZY125" s="751"/>
      <c r="DZZ125" s="751"/>
      <c r="EAA125" s="751"/>
      <c r="EAB125" s="751"/>
      <c r="EAC125" s="751"/>
      <c r="EAD125" s="751"/>
      <c r="EAE125" s="751"/>
      <c r="EAF125" s="751"/>
      <c r="EAG125" s="751"/>
      <c r="EAH125" s="751"/>
      <c r="EAI125" s="751"/>
      <c r="EAJ125" s="751"/>
      <c r="EAK125" s="751"/>
      <c r="EAL125" s="751"/>
      <c r="EAM125" s="751"/>
      <c r="EAN125" s="751"/>
      <c r="EAO125" s="751"/>
      <c r="EAP125" s="751"/>
      <c r="EAQ125" s="751"/>
      <c r="EAR125" s="751"/>
      <c r="EAS125" s="751"/>
      <c r="EAT125" s="751"/>
      <c r="EAU125" s="751"/>
      <c r="EAV125" s="751"/>
      <c r="EAW125" s="751"/>
      <c r="EAX125" s="751"/>
      <c r="EAY125" s="751"/>
      <c r="EAZ125" s="751"/>
      <c r="EBA125" s="751"/>
      <c r="EBB125" s="751"/>
      <c r="EBC125" s="751"/>
      <c r="EBD125" s="751"/>
      <c r="EBE125" s="751"/>
      <c r="EBF125" s="751"/>
      <c r="EBG125" s="751"/>
      <c r="EBH125" s="751"/>
      <c r="EBI125" s="751"/>
      <c r="EBJ125" s="751"/>
      <c r="EBK125" s="751"/>
      <c r="EBL125" s="751"/>
      <c r="EBM125" s="751"/>
      <c r="EBN125" s="751"/>
      <c r="EBO125" s="751"/>
      <c r="EBP125" s="751"/>
      <c r="EBQ125" s="751"/>
      <c r="EBR125" s="751"/>
      <c r="EBS125" s="751"/>
      <c r="EBT125" s="751"/>
      <c r="EBU125" s="751"/>
      <c r="EBV125" s="751"/>
      <c r="EBW125" s="751"/>
      <c r="EBX125" s="751"/>
      <c r="EBY125" s="751"/>
      <c r="EBZ125" s="751"/>
      <c r="ECA125" s="751"/>
      <c r="ECB125" s="751"/>
      <c r="ECC125" s="751"/>
      <c r="ECD125" s="751"/>
      <c r="ECE125" s="751"/>
      <c r="ECF125" s="751"/>
      <c r="ECG125" s="751"/>
      <c r="ECH125" s="751"/>
      <c r="ECI125" s="751"/>
      <c r="ECJ125" s="751"/>
      <c r="ECK125" s="751"/>
      <c r="ECL125" s="751"/>
      <c r="ECM125" s="751"/>
      <c r="ECN125" s="751"/>
      <c r="ECO125" s="751"/>
      <c r="ECP125" s="751"/>
      <c r="ECQ125" s="751"/>
      <c r="ECR125" s="751"/>
      <c r="ECS125" s="751"/>
      <c r="ECT125" s="751"/>
      <c r="ECU125" s="751"/>
      <c r="ECV125" s="751"/>
      <c r="ECW125" s="751"/>
      <c r="ECX125" s="751"/>
      <c r="ECY125" s="751"/>
      <c r="ECZ125" s="751"/>
      <c r="EDA125" s="751"/>
      <c r="EDB125" s="751"/>
      <c r="EDC125" s="751"/>
      <c r="EDD125" s="751"/>
      <c r="EDE125" s="751"/>
      <c r="EDF125" s="751"/>
      <c r="EDG125" s="751"/>
      <c r="EDH125" s="751"/>
      <c r="EDI125" s="751"/>
      <c r="EDJ125" s="751"/>
      <c r="EDK125" s="751"/>
      <c r="EDL125" s="751"/>
      <c r="EDM125" s="751"/>
      <c r="EDN125" s="751"/>
      <c r="EDO125" s="751"/>
      <c r="EDP125" s="751"/>
      <c r="EDQ125" s="751"/>
      <c r="EDR125" s="751"/>
      <c r="EDS125" s="751"/>
      <c r="EDT125" s="751"/>
      <c r="EDU125" s="751"/>
      <c r="EDV125" s="751"/>
      <c r="EDW125" s="751"/>
      <c r="EDX125" s="751"/>
      <c r="EDY125" s="751"/>
      <c r="EDZ125" s="751"/>
      <c r="EEA125" s="751"/>
      <c r="EEB125" s="751"/>
      <c r="EEC125" s="751"/>
      <c r="EED125" s="751"/>
      <c r="EEE125" s="751"/>
      <c r="EEF125" s="751"/>
      <c r="EEG125" s="751"/>
      <c r="EEH125" s="751"/>
      <c r="EEI125" s="751"/>
      <c r="EEJ125" s="751"/>
      <c r="EEK125" s="751"/>
      <c r="EEL125" s="751"/>
      <c r="EEM125" s="751"/>
      <c r="EEN125" s="751"/>
      <c r="EEO125" s="751"/>
      <c r="EEP125" s="751"/>
      <c r="EEQ125" s="751"/>
      <c r="EER125" s="751"/>
      <c r="EES125" s="751"/>
      <c r="EET125" s="751"/>
      <c r="EEU125" s="751"/>
      <c r="EEV125" s="751"/>
      <c r="EEW125" s="751"/>
      <c r="EEX125" s="751"/>
      <c r="EEY125" s="751"/>
      <c r="EEZ125" s="751"/>
      <c r="EFA125" s="751"/>
      <c r="EFB125" s="751"/>
      <c r="EFC125" s="751"/>
      <c r="EFD125" s="751"/>
      <c r="EFE125" s="751"/>
      <c r="EFF125" s="751"/>
      <c r="EFG125" s="751"/>
      <c r="EFH125" s="751"/>
      <c r="EFI125" s="751"/>
      <c r="EFJ125" s="751"/>
      <c r="EFK125" s="751"/>
      <c r="EFL125" s="751"/>
      <c r="EFM125" s="751"/>
      <c r="EFN125" s="751"/>
      <c r="EFO125" s="751"/>
      <c r="EFP125" s="751"/>
      <c r="EFQ125" s="751"/>
      <c r="EFR125" s="751"/>
      <c r="EFS125" s="751"/>
      <c r="EFT125" s="751"/>
      <c r="EFU125" s="751"/>
      <c r="EFV125" s="751"/>
      <c r="EFW125" s="751"/>
      <c r="EFX125" s="751"/>
      <c r="EFY125" s="751"/>
      <c r="EFZ125" s="751"/>
      <c r="EGA125" s="751"/>
      <c r="EGB125" s="751"/>
      <c r="EGC125" s="751"/>
      <c r="EGD125" s="751"/>
      <c r="EGE125" s="751"/>
      <c r="EGF125" s="751"/>
      <c r="EGG125" s="751"/>
      <c r="EGH125" s="751"/>
      <c r="EGI125" s="751"/>
      <c r="EGJ125" s="751"/>
      <c r="EGK125" s="751"/>
      <c r="EGL125" s="751"/>
      <c r="EGM125" s="751"/>
      <c r="EGN125" s="751"/>
      <c r="EGO125" s="751"/>
      <c r="EGP125" s="751"/>
      <c r="EGQ125" s="751"/>
      <c r="EGR125" s="751"/>
      <c r="EGS125" s="751"/>
      <c r="EGT125" s="751"/>
      <c r="EGU125" s="751"/>
      <c r="EGV125" s="751"/>
      <c r="EGW125" s="751"/>
      <c r="EGX125" s="751"/>
      <c r="EGY125" s="751"/>
      <c r="EGZ125" s="751"/>
      <c r="EHA125" s="751"/>
      <c r="EHB125" s="751"/>
      <c r="EHC125" s="751"/>
      <c r="EHD125" s="751"/>
      <c r="EHE125" s="751"/>
      <c r="EHF125" s="751"/>
      <c r="EHG125" s="751"/>
      <c r="EHH125" s="751"/>
      <c r="EHI125" s="751"/>
      <c r="EHJ125" s="751"/>
      <c r="EHK125" s="751"/>
      <c r="EHL125" s="751"/>
      <c r="EHM125" s="751"/>
      <c r="EHN125" s="751"/>
      <c r="EHO125" s="751"/>
      <c r="EHP125" s="751"/>
      <c r="EHQ125" s="751"/>
      <c r="EHR125" s="751"/>
      <c r="EHS125" s="751"/>
      <c r="EHT125" s="751"/>
      <c r="EHU125" s="751"/>
      <c r="EHV125" s="751"/>
      <c r="EHW125" s="751"/>
      <c r="EHX125" s="751"/>
      <c r="EHY125" s="751"/>
      <c r="EHZ125" s="751"/>
      <c r="EIA125" s="751"/>
      <c r="EIB125" s="751"/>
      <c r="EIC125" s="751"/>
      <c r="EID125" s="751"/>
      <c r="EIE125" s="751"/>
      <c r="EIF125" s="751"/>
      <c r="EIG125" s="751"/>
      <c r="EIH125" s="751"/>
      <c r="EII125" s="751"/>
      <c r="EIJ125" s="751"/>
      <c r="EIK125" s="751"/>
      <c r="EIL125" s="751"/>
      <c r="EIM125" s="751"/>
      <c r="EIN125" s="751"/>
      <c r="EIO125" s="751"/>
      <c r="EIP125" s="751"/>
      <c r="EIQ125" s="751"/>
      <c r="EIR125" s="751"/>
      <c r="EIS125" s="751"/>
      <c r="EIT125" s="751"/>
      <c r="EIU125" s="751"/>
      <c r="EIV125" s="751"/>
      <c r="EIW125" s="751"/>
      <c r="EIX125" s="751"/>
      <c r="EIY125" s="751"/>
      <c r="EIZ125" s="751"/>
      <c r="EJA125" s="751"/>
      <c r="EJB125" s="751"/>
      <c r="EJC125" s="751"/>
      <c r="EJD125" s="751"/>
      <c r="EJE125" s="751"/>
      <c r="EJF125" s="751"/>
      <c r="EJG125" s="751"/>
      <c r="EJH125" s="751"/>
      <c r="EJI125" s="751"/>
      <c r="EJJ125" s="751"/>
      <c r="EJK125" s="751"/>
      <c r="EJL125" s="751"/>
      <c r="EJM125" s="751"/>
      <c r="EJN125" s="751"/>
      <c r="EJO125" s="751"/>
      <c r="EJP125" s="751"/>
      <c r="EJQ125" s="751"/>
      <c r="EJR125" s="751"/>
      <c r="EJS125" s="751"/>
      <c r="EJT125" s="751"/>
      <c r="EJU125" s="751"/>
      <c r="EJV125" s="751"/>
      <c r="EJW125" s="751"/>
      <c r="EJX125" s="751"/>
      <c r="EJY125" s="751"/>
      <c r="EJZ125" s="751"/>
      <c r="EKA125" s="751"/>
      <c r="EKB125" s="751"/>
      <c r="EKC125" s="751"/>
      <c r="EKD125" s="751"/>
      <c r="EKE125" s="751"/>
      <c r="EKF125" s="751"/>
      <c r="EKG125" s="751"/>
      <c r="EKH125" s="751"/>
      <c r="EKI125" s="751"/>
      <c r="EKJ125" s="751"/>
      <c r="EKK125" s="751"/>
      <c r="EKL125" s="751"/>
      <c r="EKM125" s="751"/>
      <c r="EKN125" s="751"/>
      <c r="EKO125" s="751"/>
      <c r="EKP125" s="751"/>
      <c r="EKQ125" s="751"/>
      <c r="EKR125" s="751"/>
      <c r="EKS125" s="751"/>
      <c r="EKT125" s="751"/>
      <c r="EKU125" s="751"/>
      <c r="EKV125" s="751"/>
      <c r="EKW125" s="751"/>
      <c r="EKX125" s="751"/>
      <c r="EKY125" s="751"/>
      <c r="EKZ125" s="751"/>
      <c r="ELA125" s="751"/>
      <c r="ELB125" s="751"/>
      <c r="ELC125" s="751"/>
      <c r="ELD125" s="751"/>
      <c r="ELE125" s="751"/>
      <c r="ELF125" s="751"/>
      <c r="ELG125" s="751"/>
      <c r="ELH125" s="751"/>
      <c r="ELI125" s="751"/>
      <c r="ELJ125" s="751"/>
      <c r="ELK125" s="751"/>
      <c r="ELL125" s="751"/>
      <c r="ELM125" s="751"/>
      <c r="ELN125" s="751"/>
      <c r="ELO125" s="751"/>
      <c r="ELP125" s="751"/>
      <c r="ELQ125" s="751"/>
      <c r="ELR125" s="751"/>
      <c r="ELS125" s="751"/>
      <c r="ELT125" s="751"/>
      <c r="ELU125" s="751"/>
      <c r="ELV125" s="751"/>
      <c r="ELW125" s="751"/>
      <c r="ELX125" s="751"/>
      <c r="ELY125" s="751"/>
      <c r="ELZ125" s="751"/>
      <c r="EMA125" s="751"/>
      <c r="EMB125" s="751"/>
      <c r="EMC125" s="751"/>
      <c r="EMD125" s="751"/>
      <c r="EME125" s="751"/>
      <c r="EMF125" s="751"/>
      <c r="EMG125" s="751"/>
      <c r="EMH125" s="751"/>
      <c r="EMI125" s="751"/>
      <c r="EMJ125" s="751"/>
      <c r="EMK125" s="751"/>
      <c r="EML125" s="751"/>
      <c r="EMM125" s="751"/>
      <c r="EMN125" s="751"/>
      <c r="EMO125" s="751"/>
      <c r="EMP125" s="751"/>
      <c r="EMQ125" s="751"/>
      <c r="EMR125" s="751"/>
      <c r="EMS125" s="751"/>
      <c r="EMT125" s="751"/>
      <c r="EMU125" s="751"/>
      <c r="EMV125" s="751"/>
      <c r="EMW125" s="751"/>
      <c r="EMX125" s="751"/>
      <c r="EMY125" s="751"/>
      <c r="EMZ125" s="751"/>
      <c r="ENA125" s="751"/>
      <c r="ENB125" s="751"/>
      <c r="ENC125" s="751"/>
      <c r="END125" s="751"/>
      <c r="ENE125" s="751"/>
      <c r="ENF125" s="751"/>
      <c r="ENG125" s="751"/>
      <c r="ENH125" s="751"/>
      <c r="ENI125" s="751"/>
      <c r="ENJ125" s="751"/>
      <c r="ENK125" s="751"/>
      <c r="ENL125" s="751"/>
      <c r="ENM125" s="751"/>
      <c r="ENN125" s="751"/>
      <c r="ENO125" s="751"/>
      <c r="ENP125" s="751"/>
      <c r="ENQ125" s="751"/>
      <c r="ENR125" s="751"/>
      <c r="ENS125" s="751"/>
      <c r="ENT125" s="751"/>
      <c r="ENU125" s="751"/>
      <c r="ENV125" s="751"/>
      <c r="ENW125" s="751"/>
      <c r="ENX125" s="751"/>
      <c r="ENY125" s="751"/>
      <c r="ENZ125" s="751"/>
      <c r="EOA125" s="751"/>
      <c r="EOB125" s="751"/>
      <c r="EOC125" s="751"/>
      <c r="EOD125" s="751"/>
      <c r="EOE125" s="751"/>
      <c r="EOF125" s="751"/>
      <c r="EOG125" s="751"/>
      <c r="EOH125" s="751"/>
      <c r="EOI125" s="751"/>
      <c r="EOJ125" s="751"/>
      <c r="EOK125" s="751"/>
      <c r="EOL125" s="751"/>
      <c r="EOM125" s="751"/>
      <c r="EON125" s="751"/>
      <c r="EOO125" s="751"/>
      <c r="EOP125" s="751"/>
      <c r="EOQ125" s="751"/>
      <c r="EOR125" s="751"/>
      <c r="EOS125" s="751"/>
      <c r="EOT125" s="751"/>
      <c r="EOU125" s="751"/>
      <c r="EOV125" s="751"/>
      <c r="EOW125" s="751"/>
      <c r="EOX125" s="751"/>
      <c r="EOY125" s="751"/>
      <c r="EOZ125" s="751"/>
      <c r="EPA125" s="751"/>
      <c r="EPB125" s="751"/>
      <c r="EPC125" s="751"/>
      <c r="EPD125" s="751"/>
      <c r="EPE125" s="751"/>
      <c r="EPF125" s="751"/>
      <c r="EPG125" s="751"/>
      <c r="EPH125" s="751"/>
      <c r="EPI125" s="751"/>
      <c r="EPJ125" s="751"/>
      <c r="EPK125" s="751"/>
      <c r="EPL125" s="751"/>
      <c r="EPM125" s="751"/>
      <c r="EPN125" s="751"/>
      <c r="EPO125" s="751"/>
      <c r="EPP125" s="751"/>
      <c r="EPQ125" s="751"/>
      <c r="EPR125" s="751"/>
      <c r="EPS125" s="751"/>
      <c r="EPT125" s="751"/>
      <c r="EPU125" s="751"/>
      <c r="EPV125" s="751"/>
      <c r="EPW125" s="751"/>
      <c r="EPX125" s="751"/>
      <c r="EPY125" s="751"/>
      <c r="EPZ125" s="751"/>
      <c r="EQA125" s="751"/>
      <c r="EQB125" s="751"/>
      <c r="EQC125" s="751"/>
      <c r="EQD125" s="751"/>
      <c r="EQE125" s="751"/>
      <c r="EQF125" s="751"/>
      <c r="EQG125" s="751"/>
      <c r="EQH125" s="751"/>
      <c r="EQI125" s="751"/>
      <c r="EQJ125" s="751"/>
      <c r="EQK125" s="751"/>
      <c r="EQL125" s="751"/>
      <c r="EQM125" s="751"/>
      <c r="EQN125" s="751"/>
      <c r="EQO125" s="751"/>
      <c r="EQP125" s="751"/>
      <c r="EQQ125" s="751"/>
      <c r="EQR125" s="751"/>
      <c r="EQS125" s="751"/>
      <c r="EQT125" s="751"/>
      <c r="EQU125" s="751"/>
      <c r="EQV125" s="751"/>
      <c r="EQW125" s="751"/>
      <c r="EQX125" s="751"/>
      <c r="EQY125" s="751"/>
      <c r="EQZ125" s="751"/>
      <c r="ERA125" s="751"/>
      <c r="ERB125" s="751"/>
      <c r="ERC125" s="751"/>
      <c r="ERD125" s="751"/>
      <c r="ERE125" s="751"/>
      <c r="ERF125" s="751"/>
      <c r="ERG125" s="751"/>
      <c r="ERH125" s="751"/>
      <c r="ERI125" s="751"/>
      <c r="ERJ125" s="751"/>
      <c r="ERK125" s="751"/>
      <c r="ERL125" s="751"/>
      <c r="ERM125" s="751"/>
      <c r="ERN125" s="751"/>
      <c r="ERO125" s="751"/>
      <c r="ERP125" s="751"/>
      <c r="ERQ125" s="751"/>
      <c r="ERR125" s="751"/>
      <c r="ERS125" s="751"/>
      <c r="ERT125" s="751"/>
      <c r="ERU125" s="751"/>
      <c r="ERV125" s="751"/>
      <c r="ERW125" s="751"/>
      <c r="ERX125" s="751"/>
      <c r="ERY125" s="751"/>
      <c r="ERZ125" s="751"/>
      <c r="ESA125" s="751"/>
      <c r="ESB125" s="751"/>
      <c r="ESC125" s="751"/>
      <c r="ESD125" s="751"/>
      <c r="ESE125" s="751"/>
      <c r="ESF125" s="751"/>
      <c r="ESG125" s="751"/>
      <c r="ESH125" s="751"/>
      <c r="ESI125" s="751"/>
      <c r="ESJ125" s="751"/>
      <c r="ESK125" s="751"/>
      <c r="ESL125" s="751"/>
      <c r="ESM125" s="751"/>
      <c r="ESN125" s="751"/>
      <c r="ESO125" s="751"/>
      <c r="ESP125" s="751"/>
      <c r="ESQ125" s="751"/>
      <c r="ESR125" s="751"/>
      <c r="ESS125" s="751"/>
      <c r="EST125" s="751"/>
      <c r="ESU125" s="751"/>
      <c r="ESV125" s="751"/>
      <c r="ESW125" s="751"/>
      <c r="ESX125" s="751"/>
      <c r="ESY125" s="751"/>
      <c r="ESZ125" s="751"/>
      <c r="ETA125" s="751"/>
      <c r="ETB125" s="751"/>
      <c r="ETC125" s="751"/>
      <c r="ETD125" s="751"/>
      <c r="ETE125" s="751"/>
      <c r="ETF125" s="751"/>
      <c r="ETG125" s="751"/>
      <c r="ETH125" s="751"/>
      <c r="ETI125" s="751"/>
      <c r="ETJ125" s="751"/>
      <c r="ETK125" s="751"/>
      <c r="ETL125" s="751"/>
      <c r="ETM125" s="751"/>
      <c r="ETN125" s="751"/>
      <c r="ETO125" s="751"/>
      <c r="ETP125" s="751"/>
      <c r="ETQ125" s="751"/>
      <c r="ETR125" s="751"/>
      <c r="ETS125" s="751"/>
      <c r="ETT125" s="751"/>
      <c r="ETU125" s="751"/>
      <c r="ETV125" s="751"/>
      <c r="ETW125" s="751"/>
      <c r="ETX125" s="751"/>
      <c r="ETY125" s="751"/>
      <c r="ETZ125" s="751"/>
      <c r="EUA125" s="751"/>
      <c r="EUB125" s="751"/>
      <c r="EUC125" s="751"/>
      <c r="EUD125" s="751"/>
      <c r="EUE125" s="751"/>
      <c r="EUF125" s="751"/>
      <c r="EUG125" s="751"/>
      <c r="EUH125" s="751"/>
      <c r="EUI125" s="751"/>
      <c r="EUJ125" s="751"/>
      <c r="EUK125" s="751"/>
      <c r="EUL125" s="751"/>
      <c r="EUM125" s="751"/>
      <c r="EUN125" s="751"/>
      <c r="EUO125" s="751"/>
      <c r="EUP125" s="751"/>
      <c r="EUQ125" s="751"/>
      <c r="EUR125" s="751"/>
      <c r="EUS125" s="751"/>
      <c r="EUT125" s="751"/>
      <c r="EUU125" s="751"/>
      <c r="EUV125" s="751"/>
      <c r="EUW125" s="751"/>
      <c r="EUX125" s="751"/>
      <c r="EUY125" s="751"/>
      <c r="EUZ125" s="751"/>
      <c r="EVA125" s="751"/>
      <c r="EVB125" s="751"/>
      <c r="EVC125" s="751"/>
      <c r="EVD125" s="751"/>
      <c r="EVE125" s="751"/>
      <c r="EVF125" s="751"/>
      <c r="EVG125" s="751"/>
      <c r="EVH125" s="751"/>
      <c r="EVI125" s="751"/>
      <c r="EVJ125" s="751"/>
      <c r="EVK125" s="751"/>
      <c r="EVL125" s="751"/>
      <c r="EVM125" s="751"/>
      <c r="EVN125" s="751"/>
      <c r="EVO125" s="751"/>
      <c r="EVP125" s="751"/>
      <c r="EVQ125" s="751"/>
      <c r="EVR125" s="751"/>
      <c r="EVS125" s="751"/>
      <c r="EVT125" s="751"/>
      <c r="EVU125" s="751"/>
      <c r="EVV125" s="751"/>
      <c r="EVW125" s="751"/>
      <c r="EVX125" s="751"/>
      <c r="EVY125" s="751"/>
      <c r="EVZ125" s="751"/>
      <c r="EWA125" s="751"/>
      <c r="EWB125" s="751"/>
      <c r="EWC125" s="751"/>
      <c r="EWD125" s="751"/>
      <c r="EWE125" s="751"/>
      <c r="EWF125" s="751"/>
      <c r="EWG125" s="751"/>
      <c r="EWH125" s="751"/>
      <c r="EWI125" s="751"/>
      <c r="EWJ125" s="751"/>
      <c r="EWK125" s="751"/>
      <c r="EWL125" s="751"/>
      <c r="EWM125" s="751"/>
      <c r="EWN125" s="751"/>
      <c r="EWO125" s="751"/>
      <c r="EWP125" s="751"/>
      <c r="EWQ125" s="751"/>
      <c r="EWR125" s="751"/>
      <c r="EWS125" s="751"/>
      <c r="EWT125" s="751"/>
      <c r="EWU125" s="751"/>
      <c r="EWV125" s="751"/>
      <c r="EWW125" s="751"/>
      <c r="EWX125" s="751"/>
      <c r="EWY125" s="751"/>
      <c r="EWZ125" s="751"/>
      <c r="EXA125" s="751"/>
      <c r="EXB125" s="751"/>
      <c r="EXC125" s="751"/>
      <c r="EXD125" s="751"/>
      <c r="EXE125" s="751"/>
      <c r="EXF125" s="751"/>
      <c r="EXG125" s="751"/>
      <c r="EXH125" s="751"/>
      <c r="EXI125" s="751"/>
      <c r="EXJ125" s="751"/>
      <c r="EXK125" s="751"/>
      <c r="EXL125" s="751"/>
      <c r="EXM125" s="751"/>
      <c r="EXN125" s="751"/>
      <c r="EXO125" s="751"/>
      <c r="EXP125" s="751"/>
      <c r="EXQ125" s="751"/>
      <c r="EXR125" s="751"/>
      <c r="EXS125" s="751"/>
      <c r="EXT125" s="751"/>
      <c r="EXU125" s="751"/>
      <c r="EXV125" s="751"/>
      <c r="EXW125" s="751"/>
      <c r="EXX125" s="751"/>
      <c r="EXY125" s="751"/>
      <c r="EXZ125" s="751"/>
      <c r="EYA125" s="751"/>
      <c r="EYB125" s="751"/>
      <c r="EYC125" s="751"/>
      <c r="EYD125" s="751"/>
      <c r="EYE125" s="751"/>
      <c r="EYF125" s="751"/>
      <c r="EYG125" s="751"/>
      <c r="EYH125" s="751"/>
      <c r="EYI125" s="751"/>
      <c r="EYJ125" s="751"/>
      <c r="EYK125" s="751"/>
      <c r="EYL125" s="751"/>
      <c r="EYM125" s="751"/>
      <c r="EYN125" s="751"/>
      <c r="EYO125" s="751"/>
      <c r="EYP125" s="751"/>
      <c r="EYQ125" s="751"/>
      <c r="EYR125" s="751"/>
      <c r="EYS125" s="751"/>
      <c r="EYT125" s="751"/>
      <c r="EYU125" s="751"/>
      <c r="EYV125" s="751"/>
      <c r="EYW125" s="751"/>
      <c r="EYX125" s="751"/>
      <c r="EYY125" s="751"/>
      <c r="EYZ125" s="751"/>
      <c r="EZA125" s="751"/>
      <c r="EZB125" s="751"/>
      <c r="EZC125" s="751"/>
      <c r="EZD125" s="751"/>
      <c r="EZE125" s="751"/>
      <c r="EZF125" s="751"/>
      <c r="EZG125" s="751"/>
      <c r="EZH125" s="751"/>
      <c r="EZI125" s="751"/>
      <c r="EZJ125" s="751"/>
      <c r="EZK125" s="751"/>
      <c r="EZL125" s="751"/>
      <c r="EZM125" s="751"/>
      <c r="EZN125" s="751"/>
      <c r="EZO125" s="751"/>
      <c r="EZP125" s="751"/>
      <c r="EZQ125" s="751"/>
      <c r="EZR125" s="751"/>
      <c r="EZS125" s="751"/>
      <c r="EZT125" s="751"/>
      <c r="EZU125" s="751"/>
      <c r="EZV125" s="751"/>
      <c r="EZW125" s="751"/>
      <c r="EZX125" s="751"/>
      <c r="EZY125" s="751"/>
      <c r="EZZ125" s="751"/>
      <c r="FAA125" s="751"/>
      <c r="FAB125" s="751"/>
      <c r="FAC125" s="751"/>
      <c r="FAD125" s="751"/>
      <c r="FAE125" s="751"/>
      <c r="FAF125" s="751"/>
      <c r="FAG125" s="751"/>
      <c r="FAH125" s="751"/>
      <c r="FAI125" s="751"/>
      <c r="FAJ125" s="751"/>
      <c r="FAK125" s="751"/>
      <c r="FAL125" s="751"/>
      <c r="FAM125" s="751"/>
      <c r="FAN125" s="751"/>
      <c r="FAO125" s="751"/>
      <c r="FAP125" s="751"/>
      <c r="FAQ125" s="751"/>
      <c r="FAR125" s="751"/>
      <c r="FAS125" s="751"/>
      <c r="FAT125" s="751"/>
      <c r="FAU125" s="751"/>
      <c r="FAV125" s="751"/>
      <c r="FAW125" s="751"/>
      <c r="FAX125" s="751"/>
      <c r="FAY125" s="751"/>
      <c r="FAZ125" s="751"/>
      <c r="FBA125" s="751"/>
      <c r="FBB125" s="751"/>
      <c r="FBC125" s="751"/>
      <c r="FBD125" s="751"/>
      <c r="FBE125" s="751"/>
      <c r="FBF125" s="751"/>
      <c r="FBG125" s="751"/>
      <c r="FBH125" s="751"/>
      <c r="FBI125" s="751"/>
      <c r="FBJ125" s="751"/>
      <c r="FBK125" s="751"/>
      <c r="FBL125" s="751"/>
      <c r="FBM125" s="751"/>
      <c r="FBN125" s="751"/>
      <c r="FBO125" s="751"/>
      <c r="FBP125" s="751"/>
      <c r="FBQ125" s="751"/>
      <c r="FBR125" s="751"/>
      <c r="FBS125" s="751"/>
      <c r="FBT125" s="751"/>
      <c r="FBU125" s="751"/>
      <c r="FBV125" s="751"/>
      <c r="FBW125" s="751"/>
      <c r="FBX125" s="751"/>
      <c r="FBY125" s="751"/>
      <c r="FBZ125" s="751"/>
      <c r="FCA125" s="751"/>
      <c r="FCB125" s="751"/>
      <c r="FCC125" s="751"/>
      <c r="FCD125" s="751"/>
      <c r="FCE125" s="751"/>
      <c r="FCF125" s="751"/>
      <c r="FCG125" s="751"/>
      <c r="FCH125" s="751"/>
      <c r="FCI125" s="751"/>
      <c r="FCJ125" s="751"/>
      <c r="FCK125" s="751"/>
      <c r="FCL125" s="751"/>
      <c r="FCM125" s="751"/>
      <c r="FCN125" s="751"/>
      <c r="FCO125" s="751"/>
      <c r="FCP125" s="751"/>
      <c r="FCQ125" s="751"/>
      <c r="FCR125" s="751"/>
      <c r="FCS125" s="751"/>
      <c r="FCT125" s="751"/>
      <c r="FCU125" s="751"/>
      <c r="FCV125" s="751"/>
      <c r="FCW125" s="751"/>
      <c r="FCX125" s="751"/>
      <c r="FCY125" s="751"/>
      <c r="FCZ125" s="751"/>
      <c r="FDA125" s="751"/>
      <c r="FDB125" s="751"/>
      <c r="FDC125" s="751"/>
      <c r="FDD125" s="751"/>
      <c r="FDE125" s="751"/>
      <c r="FDF125" s="751"/>
      <c r="FDG125" s="751"/>
      <c r="FDH125" s="751"/>
      <c r="FDI125" s="751"/>
      <c r="FDJ125" s="751"/>
      <c r="FDK125" s="751"/>
      <c r="FDL125" s="751"/>
      <c r="FDM125" s="751"/>
      <c r="FDN125" s="751"/>
      <c r="FDO125" s="751"/>
      <c r="FDP125" s="751"/>
      <c r="FDQ125" s="751"/>
      <c r="FDR125" s="751"/>
      <c r="FDS125" s="751"/>
      <c r="FDT125" s="751"/>
      <c r="FDU125" s="751"/>
      <c r="FDV125" s="751"/>
      <c r="FDW125" s="751"/>
      <c r="FDX125" s="751"/>
      <c r="FDY125" s="751"/>
      <c r="FDZ125" s="751"/>
      <c r="FEA125" s="751"/>
      <c r="FEB125" s="751"/>
      <c r="FEC125" s="751"/>
      <c r="FED125" s="751"/>
      <c r="FEE125" s="751"/>
      <c r="FEF125" s="751"/>
      <c r="FEG125" s="751"/>
      <c r="FEH125" s="751"/>
      <c r="FEI125" s="751"/>
      <c r="FEJ125" s="751"/>
      <c r="FEK125" s="751"/>
      <c r="FEL125" s="751"/>
      <c r="FEM125" s="751"/>
      <c r="FEN125" s="751"/>
      <c r="FEO125" s="751"/>
      <c r="FEP125" s="751"/>
      <c r="FEQ125" s="751"/>
      <c r="FER125" s="751"/>
      <c r="FES125" s="751"/>
      <c r="FET125" s="751"/>
      <c r="FEU125" s="751"/>
      <c r="FEV125" s="751"/>
      <c r="FEW125" s="751"/>
      <c r="FEX125" s="751"/>
      <c r="FEY125" s="751"/>
      <c r="FEZ125" s="751"/>
      <c r="FFA125" s="751"/>
      <c r="FFB125" s="751"/>
      <c r="FFC125" s="751"/>
      <c r="FFD125" s="751"/>
      <c r="FFE125" s="751"/>
      <c r="FFF125" s="751"/>
      <c r="FFG125" s="751"/>
      <c r="FFH125" s="751"/>
      <c r="FFI125" s="751"/>
      <c r="FFJ125" s="751"/>
      <c r="FFK125" s="751"/>
      <c r="FFL125" s="751"/>
      <c r="FFM125" s="751"/>
      <c r="FFN125" s="751"/>
      <c r="FFO125" s="751"/>
      <c r="FFP125" s="751"/>
      <c r="FFQ125" s="751"/>
      <c r="FFR125" s="751"/>
      <c r="FFS125" s="751"/>
      <c r="FFT125" s="751"/>
      <c r="FFU125" s="751"/>
      <c r="FFV125" s="751"/>
      <c r="FFW125" s="751"/>
      <c r="FFX125" s="751"/>
      <c r="FFY125" s="751"/>
      <c r="FFZ125" s="751"/>
      <c r="FGA125" s="751"/>
      <c r="FGB125" s="751"/>
      <c r="FGC125" s="751"/>
      <c r="FGD125" s="751"/>
      <c r="FGE125" s="751"/>
      <c r="FGF125" s="751"/>
      <c r="FGG125" s="751"/>
      <c r="FGH125" s="751"/>
      <c r="FGI125" s="751"/>
      <c r="FGJ125" s="751"/>
      <c r="FGK125" s="751"/>
      <c r="FGL125" s="751"/>
      <c r="FGM125" s="751"/>
      <c r="FGN125" s="751"/>
      <c r="FGO125" s="751"/>
      <c r="FGP125" s="751"/>
      <c r="FGQ125" s="751"/>
      <c r="FGR125" s="751"/>
      <c r="FGS125" s="751"/>
      <c r="FGT125" s="751"/>
      <c r="FGU125" s="751"/>
      <c r="FGV125" s="751"/>
      <c r="FGW125" s="751"/>
      <c r="FGX125" s="751"/>
      <c r="FGY125" s="751"/>
      <c r="FGZ125" s="751"/>
      <c r="FHA125" s="751"/>
      <c r="FHB125" s="751"/>
      <c r="FHC125" s="751"/>
      <c r="FHD125" s="751"/>
      <c r="FHE125" s="751"/>
      <c r="FHF125" s="751"/>
      <c r="FHG125" s="751"/>
      <c r="FHH125" s="751"/>
      <c r="FHI125" s="751"/>
      <c r="FHJ125" s="751"/>
      <c r="FHK125" s="751"/>
      <c r="FHL125" s="751"/>
      <c r="FHM125" s="751"/>
      <c r="FHN125" s="751"/>
      <c r="FHO125" s="751"/>
      <c r="FHP125" s="751"/>
      <c r="FHQ125" s="751"/>
      <c r="FHR125" s="751"/>
      <c r="FHS125" s="751"/>
      <c r="FHT125" s="751"/>
      <c r="FHU125" s="751"/>
      <c r="FHV125" s="751"/>
      <c r="FHW125" s="751"/>
      <c r="FHX125" s="751"/>
      <c r="FHY125" s="751"/>
      <c r="FHZ125" s="751"/>
      <c r="FIA125" s="751"/>
      <c r="FIB125" s="751"/>
      <c r="FIC125" s="751"/>
      <c r="FID125" s="751"/>
      <c r="FIE125" s="751"/>
      <c r="FIF125" s="751"/>
      <c r="FIG125" s="751"/>
      <c r="FIH125" s="751"/>
      <c r="FII125" s="751"/>
      <c r="FIJ125" s="751"/>
      <c r="FIK125" s="751"/>
      <c r="FIL125" s="751"/>
      <c r="FIM125" s="751"/>
      <c r="FIN125" s="751"/>
      <c r="FIO125" s="751"/>
      <c r="FIP125" s="751"/>
      <c r="FIQ125" s="751"/>
      <c r="FIR125" s="751"/>
      <c r="FIS125" s="751"/>
      <c r="FIT125" s="751"/>
      <c r="FIU125" s="751"/>
      <c r="FIV125" s="751"/>
      <c r="FIW125" s="751"/>
      <c r="FIX125" s="751"/>
      <c r="FIY125" s="751"/>
      <c r="FIZ125" s="751"/>
      <c r="FJA125" s="751"/>
      <c r="FJB125" s="751"/>
      <c r="FJC125" s="751"/>
      <c r="FJD125" s="751"/>
      <c r="FJE125" s="751"/>
      <c r="FJF125" s="751"/>
      <c r="FJG125" s="751"/>
      <c r="FJH125" s="751"/>
      <c r="FJI125" s="751"/>
      <c r="FJJ125" s="751"/>
      <c r="FJK125" s="751"/>
      <c r="FJL125" s="751"/>
      <c r="FJM125" s="751"/>
      <c r="FJN125" s="751"/>
      <c r="FJO125" s="751"/>
      <c r="FJP125" s="751"/>
      <c r="FJQ125" s="751"/>
      <c r="FJR125" s="751"/>
      <c r="FJS125" s="751"/>
      <c r="FJT125" s="751"/>
      <c r="FJU125" s="751"/>
      <c r="FJV125" s="751"/>
      <c r="FJW125" s="751"/>
      <c r="FJX125" s="751"/>
      <c r="FJY125" s="751"/>
      <c r="FJZ125" s="751"/>
      <c r="FKA125" s="751"/>
      <c r="FKB125" s="751"/>
      <c r="FKC125" s="751"/>
      <c r="FKD125" s="751"/>
      <c r="FKE125" s="751"/>
      <c r="FKF125" s="751"/>
      <c r="FKG125" s="751"/>
      <c r="FKH125" s="751"/>
      <c r="FKI125" s="751"/>
      <c r="FKJ125" s="751"/>
      <c r="FKK125" s="751"/>
      <c r="FKL125" s="751"/>
      <c r="FKM125" s="751"/>
      <c r="FKN125" s="751"/>
      <c r="FKO125" s="751"/>
      <c r="FKP125" s="751"/>
      <c r="FKQ125" s="751"/>
      <c r="FKR125" s="751"/>
      <c r="FKS125" s="751"/>
      <c r="FKT125" s="751"/>
      <c r="FKU125" s="751"/>
      <c r="FKV125" s="751"/>
      <c r="FKW125" s="751"/>
      <c r="FKX125" s="751"/>
      <c r="FKY125" s="751"/>
      <c r="FKZ125" s="751"/>
      <c r="FLA125" s="751"/>
      <c r="FLB125" s="751"/>
      <c r="FLC125" s="751"/>
      <c r="FLD125" s="751"/>
      <c r="FLE125" s="751"/>
      <c r="FLF125" s="751"/>
      <c r="FLG125" s="751"/>
      <c r="FLH125" s="751"/>
      <c r="FLI125" s="751"/>
      <c r="FLJ125" s="751"/>
      <c r="FLK125" s="751"/>
      <c r="FLL125" s="751"/>
      <c r="FLM125" s="751"/>
      <c r="FLN125" s="751"/>
      <c r="FLO125" s="751"/>
      <c r="FLP125" s="751"/>
      <c r="FLQ125" s="751"/>
      <c r="FLR125" s="751"/>
      <c r="FLS125" s="751"/>
      <c r="FLT125" s="751"/>
      <c r="FLU125" s="751"/>
      <c r="FLV125" s="751"/>
      <c r="FLW125" s="751"/>
      <c r="FLX125" s="751"/>
      <c r="FLY125" s="751"/>
      <c r="FLZ125" s="751"/>
      <c r="FMA125" s="751"/>
      <c r="FMB125" s="751"/>
      <c r="FMC125" s="751"/>
      <c r="FMD125" s="751"/>
      <c r="FME125" s="751"/>
      <c r="FMF125" s="751"/>
      <c r="FMG125" s="751"/>
      <c r="FMH125" s="751"/>
      <c r="FMI125" s="751"/>
      <c r="FMJ125" s="751"/>
      <c r="FMK125" s="751"/>
      <c r="FML125" s="751"/>
      <c r="FMM125" s="751"/>
      <c r="FMN125" s="751"/>
      <c r="FMO125" s="751"/>
      <c r="FMP125" s="751"/>
      <c r="FMQ125" s="751"/>
      <c r="FMR125" s="751"/>
      <c r="FMS125" s="751"/>
      <c r="FMT125" s="751"/>
      <c r="FMU125" s="751"/>
      <c r="FMV125" s="751"/>
      <c r="FMW125" s="751"/>
      <c r="FMX125" s="751"/>
      <c r="FMY125" s="751"/>
      <c r="FMZ125" s="751"/>
      <c r="FNA125" s="751"/>
      <c r="FNB125" s="751"/>
      <c r="FNC125" s="751"/>
      <c r="FND125" s="751"/>
      <c r="FNE125" s="751"/>
      <c r="FNF125" s="751"/>
      <c r="FNG125" s="751"/>
      <c r="FNH125" s="751"/>
      <c r="FNI125" s="751"/>
      <c r="FNJ125" s="751"/>
      <c r="FNK125" s="751"/>
      <c r="FNL125" s="751"/>
      <c r="FNM125" s="751"/>
      <c r="FNN125" s="751"/>
      <c r="FNO125" s="751"/>
      <c r="FNP125" s="751"/>
      <c r="FNQ125" s="751"/>
      <c r="FNR125" s="751"/>
      <c r="FNS125" s="751"/>
      <c r="FNT125" s="751"/>
      <c r="FNU125" s="751"/>
      <c r="FNV125" s="751"/>
      <c r="FNW125" s="751"/>
      <c r="FNX125" s="751"/>
      <c r="FNY125" s="751"/>
      <c r="FNZ125" s="751"/>
      <c r="FOA125" s="751"/>
      <c r="FOB125" s="751"/>
      <c r="FOC125" s="751"/>
      <c r="FOD125" s="751"/>
      <c r="FOE125" s="751"/>
      <c r="FOF125" s="751"/>
      <c r="FOG125" s="751"/>
      <c r="FOH125" s="751"/>
      <c r="FOI125" s="751"/>
      <c r="FOJ125" s="751"/>
      <c r="FOK125" s="751"/>
      <c r="FOL125" s="751"/>
      <c r="FOM125" s="751"/>
      <c r="FON125" s="751"/>
      <c r="FOO125" s="751"/>
      <c r="FOP125" s="751"/>
      <c r="FOQ125" s="751"/>
      <c r="FOR125" s="751"/>
      <c r="FOS125" s="751"/>
      <c r="FOT125" s="751"/>
      <c r="FOU125" s="751"/>
      <c r="FOV125" s="751"/>
      <c r="FOW125" s="751"/>
      <c r="FOX125" s="751"/>
      <c r="FOY125" s="751"/>
      <c r="FOZ125" s="751"/>
      <c r="FPA125" s="751"/>
      <c r="FPB125" s="751"/>
      <c r="FPC125" s="751"/>
      <c r="FPD125" s="751"/>
      <c r="FPE125" s="751"/>
      <c r="FPF125" s="751"/>
      <c r="FPG125" s="751"/>
      <c r="FPH125" s="751"/>
      <c r="FPI125" s="751"/>
      <c r="FPJ125" s="751"/>
      <c r="FPK125" s="751"/>
      <c r="FPL125" s="751"/>
      <c r="FPM125" s="751"/>
      <c r="FPN125" s="751"/>
      <c r="FPO125" s="751"/>
      <c r="FPP125" s="751"/>
      <c r="FPQ125" s="751"/>
      <c r="FPR125" s="751"/>
      <c r="FPS125" s="751"/>
      <c r="FPT125" s="751"/>
      <c r="FPU125" s="751"/>
      <c r="FPV125" s="751"/>
      <c r="FPW125" s="751"/>
      <c r="FPX125" s="751"/>
      <c r="FPY125" s="751"/>
      <c r="FPZ125" s="751"/>
      <c r="FQA125" s="751"/>
      <c r="FQB125" s="751"/>
      <c r="FQC125" s="751"/>
      <c r="FQD125" s="751"/>
      <c r="FQE125" s="751"/>
      <c r="FQF125" s="751"/>
      <c r="FQG125" s="751"/>
      <c r="FQH125" s="751"/>
      <c r="FQI125" s="751"/>
      <c r="FQJ125" s="751"/>
      <c r="FQK125" s="751"/>
      <c r="FQL125" s="751"/>
      <c r="FQM125" s="751"/>
      <c r="FQN125" s="751"/>
      <c r="FQO125" s="751"/>
      <c r="FQP125" s="751"/>
      <c r="FQQ125" s="751"/>
      <c r="FQR125" s="751"/>
      <c r="FQS125" s="751"/>
      <c r="FQT125" s="751"/>
      <c r="FQU125" s="751"/>
      <c r="FQV125" s="751"/>
      <c r="FQW125" s="751"/>
      <c r="FQX125" s="751"/>
      <c r="FQY125" s="751"/>
      <c r="FQZ125" s="751"/>
      <c r="FRA125" s="751"/>
      <c r="FRB125" s="751"/>
      <c r="FRC125" s="751"/>
      <c r="FRD125" s="751"/>
      <c r="FRE125" s="751"/>
      <c r="FRF125" s="751"/>
      <c r="FRG125" s="751"/>
      <c r="FRH125" s="751"/>
      <c r="FRI125" s="751"/>
      <c r="FRJ125" s="751"/>
      <c r="FRK125" s="751"/>
      <c r="FRL125" s="751"/>
      <c r="FRM125" s="751"/>
      <c r="FRN125" s="751"/>
      <c r="FRO125" s="751"/>
      <c r="FRP125" s="751"/>
      <c r="FRQ125" s="751"/>
      <c r="FRR125" s="751"/>
      <c r="FRS125" s="751"/>
      <c r="FRT125" s="751"/>
      <c r="FRU125" s="751"/>
      <c r="FRV125" s="751"/>
      <c r="FRW125" s="751"/>
      <c r="FRX125" s="751"/>
      <c r="FRY125" s="751"/>
      <c r="FRZ125" s="751"/>
      <c r="FSA125" s="751"/>
      <c r="FSB125" s="751"/>
      <c r="FSC125" s="751"/>
      <c r="FSD125" s="751"/>
      <c r="FSE125" s="751"/>
      <c r="FSF125" s="751"/>
      <c r="FSG125" s="751"/>
      <c r="FSH125" s="751"/>
      <c r="FSI125" s="751"/>
      <c r="FSJ125" s="751"/>
      <c r="FSK125" s="751"/>
      <c r="FSL125" s="751"/>
      <c r="FSM125" s="751"/>
      <c r="FSN125" s="751"/>
      <c r="FSO125" s="751"/>
      <c r="FSP125" s="751"/>
      <c r="FSQ125" s="751"/>
      <c r="FSR125" s="751"/>
      <c r="FSS125" s="751"/>
      <c r="FST125" s="751"/>
      <c r="FSU125" s="751"/>
      <c r="FSV125" s="751"/>
      <c r="FSW125" s="751"/>
      <c r="FSX125" s="751"/>
      <c r="FSY125" s="751"/>
      <c r="FSZ125" s="751"/>
      <c r="FTA125" s="751"/>
      <c r="FTB125" s="751"/>
      <c r="FTC125" s="751"/>
      <c r="FTD125" s="751"/>
      <c r="FTE125" s="751"/>
      <c r="FTF125" s="751"/>
      <c r="FTG125" s="751"/>
      <c r="FTH125" s="751"/>
      <c r="FTI125" s="751"/>
      <c r="FTJ125" s="751"/>
      <c r="FTK125" s="751"/>
      <c r="FTL125" s="751"/>
      <c r="FTM125" s="751"/>
      <c r="FTN125" s="751"/>
      <c r="FTO125" s="751"/>
      <c r="FTP125" s="751"/>
      <c r="FTQ125" s="751"/>
      <c r="FTR125" s="751"/>
      <c r="FTS125" s="751"/>
      <c r="FTT125" s="751"/>
      <c r="FTU125" s="751"/>
      <c r="FTV125" s="751"/>
      <c r="FTW125" s="751"/>
      <c r="FTX125" s="751"/>
      <c r="FTY125" s="751"/>
      <c r="FTZ125" s="751"/>
      <c r="FUA125" s="751"/>
      <c r="FUB125" s="751"/>
      <c r="FUC125" s="751"/>
      <c r="FUD125" s="751"/>
      <c r="FUE125" s="751"/>
      <c r="FUF125" s="751"/>
      <c r="FUG125" s="751"/>
      <c r="FUH125" s="751"/>
      <c r="FUI125" s="751"/>
      <c r="FUJ125" s="751"/>
      <c r="FUK125" s="751"/>
      <c r="FUL125" s="751"/>
      <c r="FUM125" s="751"/>
      <c r="FUN125" s="751"/>
      <c r="FUO125" s="751"/>
      <c r="FUP125" s="751"/>
      <c r="FUQ125" s="751"/>
      <c r="FUR125" s="751"/>
      <c r="FUS125" s="751"/>
      <c r="FUT125" s="751"/>
      <c r="FUU125" s="751"/>
      <c r="FUV125" s="751"/>
      <c r="FUW125" s="751"/>
      <c r="FUX125" s="751"/>
      <c r="FUY125" s="751"/>
      <c r="FUZ125" s="751"/>
      <c r="FVA125" s="751"/>
      <c r="FVB125" s="751"/>
      <c r="FVC125" s="751"/>
      <c r="FVD125" s="751"/>
      <c r="FVE125" s="751"/>
      <c r="FVF125" s="751"/>
      <c r="FVG125" s="751"/>
      <c r="FVH125" s="751"/>
      <c r="FVI125" s="751"/>
      <c r="FVJ125" s="751"/>
      <c r="FVK125" s="751"/>
      <c r="FVL125" s="751"/>
      <c r="FVM125" s="751"/>
      <c r="FVN125" s="751"/>
      <c r="FVO125" s="751"/>
      <c r="FVP125" s="751"/>
      <c r="FVQ125" s="751"/>
      <c r="FVR125" s="751"/>
      <c r="FVS125" s="751"/>
      <c r="FVT125" s="751"/>
      <c r="FVU125" s="751"/>
      <c r="FVV125" s="751"/>
      <c r="FVW125" s="751"/>
      <c r="FVX125" s="751"/>
      <c r="FVY125" s="751"/>
      <c r="FVZ125" s="751"/>
      <c r="FWA125" s="751"/>
      <c r="FWB125" s="751"/>
      <c r="FWC125" s="751"/>
      <c r="FWD125" s="751"/>
      <c r="FWE125" s="751"/>
      <c r="FWF125" s="751"/>
      <c r="FWG125" s="751"/>
      <c r="FWH125" s="751"/>
      <c r="FWI125" s="751"/>
      <c r="FWJ125" s="751"/>
      <c r="FWK125" s="751"/>
      <c r="FWL125" s="751"/>
      <c r="FWM125" s="751"/>
      <c r="FWN125" s="751"/>
      <c r="FWO125" s="751"/>
      <c r="FWP125" s="751"/>
      <c r="FWQ125" s="751"/>
      <c r="FWR125" s="751"/>
      <c r="FWS125" s="751"/>
      <c r="FWT125" s="751"/>
      <c r="FWU125" s="751"/>
      <c r="FWV125" s="751"/>
      <c r="FWW125" s="751"/>
      <c r="FWX125" s="751"/>
      <c r="FWY125" s="751"/>
      <c r="FWZ125" s="751"/>
      <c r="FXA125" s="751"/>
      <c r="FXB125" s="751"/>
      <c r="FXC125" s="751"/>
      <c r="FXD125" s="751"/>
      <c r="FXE125" s="751"/>
      <c r="FXF125" s="751"/>
      <c r="FXG125" s="751"/>
      <c r="FXH125" s="751"/>
      <c r="FXI125" s="751"/>
      <c r="FXJ125" s="751"/>
      <c r="FXK125" s="751"/>
      <c r="FXL125" s="751"/>
      <c r="FXM125" s="751"/>
      <c r="FXN125" s="751"/>
      <c r="FXO125" s="751"/>
      <c r="FXP125" s="751"/>
      <c r="FXQ125" s="751"/>
      <c r="FXR125" s="751"/>
      <c r="FXS125" s="751"/>
      <c r="FXT125" s="751"/>
      <c r="FXU125" s="751"/>
      <c r="FXV125" s="751"/>
      <c r="FXW125" s="751"/>
      <c r="FXX125" s="751"/>
      <c r="FXY125" s="751"/>
      <c r="FXZ125" s="751"/>
      <c r="FYA125" s="751"/>
      <c r="FYB125" s="751"/>
      <c r="FYC125" s="751"/>
      <c r="FYD125" s="751"/>
      <c r="FYE125" s="751"/>
      <c r="FYF125" s="751"/>
      <c r="FYG125" s="751"/>
      <c r="FYH125" s="751"/>
      <c r="FYI125" s="751"/>
      <c r="FYJ125" s="751"/>
      <c r="FYK125" s="751"/>
      <c r="FYL125" s="751"/>
      <c r="FYM125" s="751"/>
      <c r="FYN125" s="751"/>
      <c r="FYO125" s="751"/>
      <c r="FYP125" s="751"/>
      <c r="FYQ125" s="751"/>
      <c r="FYR125" s="751"/>
      <c r="FYS125" s="751"/>
      <c r="FYT125" s="751"/>
      <c r="FYU125" s="751"/>
      <c r="FYV125" s="751"/>
      <c r="FYW125" s="751"/>
      <c r="FYX125" s="751"/>
      <c r="FYY125" s="751"/>
      <c r="FYZ125" s="751"/>
      <c r="FZA125" s="751"/>
      <c r="FZB125" s="751"/>
      <c r="FZC125" s="751"/>
      <c r="FZD125" s="751"/>
      <c r="FZE125" s="751"/>
      <c r="FZF125" s="751"/>
      <c r="FZG125" s="751"/>
      <c r="FZH125" s="751"/>
      <c r="FZI125" s="751"/>
      <c r="FZJ125" s="751"/>
      <c r="FZK125" s="751"/>
      <c r="FZL125" s="751"/>
      <c r="FZM125" s="751"/>
      <c r="FZN125" s="751"/>
      <c r="FZO125" s="751"/>
      <c r="FZP125" s="751"/>
      <c r="FZQ125" s="751"/>
      <c r="FZR125" s="751"/>
      <c r="FZS125" s="751"/>
      <c r="FZT125" s="751"/>
      <c r="FZU125" s="751"/>
      <c r="FZV125" s="751"/>
      <c r="FZW125" s="751"/>
      <c r="FZX125" s="751"/>
      <c r="FZY125" s="751"/>
      <c r="FZZ125" s="751"/>
      <c r="GAA125" s="751"/>
      <c r="GAB125" s="751"/>
      <c r="GAC125" s="751"/>
      <c r="GAD125" s="751"/>
      <c r="GAE125" s="751"/>
      <c r="GAF125" s="751"/>
      <c r="GAG125" s="751"/>
      <c r="GAH125" s="751"/>
      <c r="GAI125" s="751"/>
      <c r="GAJ125" s="751"/>
      <c r="GAK125" s="751"/>
      <c r="GAL125" s="751"/>
      <c r="GAM125" s="751"/>
      <c r="GAN125" s="751"/>
      <c r="GAO125" s="751"/>
      <c r="GAP125" s="751"/>
      <c r="GAQ125" s="751"/>
      <c r="GAR125" s="751"/>
      <c r="GAS125" s="751"/>
      <c r="GAT125" s="751"/>
      <c r="GAU125" s="751"/>
      <c r="GAV125" s="751"/>
      <c r="GAW125" s="751"/>
      <c r="GAX125" s="751"/>
      <c r="GAY125" s="751"/>
      <c r="GAZ125" s="751"/>
      <c r="GBA125" s="751"/>
      <c r="GBB125" s="751"/>
      <c r="GBC125" s="751"/>
      <c r="GBD125" s="751"/>
      <c r="GBE125" s="751"/>
      <c r="GBF125" s="751"/>
      <c r="GBG125" s="751"/>
      <c r="GBH125" s="751"/>
      <c r="GBI125" s="751"/>
      <c r="GBJ125" s="751"/>
      <c r="GBK125" s="751"/>
      <c r="GBL125" s="751"/>
      <c r="GBM125" s="751"/>
      <c r="GBN125" s="751"/>
      <c r="GBO125" s="751"/>
      <c r="GBP125" s="751"/>
      <c r="GBQ125" s="751"/>
      <c r="GBR125" s="751"/>
      <c r="GBS125" s="751"/>
      <c r="GBT125" s="751"/>
      <c r="GBU125" s="751"/>
      <c r="GBV125" s="751"/>
      <c r="GBW125" s="751"/>
      <c r="GBX125" s="751"/>
      <c r="GBY125" s="751"/>
      <c r="GBZ125" s="751"/>
      <c r="GCA125" s="751"/>
      <c r="GCB125" s="751"/>
      <c r="GCC125" s="751"/>
      <c r="GCD125" s="751"/>
      <c r="GCE125" s="751"/>
      <c r="GCF125" s="751"/>
      <c r="GCG125" s="751"/>
      <c r="GCH125" s="751"/>
      <c r="GCI125" s="751"/>
      <c r="GCJ125" s="751"/>
      <c r="GCK125" s="751"/>
      <c r="GCL125" s="751"/>
      <c r="GCM125" s="751"/>
      <c r="GCN125" s="751"/>
      <c r="GCO125" s="751"/>
      <c r="GCP125" s="751"/>
      <c r="GCQ125" s="751"/>
      <c r="GCR125" s="751"/>
      <c r="GCS125" s="751"/>
      <c r="GCT125" s="751"/>
      <c r="GCU125" s="751"/>
      <c r="GCV125" s="751"/>
      <c r="GCW125" s="751"/>
      <c r="GCX125" s="751"/>
      <c r="GCY125" s="751"/>
      <c r="GCZ125" s="751"/>
      <c r="GDA125" s="751"/>
      <c r="GDB125" s="751"/>
      <c r="GDC125" s="751"/>
      <c r="GDD125" s="751"/>
      <c r="GDE125" s="751"/>
      <c r="GDF125" s="751"/>
      <c r="GDG125" s="751"/>
      <c r="GDH125" s="751"/>
      <c r="GDI125" s="751"/>
      <c r="GDJ125" s="751"/>
      <c r="GDK125" s="751"/>
      <c r="GDL125" s="751"/>
      <c r="GDM125" s="751"/>
      <c r="GDN125" s="751"/>
      <c r="GDO125" s="751"/>
      <c r="GDP125" s="751"/>
      <c r="GDQ125" s="751"/>
      <c r="GDR125" s="751"/>
      <c r="GDS125" s="751"/>
      <c r="GDT125" s="751"/>
      <c r="GDU125" s="751"/>
      <c r="GDV125" s="751"/>
      <c r="GDW125" s="751"/>
      <c r="GDX125" s="751"/>
      <c r="GDY125" s="751"/>
      <c r="GDZ125" s="751"/>
      <c r="GEA125" s="751"/>
      <c r="GEB125" s="751"/>
      <c r="GEC125" s="751"/>
      <c r="GED125" s="751"/>
      <c r="GEE125" s="751"/>
      <c r="GEF125" s="751"/>
      <c r="GEG125" s="751"/>
      <c r="GEH125" s="751"/>
      <c r="GEI125" s="751"/>
      <c r="GEJ125" s="751"/>
      <c r="GEK125" s="751"/>
      <c r="GEL125" s="751"/>
      <c r="GEM125" s="751"/>
      <c r="GEN125" s="751"/>
      <c r="GEO125" s="751"/>
      <c r="GEP125" s="751"/>
      <c r="GEQ125" s="751"/>
      <c r="GER125" s="751"/>
      <c r="GES125" s="751"/>
      <c r="GET125" s="751"/>
      <c r="GEU125" s="751"/>
      <c r="GEV125" s="751"/>
      <c r="GEW125" s="751"/>
      <c r="GEX125" s="751"/>
      <c r="GEY125" s="751"/>
      <c r="GEZ125" s="751"/>
      <c r="GFA125" s="751"/>
      <c r="GFB125" s="751"/>
      <c r="GFC125" s="751"/>
      <c r="GFD125" s="751"/>
      <c r="GFE125" s="751"/>
      <c r="GFF125" s="751"/>
      <c r="GFG125" s="751"/>
      <c r="GFH125" s="751"/>
      <c r="GFI125" s="751"/>
      <c r="GFJ125" s="751"/>
      <c r="GFK125" s="751"/>
      <c r="GFL125" s="751"/>
      <c r="GFM125" s="751"/>
      <c r="GFN125" s="751"/>
      <c r="GFO125" s="751"/>
      <c r="GFP125" s="751"/>
      <c r="GFQ125" s="751"/>
      <c r="GFR125" s="751"/>
      <c r="GFS125" s="751"/>
      <c r="GFT125" s="751"/>
      <c r="GFU125" s="751"/>
      <c r="GFV125" s="751"/>
      <c r="GFW125" s="751"/>
      <c r="GFX125" s="751"/>
      <c r="GFY125" s="751"/>
      <c r="GFZ125" s="751"/>
      <c r="GGA125" s="751"/>
      <c r="GGB125" s="751"/>
      <c r="GGC125" s="751"/>
      <c r="GGD125" s="751"/>
      <c r="GGE125" s="751"/>
      <c r="GGF125" s="751"/>
      <c r="GGG125" s="751"/>
      <c r="GGH125" s="751"/>
      <c r="GGI125" s="751"/>
      <c r="GGJ125" s="751"/>
      <c r="GGK125" s="751"/>
      <c r="GGL125" s="751"/>
      <c r="GGM125" s="751"/>
      <c r="GGN125" s="751"/>
      <c r="GGO125" s="751"/>
      <c r="GGP125" s="751"/>
      <c r="GGQ125" s="751"/>
      <c r="GGR125" s="751"/>
      <c r="GGS125" s="751"/>
      <c r="GGT125" s="751"/>
      <c r="GGU125" s="751"/>
      <c r="GGV125" s="751"/>
      <c r="GGW125" s="751"/>
      <c r="GGX125" s="751"/>
      <c r="GGY125" s="751"/>
      <c r="GGZ125" s="751"/>
      <c r="GHA125" s="751"/>
      <c r="GHB125" s="751"/>
      <c r="GHC125" s="751"/>
      <c r="GHD125" s="751"/>
      <c r="GHE125" s="751"/>
      <c r="GHF125" s="751"/>
      <c r="GHG125" s="751"/>
      <c r="GHH125" s="751"/>
      <c r="GHI125" s="751"/>
      <c r="GHJ125" s="751"/>
      <c r="GHK125" s="751"/>
      <c r="GHL125" s="751"/>
      <c r="GHM125" s="751"/>
      <c r="GHN125" s="751"/>
      <c r="GHO125" s="751"/>
      <c r="GHP125" s="751"/>
      <c r="GHQ125" s="751"/>
      <c r="GHR125" s="751"/>
      <c r="GHS125" s="751"/>
      <c r="GHT125" s="751"/>
      <c r="GHU125" s="751"/>
      <c r="GHV125" s="751"/>
      <c r="GHW125" s="751"/>
      <c r="GHX125" s="751"/>
      <c r="GHY125" s="751"/>
      <c r="GHZ125" s="751"/>
      <c r="GIA125" s="751"/>
      <c r="GIB125" s="751"/>
      <c r="GIC125" s="751"/>
      <c r="GID125" s="751"/>
      <c r="GIE125" s="751"/>
      <c r="GIF125" s="751"/>
      <c r="GIG125" s="751"/>
      <c r="GIH125" s="751"/>
      <c r="GII125" s="751"/>
      <c r="GIJ125" s="751"/>
      <c r="GIK125" s="751"/>
      <c r="GIL125" s="751"/>
      <c r="GIM125" s="751"/>
      <c r="GIN125" s="751"/>
      <c r="GIO125" s="751"/>
      <c r="GIP125" s="751"/>
      <c r="GIQ125" s="751"/>
      <c r="GIR125" s="751"/>
      <c r="GIS125" s="751"/>
      <c r="GIT125" s="751"/>
      <c r="GIU125" s="751"/>
      <c r="GIV125" s="751"/>
      <c r="GIW125" s="751"/>
      <c r="GIX125" s="751"/>
      <c r="GIY125" s="751"/>
      <c r="GIZ125" s="751"/>
      <c r="GJA125" s="751"/>
      <c r="GJB125" s="751"/>
      <c r="GJC125" s="751"/>
      <c r="GJD125" s="751"/>
      <c r="GJE125" s="751"/>
      <c r="GJF125" s="751"/>
      <c r="GJG125" s="751"/>
      <c r="GJH125" s="751"/>
      <c r="GJI125" s="751"/>
      <c r="GJJ125" s="751"/>
      <c r="GJK125" s="751"/>
      <c r="GJL125" s="751"/>
      <c r="GJM125" s="751"/>
      <c r="GJN125" s="751"/>
      <c r="GJO125" s="751"/>
      <c r="GJP125" s="751"/>
      <c r="GJQ125" s="751"/>
      <c r="GJR125" s="751"/>
      <c r="GJS125" s="751"/>
      <c r="GJT125" s="751"/>
      <c r="GJU125" s="751"/>
      <c r="GJV125" s="751"/>
      <c r="GJW125" s="751"/>
      <c r="GJX125" s="751"/>
      <c r="GJY125" s="751"/>
      <c r="GJZ125" s="751"/>
      <c r="GKA125" s="751"/>
      <c r="GKB125" s="751"/>
      <c r="GKC125" s="751"/>
      <c r="GKD125" s="751"/>
      <c r="GKE125" s="751"/>
      <c r="GKF125" s="751"/>
      <c r="GKG125" s="751"/>
      <c r="GKH125" s="751"/>
      <c r="GKI125" s="751"/>
      <c r="GKJ125" s="751"/>
      <c r="GKK125" s="751"/>
      <c r="GKL125" s="751"/>
      <c r="GKM125" s="751"/>
      <c r="GKN125" s="751"/>
      <c r="GKO125" s="751"/>
      <c r="GKP125" s="751"/>
      <c r="GKQ125" s="751"/>
      <c r="GKR125" s="751"/>
      <c r="GKS125" s="751"/>
      <c r="GKT125" s="751"/>
      <c r="GKU125" s="751"/>
      <c r="GKV125" s="751"/>
      <c r="GKW125" s="751"/>
      <c r="GKX125" s="751"/>
      <c r="GKY125" s="751"/>
      <c r="GKZ125" s="751"/>
      <c r="GLA125" s="751"/>
      <c r="GLB125" s="751"/>
      <c r="GLC125" s="751"/>
      <c r="GLD125" s="751"/>
      <c r="GLE125" s="751"/>
      <c r="GLF125" s="751"/>
      <c r="GLG125" s="751"/>
      <c r="GLH125" s="751"/>
      <c r="GLI125" s="751"/>
      <c r="GLJ125" s="751"/>
      <c r="GLK125" s="751"/>
      <c r="GLL125" s="751"/>
      <c r="GLM125" s="751"/>
      <c r="GLN125" s="751"/>
      <c r="GLO125" s="751"/>
      <c r="GLP125" s="751"/>
      <c r="GLQ125" s="751"/>
      <c r="GLR125" s="751"/>
      <c r="GLS125" s="751"/>
      <c r="GLT125" s="751"/>
      <c r="GLU125" s="751"/>
      <c r="GLV125" s="751"/>
      <c r="GLW125" s="751"/>
      <c r="GLX125" s="751"/>
      <c r="GLY125" s="751"/>
      <c r="GLZ125" s="751"/>
      <c r="GMA125" s="751"/>
      <c r="GMB125" s="751"/>
      <c r="GMC125" s="751"/>
      <c r="GMD125" s="751"/>
      <c r="GME125" s="751"/>
      <c r="GMF125" s="751"/>
      <c r="GMG125" s="751"/>
      <c r="GMH125" s="751"/>
      <c r="GMI125" s="751"/>
      <c r="GMJ125" s="751"/>
      <c r="GMK125" s="751"/>
      <c r="GML125" s="751"/>
      <c r="GMM125" s="751"/>
      <c r="GMN125" s="751"/>
      <c r="GMO125" s="751"/>
      <c r="GMP125" s="751"/>
      <c r="GMQ125" s="751"/>
      <c r="GMR125" s="751"/>
      <c r="GMS125" s="751"/>
      <c r="GMT125" s="751"/>
      <c r="GMU125" s="751"/>
      <c r="GMV125" s="751"/>
      <c r="GMW125" s="751"/>
      <c r="GMX125" s="751"/>
      <c r="GMY125" s="751"/>
      <c r="GMZ125" s="751"/>
      <c r="GNA125" s="751"/>
      <c r="GNB125" s="751"/>
      <c r="GNC125" s="751"/>
      <c r="GND125" s="751"/>
      <c r="GNE125" s="751"/>
      <c r="GNF125" s="751"/>
      <c r="GNG125" s="751"/>
      <c r="GNH125" s="751"/>
      <c r="GNI125" s="751"/>
      <c r="GNJ125" s="751"/>
      <c r="GNK125" s="751"/>
      <c r="GNL125" s="751"/>
      <c r="GNM125" s="751"/>
      <c r="GNN125" s="751"/>
      <c r="GNO125" s="751"/>
      <c r="GNP125" s="751"/>
      <c r="GNQ125" s="751"/>
      <c r="GNR125" s="751"/>
      <c r="GNS125" s="751"/>
      <c r="GNT125" s="751"/>
      <c r="GNU125" s="751"/>
      <c r="GNV125" s="751"/>
      <c r="GNW125" s="751"/>
      <c r="GNX125" s="751"/>
      <c r="GNY125" s="751"/>
      <c r="GNZ125" s="751"/>
      <c r="GOA125" s="751"/>
      <c r="GOB125" s="751"/>
      <c r="GOC125" s="751"/>
      <c r="GOD125" s="751"/>
      <c r="GOE125" s="751"/>
      <c r="GOF125" s="751"/>
      <c r="GOG125" s="751"/>
      <c r="GOH125" s="751"/>
      <c r="GOI125" s="751"/>
      <c r="GOJ125" s="751"/>
      <c r="GOK125" s="751"/>
      <c r="GOL125" s="751"/>
      <c r="GOM125" s="751"/>
      <c r="GON125" s="751"/>
      <c r="GOO125" s="751"/>
      <c r="GOP125" s="751"/>
      <c r="GOQ125" s="751"/>
      <c r="GOR125" s="751"/>
      <c r="GOS125" s="751"/>
      <c r="GOT125" s="751"/>
      <c r="GOU125" s="751"/>
      <c r="GOV125" s="751"/>
      <c r="GOW125" s="751"/>
      <c r="GOX125" s="751"/>
      <c r="GOY125" s="751"/>
      <c r="GOZ125" s="751"/>
      <c r="GPA125" s="751"/>
      <c r="GPB125" s="751"/>
      <c r="GPC125" s="751"/>
      <c r="GPD125" s="751"/>
      <c r="GPE125" s="751"/>
      <c r="GPF125" s="751"/>
      <c r="GPG125" s="751"/>
      <c r="GPH125" s="751"/>
      <c r="GPI125" s="751"/>
      <c r="GPJ125" s="751"/>
      <c r="GPK125" s="751"/>
      <c r="GPL125" s="751"/>
      <c r="GPM125" s="751"/>
      <c r="GPN125" s="751"/>
      <c r="GPO125" s="751"/>
      <c r="GPP125" s="751"/>
      <c r="GPQ125" s="751"/>
      <c r="GPR125" s="751"/>
      <c r="GPS125" s="751"/>
      <c r="GPT125" s="751"/>
      <c r="GPU125" s="751"/>
      <c r="GPV125" s="751"/>
      <c r="GPW125" s="751"/>
      <c r="GPX125" s="751"/>
      <c r="GPY125" s="751"/>
      <c r="GPZ125" s="751"/>
      <c r="GQA125" s="751"/>
      <c r="GQB125" s="751"/>
      <c r="GQC125" s="751"/>
      <c r="GQD125" s="751"/>
      <c r="GQE125" s="751"/>
      <c r="GQF125" s="751"/>
      <c r="GQG125" s="751"/>
      <c r="GQH125" s="751"/>
      <c r="GQI125" s="751"/>
      <c r="GQJ125" s="751"/>
      <c r="GQK125" s="751"/>
      <c r="GQL125" s="751"/>
      <c r="GQM125" s="751"/>
      <c r="GQN125" s="751"/>
      <c r="GQO125" s="751"/>
      <c r="GQP125" s="751"/>
      <c r="GQQ125" s="751"/>
      <c r="GQR125" s="751"/>
      <c r="GQS125" s="751"/>
      <c r="GQT125" s="751"/>
      <c r="GQU125" s="751"/>
      <c r="GQV125" s="751"/>
      <c r="GQW125" s="751"/>
      <c r="GQX125" s="751"/>
      <c r="GQY125" s="751"/>
      <c r="GQZ125" s="751"/>
      <c r="GRA125" s="751"/>
      <c r="GRB125" s="751"/>
      <c r="GRC125" s="751"/>
      <c r="GRD125" s="751"/>
      <c r="GRE125" s="751"/>
      <c r="GRF125" s="751"/>
      <c r="GRG125" s="751"/>
      <c r="GRH125" s="751"/>
      <c r="GRI125" s="751"/>
      <c r="GRJ125" s="751"/>
      <c r="GRK125" s="751"/>
      <c r="GRL125" s="751"/>
      <c r="GRM125" s="751"/>
      <c r="GRN125" s="751"/>
      <c r="GRO125" s="751"/>
      <c r="GRP125" s="751"/>
      <c r="GRQ125" s="751"/>
      <c r="GRR125" s="751"/>
      <c r="GRS125" s="751"/>
      <c r="GRT125" s="751"/>
      <c r="GRU125" s="751"/>
      <c r="GRV125" s="751"/>
      <c r="GRW125" s="751"/>
      <c r="GRX125" s="751"/>
      <c r="GRY125" s="751"/>
      <c r="GRZ125" s="751"/>
      <c r="GSA125" s="751"/>
      <c r="GSB125" s="751"/>
      <c r="GSC125" s="751"/>
      <c r="GSD125" s="751"/>
      <c r="GSE125" s="751"/>
      <c r="GSF125" s="751"/>
      <c r="GSG125" s="751"/>
      <c r="GSH125" s="751"/>
      <c r="GSI125" s="751"/>
      <c r="GSJ125" s="751"/>
      <c r="GSK125" s="751"/>
      <c r="GSL125" s="751"/>
      <c r="GSM125" s="751"/>
      <c r="GSN125" s="751"/>
      <c r="GSO125" s="751"/>
      <c r="GSP125" s="751"/>
      <c r="GSQ125" s="751"/>
      <c r="GSR125" s="751"/>
      <c r="GSS125" s="751"/>
      <c r="GST125" s="751"/>
      <c r="GSU125" s="751"/>
      <c r="GSV125" s="751"/>
      <c r="GSW125" s="751"/>
      <c r="GSX125" s="751"/>
      <c r="GSY125" s="751"/>
      <c r="GSZ125" s="751"/>
      <c r="GTA125" s="751"/>
      <c r="GTB125" s="751"/>
      <c r="GTC125" s="751"/>
      <c r="GTD125" s="751"/>
      <c r="GTE125" s="751"/>
      <c r="GTF125" s="751"/>
      <c r="GTG125" s="751"/>
      <c r="GTH125" s="751"/>
      <c r="GTI125" s="751"/>
      <c r="GTJ125" s="751"/>
      <c r="GTK125" s="751"/>
      <c r="GTL125" s="751"/>
      <c r="GTM125" s="751"/>
      <c r="GTN125" s="751"/>
      <c r="GTO125" s="751"/>
      <c r="GTP125" s="751"/>
      <c r="GTQ125" s="751"/>
      <c r="GTR125" s="751"/>
      <c r="GTS125" s="751"/>
      <c r="GTT125" s="751"/>
      <c r="GTU125" s="751"/>
      <c r="GTV125" s="751"/>
      <c r="GTW125" s="751"/>
      <c r="GTX125" s="751"/>
      <c r="GTY125" s="751"/>
      <c r="GTZ125" s="751"/>
      <c r="GUA125" s="751"/>
      <c r="GUB125" s="751"/>
      <c r="GUC125" s="751"/>
      <c r="GUD125" s="751"/>
      <c r="GUE125" s="751"/>
      <c r="GUF125" s="751"/>
      <c r="GUG125" s="751"/>
      <c r="GUH125" s="751"/>
      <c r="GUI125" s="751"/>
      <c r="GUJ125" s="751"/>
      <c r="GUK125" s="751"/>
      <c r="GUL125" s="751"/>
      <c r="GUM125" s="751"/>
      <c r="GUN125" s="751"/>
      <c r="GUO125" s="751"/>
      <c r="GUP125" s="751"/>
      <c r="GUQ125" s="751"/>
      <c r="GUR125" s="751"/>
      <c r="GUS125" s="751"/>
      <c r="GUT125" s="751"/>
      <c r="GUU125" s="751"/>
      <c r="GUV125" s="751"/>
      <c r="GUW125" s="751"/>
      <c r="GUX125" s="751"/>
      <c r="GUY125" s="751"/>
      <c r="GUZ125" s="751"/>
      <c r="GVA125" s="751"/>
      <c r="GVB125" s="751"/>
      <c r="GVC125" s="751"/>
      <c r="GVD125" s="751"/>
      <c r="GVE125" s="751"/>
      <c r="GVF125" s="751"/>
      <c r="GVG125" s="751"/>
      <c r="GVH125" s="751"/>
      <c r="GVI125" s="751"/>
      <c r="GVJ125" s="751"/>
      <c r="GVK125" s="751"/>
      <c r="GVL125" s="751"/>
      <c r="GVM125" s="751"/>
      <c r="GVN125" s="751"/>
      <c r="GVO125" s="751"/>
      <c r="GVP125" s="751"/>
      <c r="GVQ125" s="751"/>
      <c r="GVR125" s="751"/>
      <c r="GVS125" s="751"/>
      <c r="GVT125" s="751"/>
      <c r="GVU125" s="751"/>
      <c r="GVV125" s="751"/>
      <c r="GVW125" s="751"/>
      <c r="GVX125" s="751"/>
      <c r="GVY125" s="751"/>
      <c r="GVZ125" s="751"/>
      <c r="GWA125" s="751"/>
      <c r="GWB125" s="751"/>
      <c r="GWC125" s="751"/>
      <c r="GWD125" s="751"/>
      <c r="GWE125" s="751"/>
      <c r="GWF125" s="751"/>
      <c r="GWG125" s="751"/>
      <c r="GWH125" s="751"/>
      <c r="GWI125" s="751"/>
      <c r="GWJ125" s="751"/>
      <c r="GWK125" s="751"/>
      <c r="GWL125" s="751"/>
      <c r="GWM125" s="751"/>
      <c r="GWN125" s="751"/>
      <c r="GWO125" s="751"/>
      <c r="GWP125" s="751"/>
      <c r="GWQ125" s="751"/>
      <c r="GWR125" s="751"/>
      <c r="GWS125" s="751"/>
      <c r="GWT125" s="751"/>
      <c r="GWU125" s="751"/>
      <c r="GWV125" s="751"/>
      <c r="GWW125" s="751"/>
      <c r="GWX125" s="751"/>
      <c r="GWY125" s="751"/>
      <c r="GWZ125" s="751"/>
      <c r="GXA125" s="751"/>
      <c r="GXB125" s="751"/>
      <c r="GXC125" s="751"/>
      <c r="GXD125" s="751"/>
      <c r="GXE125" s="751"/>
      <c r="GXF125" s="751"/>
      <c r="GXG125" s="751"/>
      <c r="GXH125" s="751"/>
      <c r="GXI125" s="751"/>
      <c r="GXJ125" s="751"/>
      <c r="GXK125" s="751"/>
      <c r="GXL125" s="751"/>
      <c r="GXM125" s="751"/>
      <c r="GXN125" s="751"/>
      <c r="GXO125" s="751"/>
      <c r="GXP125" s="751"/>
      <c r="GXQ125" s="751"/>
      <c r="GXR125" s="751"/>
      <c r="GXS125" s="751"/>
      <c r="GXT125" s="751"/>
      <c r="GXU125" s="751"/>
      <c r="GXV125" s="751"/>
      <c r="GXW125" s="751"/>
      <c r="GXX125" s="751"/>
      <c r="GXY125" s="751"/>
      <c r="GXZ125" s="751"/>
      <c r="GYA125" s="751"/>
      <c r="GYB125" s="751"/>
      <c r="GYC125" s="751"/>
      <c r="GYD125" s="751"/>
      <c r="GYE125" s="751"/>
      <c r="GYF125" s="751"/>
      <c r="GYG125" s="751"/>
      <c r="GYH125" s="751"/>
      <c r="GYI125" s="751"/>
      <c r="GYJ125" s="751"/>
      <c r="GYK125" s="751"/>
      <c r="GYL125" s="751"/>
      <c r="GYM125" s="751"/>
      <c r="GYN125" s="751"/>
      <c r="GYO125" s="751"/>
      <c r="GYP125" s="751"/>
      <c r="GYQ125" s="751"/>
      <c r="GYR125" s="751"/>
      <c r="GYS125" s="751"/>
      <c r="GYT125" s="751"/>
      <c r="GYU125" s="751"/>
      <c r="GYV125" s="751"/>
      <c r="GYW125" s="751"/>
      <c r="GYX125" s="751"/>
      <c r="GYY125" s="751"/>
      <c r="GYZ125" s="751"/>
      <c r="GZA125" s="751"/>
      <c r="GZB125" s="751"/>
      <c r="GZC125" s="751"/>
      <c r="GZD125" s="751"/>
      <c r="GZE125" s="751"/>
      <c r="GZF125" s="751"/>
      <c r="GZG125" s="751"/>
      <c r="GZH125" s="751"/>
      <c r="GZI125" s="751"/>
      <c r="GZJ125" s="751"/>
      <c r="GZK125" s="751"/>
      <c r="GZL125" s="751"/>
      <c r="GZM125" s="751"/>
      <c r="GZN125" s="751"/>
      <c r="GZO125" s="751"/>
      <c r="GZP125" s="751"/>
      <c r="GZQ125" s="751"/>
      <c r="GZR125" s="751"/>
      <c r="GZS125" s="751"/>
      <c r="GZT125" s="751"/>
      <c r="GZU125" s="751"/>
      <c r="GZV125" s="751"/>
      <c r="GZW125" s="751"/>
      <c r="GZX125" s="751"/>
      <c r="GZY125" s="751"/>
      <c r="GZZ125" s="751"/>
      <c r="HAA125" s="751"/>
      <c r="HAB125" s="751"/>
      <c r="HAC125" s="751"/>
      <c r="HAD125" s="751"/>
      <c r="HAE125" s="751"/>
      <c r="HAF125" s="751"/>
      <c r="HAG125" s="751"/>
      <c r="HAH125" s="751"/>
      <c r="HAI125" s="751"/>
      <c r="HAJ125" s="751"/>
      <c r="HAK125" s="751"/>
      <c r="HAL125" s="751"/>
      <c r="HAM125" s="751"/>
      <c r="HAN125" s="751"/>
      <c r="HAO125" s="751"/>
      <c r="HAP125" s="751"/>
      <c r="HAQ125" s="751"/>
      <c r="HAR125" s="751"/>
      <c r="HAS125" s="751"/>
      <c r="HAT125" s="751"/>
      <c r="HAU125" s="751"/>
      <c r="HAV125" s="751"/>
      <c r="HAW125" s="751"/>
      <c r="HAX125" s="751"/>
      <c r="HAY125" s="751"/>
      <c r="HAZ125" s="751"/>
      <c r="HBA125" s="751"/>
      <c r="HBB125" s="751"/>
      <c r="HBC125" s="751"/>
      <c r="HBD125" s="751"/>
      <c r="HBE125" s="751"/>
      <c r="HBF125" s="751"/>
      <c r="HBG125" s="751"/>
      <c r="HBH125" s="751"/>
      <c r="HBI125" s="751"/>
      <c r="HBJ125" s="751"/>
      <c r="HBK125" s="751"/>
      <c r="HBL125" s="751"/>
      <c r="HBM125" s="751"/>
      <c r="HBN125" s="751"/>
      <c r="HBO125" s="751"/>
      <c r="HBP125" s="751"/>
      <c r="HBQ125" s="751"/>
      <c r="HBR125" s="751"/>
      <c r="HBS125" s="751"/>
      <c r="HBT125" s="751"/>
      <c r="HBU125" s="751"/>
      <c r="HBV125" s="751"/>
      <c r="HBW125" s="751"/>
      <c r="HBX125" s="751"/>
      <c r="HBY125" s="751"/>
      <c r="HBZ125" s="751"/>
      <c r="HCA125" s="751"/>
      <c r="HCB125" s="751"/>
      <c r="HCC125" s="751"/>
      <c r="HCD125" s="751"/>
      <c r="HCE125" s="751"/>
      <c r="HCF125" s="751"/>
      <c r="HCG125" s="751"/>
      <c r="HCH125" s="751"/>
      <c r="HCI125" s="751"/>
      <c r="HCJ125" s="751"/>
      <c r="HCK125" s="751"/>
      <c r="HCL125" s="751"/>
      <c r="HCM125" s="751"/>
      <c r="HCN125" s="751"/>
      <c r="HCO125" s="751"/>
      <c r="HCP125" s="751"/>
      <c r="HCQ125" s="751"/>
      <c r="HCR125" s="751"/>
      <c r="HCS125" s="751"/>
      <c r="HCT125" s="751"/>
      <c r="HCU125" s="751"/>
      <c r="HCV125" s="751"/>
      <c r="HCW125" s="751"/>
      <c r="HCX125" s="751"/>
      <c r="HCY125" s="751"/>
      <c r="HCZ125" s="751"/>
      <c r="HDA125" s="751"/>
      <c r="HDB125" s="751"/>
      <c r="HDC125" s="751"/>
      <c r="HDD125" s="751"/>
      <c r="HDE125" s="751"/>
      <c r="HDF125" s="751"/>
      <c r="HDG125" s="751"/>
      <c r="HDH125" s="751"/>
      <c r="HDI125" s="751"/>
      <c r="HDJ125" s="751"/>
      <c r="HDK125" s="751"/>
      <c r="HDL125" s="751"/>
      <c r="HDM125" s="751"/>
      <c r="HDN125" s="751"/>
      <c r="HDO125" s="751"/>
      <c r="HDP125" s="751"/>
      <c r="HDQ125" s="751"/>
      <c r="HDR125" s="751"/>
      <c r="HDS125" s="751"/>
      <c r="HDT125" s="751"/>
      <c r="HDU125" s="751"/>
      <c r="HDV125" s="751"/>
      <c r="HDW125" s="751"/>
      <c r="HDX125" s="751"/>
      <c r="HDY125" s="751"/>
      <c r="HDZ125" s="751"/>
      <c r="HEA125" s="751"/>
      <c r="HEB125" s="751"/>
      <c r="HEC125" s="751"/>
      <c r="HED125" s="751"/>
      <c r="HEE125" s="751"/>
      <c r="HEF125" s="751"/>
      <c r="HEG125" s="751"/>
      <c r="HEH125" s="751"/>
      <c r="HEI125" s="751"/>
      <c r="HEJ125" s="751"/>
      <c r="HEK125" s="751"/>
      <c r="HEL125" s="751"/>
      <c r="HEM125" s="751"/>
      <c r="HEN125" s="751"/>
      <c r="HEO125" s="751"/>
      <c r="HEP125" s="751"/>
      <c r="HEQ125" s="751"/>
      <c r="HER125" s="751"/>
      <c r="HES125" s="751"/>
      <c r="HET125" s="751"/>
      <c r="HEU125" s="751"/>
      <c r="HEV125" s="751"/>
      <c r="HEW125" s="751"/>
      <c r="HEX125" s="751"/>
      <c r="HEY125" s="751"/>
      <c r="HEZ125" s="751"/>
      <c r="HFA125" s="751"/>
      <c r="HFB125" s="751"/>
      <c r="HFC125" s="751"/>
      <c r="HFD125" s="751"/>
      <c r="HFE125" s="751"/>
      <c r="HFF125" s="751"/>
      <c r="HFG125" s="751"/>
      <c r="HFH125" s="751"/>
      <c r="HFI125" s="751"/>
      <c r="HFJ125" s="751"/>
      <c r="HFK125" s="751"/>
      <c r="HFL125" s="751"/>
      <c r="HFM125" s="751"/>
      <c r="HFN125" s="751"/>
      <c r="HFO125" s="751"/>
      <c r="HFP125" s="751"/>
      <c r="HFQ125" s="751"/>
      <c r="HFR125" s="751"/>
      <c r="HFS125" s="751"/>
      <c r="HFT125" s="751"/>
      <c r="HFU125" s="751"/>
      <c r="HFV125" s="751"/>
      <c r="HFW125" s="751"/>
      <c r="HFX125" s="751"/>
      <c r="HFY125" s="751"/>
      <c r="HFZ125" s="751"/>
      <c r="HGA125" s="751"/>
      <c r="HGB125" s="751"/>
      <c r="HGC125" s="751"/>
      <c r="HGD125" s="751"/>
      <c r="HGE125" s="751"/>
      <c r="HGF125" s="751"/>
      <c r="HGG125" s="751"/>
      <c r="HGH125" s="751"/>
      <c r="HGI125" s="751"/>
      <c r="HGJ125" s="751"/>
      <c r="HGK125" s="751"/>
      <c r="HGL125" s="751"/>
      <c r="HGM125" s="751"/>
      <c r="HGN125" s="751"/>
      <c r="HGO125" s="751"/>
      <c r="HGP125" s="751"/>
      <c r="HGQ125" s="751"/>
      <c r="HGR125" s="751"/>
      <c r="HGS125" s="751"/>
      <c r="HGT125" s="751"/>
      <c r="HGU125" s="751"/>
      <c r="HGV125" s="751"/>
      <c r="HGW125" s="751"/>
      <c r="HGX125" s="751"/>
      <c r="HGY125" s="751"/>
      <c r="HGZ125" s="751"/>
      <c r="HHA125" s="751"/>
      <c r="HHB125" s="751"/>
      <c r="HHC125" s="751"/>
      <c r="HHD125" s="751"/>
      <c r="HHE125" s="751"/>
      <c r="HHF125" s="751"/>
      <c r="HHG125" s="751"/>
      <c r="HHH125" s="751"/>
      <c r="HHI125" s="751"/>
      <c r="HHJ125" s="751"/>
      <c r="HHK125" s="751"/>
      <c r="HHL125" s="751"/>
      <c r="HHM125" s="751"/>
      <c r="HHN125" s="751"/>
      <c r="HHO125" s="751"/>
      <c r="HHP125" s="751"/>
      <c r="HHQ125" s="751"/>
      <c r="HHR125" s="751"/>
      <c r="HHS125" s="751"/>
      <c r="HHT125" s="751"/>
      <c r="HHU125" s="751"/>
      <c r="HHV125" s="751"/>
      <c r="HHW125" s="751"/>
      <c r="HHX125" s="751"/>
      <c r="HHY125" s="751"/>
      <c r="HHZ125" s="751"/>
      <c r="HIA125" s="751"/>
      <c r="HIB125" s="751"/>
      <c r="HIC125" s="751"/>
      <c r="HID125" s="751"/>
      <c r="HIE125" s="751"/>
      <c r="HIF125" s="751"/>
      <c r="HIG125" s="751"/>
      <c r="HIH125" s="751"/>
      <c r="HII125" s="751"/>
      <c r="HIJ125" s="751"/>
      <c r="HIK125" s="751"/>
      <c r="HIL125" s="751"/>
      <c r="HIM125" s="751"/>
      <c r="HIN125" s="751"/>
      <c r="HIO125" s="751"/>
      <c r="HIP125" s="751"/>
      <c r="HIQ125" s="751"/>
      <c r="HIR125" s="751"/>
      <c r="HIS125" s="751"/>
      <c r="HIT125" s="751"/>
      <c r="HIU125" s="751"/>
      <c r="HIV125" s="751"/>
      <c r="HIW125" s="751"/>
      <c r="HIX125" s="751"/>
      <c r="HIY125" s="751"/>
      <c r="HIZ125" s="751"/>
      <c r="HJA125" s="751"/>
      <c r="HJB125" s="751"/>
      <c r="HJC125" s="751"/>
      <c r="HJD125" s="751"/>
      <c r="HJE125" s="751"/>
      <c r="HJF125" s="751"/>
      <c r="HJG125" s="751"/>
      <c r="HJH125" s="751"/>
      <c r="HJI125" s="751"/>
      <c r="HJJ125" s="751"/>
      <c r="HJK125" s="751"/>
      <c r="HJL125" s="751"/>
      <c r="HJM125" s="751"/>
      <c r="HJN125" s="751"/>
      <c r="HJO125" s="751"/>
      <c r="HJP125" s="751"/>
      <c r="HJQ125" s="751"/>
      <c r="HJR125" s="751"/>
      <c r="HJS125" s="751"/>
      <c r="HJT125" s="751"/>
      <c r="HJU125" s="751"/>
      <c r="HJV125" s="751"/>
      <c r="HJW125" s="751"/>
      <c r="HJX125" s="751"/>
      <c r="HJY125" s="751"/>
      <c r="HJZ125" s="751"/>
      <c r="HKA125" s="751"/>
      <c r="HKB125" s="751"/>
      <c r="HKC125" s="751"/>
      <c r="HKD125" s="751"/>
      <c r="HKE125" s="751"/>
      <c r="HKF125" s="751"/>
      <c r="HKG125" s="751"/>
      <c r="HKH125" s="751"/>
      <c r="HKI125" s="751"/>
      <c r="HKJ125" s="751"/>
      <c r="HKK125" s="751"/>
      <c r="HKL125" s="751"/>
      <c r="HKM125" s="751"/>
      <c r="HKN125" s="751"/>
      <c r="HKO125" s="751"/>
      <c r="HKP125" s="751"/>
      <c r="HKQ125" s="751"/>
      <c r="HKR125" s="751"/>
      <c r="HKS125" s="751"/>
      <c r="HKT125" s="751"/>
      <c r="HKU125" s="751"/>
      <c r="HKV125" s="751"/>
      <c r="HKW125" s="751"/>
      <c r="HKX125" s="751"/>
      <c r="HKY125" s="751"/>
      <c r="HKZ125" s="751"/>
      <c r="HLA125" s="751"/>
      <c r="HLB125" s="751"/>
      <c r="HLC125" s="751"/>
      <c r="HLD125" s="751"/>
      <c r="HLE125" s="751"/>
      <c r="HLF125" s="751"/>
      <c r="HLG125" s="751"/>
      <c r="HLH125" s="751"/>
      <c r="HLI125" s="751"/>
      <c r="HLJ125" s="751"/>
      <c r="HLK125" s="751"/>
      <c r="HLL125" s="751"/>
      <c r="HLM125" s="751"/>
      <c r="HLN125" s="751"/>
      <c r="HLO125" s="751"/>
      <c r="HLP125" s="751"/>
      <c r="HLQ125" s="751"/>
      <c r="HLR125" s="751"/>
      <c r="HLS125" s="751"/>
      <c r="HLT125" s="751"/>
      <c r="HLU125" s="751"/>
      <c r="HLV125" s="751"/>
      <c r="HLW125" s="751"/>
      <c r="HLX125" s="751"/>
      <c r="HLY125" s="751"/>
      <c r="HLZ125" s="751"/>
      <c r="HMA125" s="751"/>
      <c r="HMB125" s="751"/>
      <c r="HMC125" s="751"/>
      <c r="HMD125" s="751"/>
      <c r="HME125" s="751"/>
      <c r="HMF125" s="751"/>
      <c r="HMG125" s="751"/>
      <c r="HMH125" s="751"/>
      <c r="HMI125" s="751"/>
      <c r="HMJ125" s="751"/>
      <c r="HMK125" s="751"/>
      <c r="HML125" s="751"/>
      <c r="HMM125" s="751"/>
      <c r="HMN125" s="751"/>
      <c r="HMO125" s="751"/>
      <c r="HMP125" s="751"/>
      <c r="HMQ125" s="751"/>
      <c r="HMR125" s="751"/>
      <c r="HMS125" s="751"/>
      <c r="HMT125" s="751"/>
      <c r="HMU125" s="751"/>
      <c r="HMV125" s="751"/>
      <c r="HMW125" s="751"/>
      <c r="HMX125" s="751"/>
      <c r="HMY125" s="751"/>
      <c r="HMZ125" s="751"/>
      <c r="HNA125" s="751"/>
      <c r="HNB125" s="751"/>
      <c r="HNC125" s="751"/>
      <c r="HND125" s="751"/>
      <c r="HNE125" s="751"/>
      <c r="HNF125" s="751"/>
      <c r="HNG125" s="751"/>
      <c r="HNH125" s="751"/>
      <c r="HNI125" s="751"/>
      <c r="HNJ125" s="751"/>
      <c r="HNK125" s="751"/>
      <c r="HNL125" s="751"/>
      <c r="HNM125" s="751"/>
      <c r="HNN125" s="751"/>
      <c r="HNO125" s="751"/>
      <c r="HNP125" s="751"/>
      <c r="HNQ125" s="751"/>
      <c r="HNR125" s="751"/>
      <c r="HNS125" s="751"/>
      <c r="HNT125" s="751"/>
      <c r="HNU125" s="751"/>
      <c r="HNV125" s="751"/>
      <c r="HNW125" s="751"/>
      <c r="HNX125" s="751"/>
      <c r="HNY125" s="751"/>
      <c r="HNZ125" s="751"/>
      <c r="HOA125" s="751"/>
      <c r="HOB125" s="751"/>
      <c r="HOC125" s="751"/>
      <c r="HOD125" s="751"/>
      <c r="HOE125" s="751"/>
      <c r="HOF125" s="751"/>
      <c r="HOG125" s="751"/>
      <c r="HOH125" s="751"/>
      <c r="HOI125" s="751"/>
      <c r="HOJ125" s="751"/>
      <c r="HOK125" s="751"/>
      <c r="HOL125" s="751"/>
      <c r="HOM125" s="751"/>
      <c r="HON125" s="751"/>
      <c r="HOO125" s="751"/>
      <c r="HOP125" s="751"/>
      <c r="HOQ125" s="751"/>
      <c r="HOR125" s="751"/>
      <c r="HOS125" s="751"/>
      <c r="HOT125" s="751"/>
      <c r="HOU125" s="751"/>
      <c r="HOV125" s="751"/>
      <c r="HOW125" s="751"/>
      <c r="HOX125" s="751"/>
      <c r="HOY125" s="751"/>
      <c r="HOZ125" s="751"/>
      <c r="HPA125" s="751"/>
      <c r="HPB125" s="751"/>
      <c r="HPC125" s="751"/>
      <c r="HPD125" s="751"/>
      <c r="HPE125" s="751"/>
      <c r="HPF125" s="751"/>
      <c r="HPG125" s="751"/>
      <c r="HPH125" s="751"/>
      <c r="HPI125" s="751"/>
      <c r="HPJ125" s="751"/>
      <c r="HPK125" s="751"/>
      <c r="HPL125" s="751"/>
      <c r="HPM125" s="751"/>
      <c r="HPN125" s="751"/>
      <c r="HPO125" s="751"/>
      <c r="HPP125" s="751"/>
      <c r="HPQ125" s="751"/>
      <c r="HPR125" s="751"/>
      <c r="HPS125" s="751"/>
      <c r="HPT125" s="751"/>
      <c r="HPU125" s="751"/>
      <c r="HPV125" s="751"/>
      <c r="HPW125" s="751"/>
      <c r="HPX125" s="751"/>
      <c r="HPY125" s="751"/>
      <c r="HPZ125" s="751"/>
      <c r="HQA125" s="751"/>
      <c r="HQB125" s="751"/>
      <c r="HQC125" s="751"/>
      <c r="HQD125" s="751"/>
      <c r="HQE125" s="751"/>
      <c r="HQF125" s="751"/>
      <c r="HQG125" s="751"/>
      <c r="HQH125" s="751"/>
      <c r="HQI125" s="751"/>
      <c r="HQJ125" s="751"/>
      <c r="HQK125" s="751"/>
      <c r="HQL125" s="751"/>
      <c r="HQM125" s="751"/>
      <c r="HQN125" s="751"/>
      <c r="HQO125" s="751"/>
      <c r="HQP125" s="751"/>
      <c r="HQQ125" s="751"/>
      <c r="HQR125" s="751"/>
      <c r="HQS125" s="751"/>
      <c r="HQT125" s="751"/>
      <c r="HQU125" s="751"/>
      <c r="HQV125" s="751"/>
      <c r="HQW125" s="751"/>
      <c r="HQX125" s="751"/>
      <c r="HQY125" s="751"/>
      <c r="HQZ125" s="751"/>
      <c r="HRA125" s="751"/>
      <c r="HRB125" s="751"/>
      <c r="HRC125" s="751"/>
      <c r="HRD125" s="751"/>
      <c r="HRE125" s="751"/>
      <c r="HRF125" s="751"/>
      <c r="HRG125" s="751"/>
      <c r="HRH125" s="751"/>
      <c r="HRI125" s="751"/>
      <c r="HRJ125" s="751"/>
      <c r="HRK125" s="751"/>
      <c r="HRL125" s="751"/>
      <c r="HRM125" s="751"/>
      <c r="HRN125" s="751"/>
      <c r="HRO125" s="751"/>
      <c r="HRP125" s="751"/>
      <c r="HRQ125" s="751"/>
      <c r="HRR125" s="751"/>
      <c r="HRS125" s="751"/>
      <c r="HRT125" s="751"/>
      <c r="HRU125" s="751"/>
      <c r="HRV125" s="751"/>
      <c r="HRW125" s="751"/>
      <c r="HRX125" s="751"/>
      <c r="HRY125" s="751"/>
      <c r="HRZ125" s="751"/>
      <c r="HSA125" s="751"/>
      <c r="HSB125" s="751"/>
      <c r="HSC125" s="751"/>
      <c r="HSD125" s="751"/>
      <c r="HSE125" s="751"/>
      <c r="HSF125" s="751"/>
      <c r="HSG125" s="751"/>
      <c r="HSH125" s="751"/>
      <c r="HSI125" s="751"/>
      <c r="HSJ125" s="751"/>
      <c r="HSK125" s="751"/>
      <c r="HSL125" s="751"/>
      <c r="HSM125" s="751"/>
      <c r="HSN125" s="751"/>
      <c r="HSO125" s="751"/>
      <c r="HSP125" s="751"/>
      <c r="HSQ125" s="751"/>
      <c r="HSR125" s="751"/>
      <c r="HSS125" s="751"/>
      <c r="HST125" s="751"/>
      <c r="HSU125" s="751"/>
      <c r="HSV125" s="751"/>
      <c r="HSW125" s="751"/>
      <c r="HSX125" s="751"/>
      <c r="HSY125" s="751"/>
      <c r="HSZ125" s="751"/>
      <c r="HTA125" s="751"/>
      <c r="HTB125" s="751"/>
      <c r="HTC125" s="751"/>
      <c r="HTD125" s="751"/>
      <c r="HTE125" s="751"/>
      <c r="HTF125" s="751"/>
      <c r="HTG125" s="751"/>
      <c r="HTH125" s="751"/>
      <c r="HTI125" s="751"/>
      <c r="HTJ125" s="751"/>
      <c r="HTK125" s="751"/>
      <c r="HTL125" s="751"/>
      <c r="HTM125" s="751"/>
      <c r="HTN125" s="751"/>
      <c r="HTO125" s="751"/>
      <c r="HTP125" s="751"/>
      <c r="HTQ125" s="751"/>
      <c r="HTR125" s="751"/>
      <c r="HTS125" s="751"/>
      <c r="HTT125" s="751"/>
      <c r="HTU125" s="751"/>
      <c r="HTV125" s="751"/>
      <c r="HTW125" s="751"/>
      <c r="HTX125" s="751"/>
      <c r="HTY125" s="751"/>
      <c r="HTZ125" s="751"/>
      <c r="HUA125" s="751"/>
      <c r="HUB125" s="751"/>
      <c r="HUC125" s="751"/>
      <c r="HUD125" s="751"/>
      <c r="HUE125" s="751"/>
      <c r="HUF125" s="751"/>
      <c r="HUG125" s="751"/>
      <c r="HUH125" s="751"/>
      <c r="HUI125" s="751"/>
      <c r="HUJ125" s="751"/>
      <c r="HUK125" s="751"/>
      <c r="HUL125" s="751"/>
      <c r="HUM125" s="751"/>
      <c r="HUN125" s="751"/>
      <c r="HUO125" s="751"/>
      <c r="HUP125" s="751"/>
      <c r="HUQ125" s="751"/>
      <c r="HUR125" s="751"/>
      <c r="HUS125" s="751"/>
      <c r="HUT125" s="751"/>
      <c r="HUU125" s="751"/>
      <c r="HUV125" s="751"/>
      <c r="HUW125" s="751"/>
      <c r="HUX125" s="751"/>
      <c r="HUY125" s="751"/>
      <c r="HUZ125" s="751"/>
      <c r="HVA125" s="751"/>
      <c r="HVB125" s="751"/>
      <c r="HVC125" s="751"/>
      <c r="HVD125" s="751"/>
      <c r="HVE125" s="751"/>
      <c r="HVF125" s="751"/>
      <c r="HVG125" s="751"/>
      <c r="HVH125" s="751"/>
      <c r="HVI125" s="751"/>
      <c r="HVJ125" s="751"/>
      <c r="HVK125" s="751"/>
      <c r="HVL125" s="751"/>
      <c r="HVM125" s="751"/>
      <c r="HVN125" s="751"/>
      <c r="HVO125" s="751"/>
      <c r="HVP125" s="751"/>
      <c r="HVQ125" s="751"/>
      <c r="HVR125" s="751"/>
      <c r="HVS125" s="751"/>
      <c r="HVT125" s="751"/>
      <c r="HVU125" s="751"/>
      <c r="HVV125" s="751"/>
      <c r="HVW125" s="751"/>
      <c r="HVX125" s="751"/>
      <c r="HVY125" s="751"/>
      <c r="HVZ125" s="751"/>
      <c r="HWA125" s="751"/>
      <c r="HWB125" s="751"/>
      <c r="HWC125" s="751"/>
      <c r="HWD125" s="751"/>
      <c r="HWE125" s="751"/>
      <c r="HWF125" s="751"/>
      <c r="HWG125" s="751"/>
      <c r="HWH125" s="751"/>
      <c r="HWI125" s="751"/>
      <c r="HWJ125" s="751"/>
      <c r="HWK125" s="751"/>
      <c r="HWL125" s="751"/>
      <c r="HWM125" s="751"/>
      <c r="HWN125" s="751"/>
      <c r="HWO125" s="751"/>
      <c r="HWP125" s="751"/>
      <c r="HWQ125" s="751"/>
      <c r="HWR125" s="751"/>
      <c r="HWS125" s="751"/>
      <c r="HWT125" s="751"/>
      <c r="HWU125" s="751"/>
      <c r="HWV125" s="751"/>
      <c r="HWW125" s="751"/>
      <c r="HWX125" s="751"/>
      <c r="HWY125" s="751"/>
      <c r="HWZ125" s="751"/>
      <c r="HXA125" s="751"/>
      <c r="HXB125" s="751"/>
      <c r="HXC125" s="751"/>
      <c r="HXD125" s="751"/>
      <c r="HXE125" s="751"/>
      <c r="HXF125" s="751"/>
      <c r="HXG125" s="751"/>
      <c r="HXH125" s="751"/>
      <c r="HXI125" s="751"/>
      <c r="HXJ125" s="751"/>
      <c r="HXK125" s="751"/>
      <c r="HXL125" s="751"/>
      <c r="HXM125" s="751"/>
      <c r="HXN125" s="751"/>
      <c r="HXO125" s="751"/>
      <c r="HXP125" s="751"/>
      <c r="HXQ125" s="751"/>
      <c r="HXR125" s="751"/>
      <c r="HXS125" s="751"/>
      <c r="HXT125" s="751"/>
      <c r="HXU125" s="751"/>
      <c r="HXV125" s="751"/>
      <c r="HXW125" s="751"/>
      <c r="HXX125" s="751"/>
      <c r="HXY125" s="751"/>
      <c r="HXZ125" s="751"/>
      <c r="HYA125" s="751"/>
      <c r="HYB125" s="751"/>
      <c r="HYC125" s="751"/>
      <c r="HYD125" s="751"/>
      <c r="HYE125" s="751"/>
      <c r="HYF125" s="751"/>
      <c r="HYG125" s="751"/>
      <c r="HYH125" s="751"/>
      <c r="HYI125" s="751"/>
      <c r="HYJ125" s="751"/>
      <c r="HYK125" s="751"/>
      <c r="HYL125" s="751"/>
      <c r="HYM125" s="751"/>
      <c r="HYN125" s="751"/>
      <c r="HYO125" s="751"/>
      <c r="HYP125" s="751"/>
      <c r="HYQ125" s="751"/>
      <c r="HYR125" s="751"/>
      <c r="HYS125" s="751"/>
      <c r="HYT125" s="751"/>
      <c r="HYU125" s="751"/>
      <c r="HYV125" s="751"/>
      <c r="HYW125" s="751"/>
      <c r="HYX125" s="751"/>
      <c r="HYY125" s="751"/>
      <c r="HYZ125" s="751"/>
      <c r="HZA125" s="751"/>
      <c r="HZB125" s="751"/>
      <c r="HZC125" s="751"/>
      <c r="HZD125" s="751"/>
      <c r="HZE125" s="751"/>
      <c r="HZF125" s="751"/>
      <c r="HZG125" s="751"/>
      <c r="HZH125" s="751"/>
      <c r="HZI125" s="751"/>
      <c r="HZJ125" s="751"/>
      <c r="HZK125" s="751"/>
      <c r="HZL125" s="751"/>
      <c r="HZM125" s="751"/>
      <c r="HZN125" s="751"/>
      <c r="HZO125" s="751"/>
      <c r="HZP125" s="751"/>
      <c r="HZQ125" s="751"/>
      <c r="HZR125" s="751"/>
      <c r="HZS125" s="751"/>
      <c r="HZT125" s="751"/>
      <c r="HZU125" s="751"/>
      <c r="HZV125" s="751"/>
      <c r="HZW125" s="751"/>
      <c r="HZX125" s="751"/>
      <c r="HZY125" s="751"/>
      <c r="HZZ125" s="751"/>
      <c r="IAA125" s="751"/>
      <c r="IAB125" s="751"/>
      <c r="IAC125" s="751"/>
      <c r="IAD125" s="751"/>
      <c r="IAE125" s="751"/>
      <c r="IAF125" s="751"/>
      <c r="IAG125" s="751"/>
      <c r="IAH125" s="751"/>
      <c r="IAI125" s="751"/>
      <c r="IAJ125" s="751"/>
      <c r="IAK125" s="751"/>
      <c r="IAL125" s="751"/>
      <c r="IAM125" s="751"/>
      <c r="IAN125" s="751"/>
      <c r="IAO125" s="751"/>
      <c r="IAP125" s="751"/>
      <c r="IAQ125" s="751"/>
      <c r="IAR125" s="751"/>
      <c r="IAS125" s="751"/>
      <c r="IAT125" s="751"/>
      <c r="IAU125" s="751"/>
      <c r="IAV125" s="751"/>
      <c r="IAW125" s="751"/>
      <c r="IAX125" s="751"/>
      <c r="IAY125" s="751"/>
      <c r="IAZ125" s="751"/>
      <c r="IBA125" s="751"/>
      <c r="IBB125" s="751"/>
      <c r="IBC125" s="751"/>
      <c r="IBD125" s="751"/>
      <c r="IBE125" s="751"/>
      <c r="IBF125" s="751"/>
      <c r="IBG125" s="751"/>
      <c r="IBH125" s="751"/>
      <c r="IBI125" s="751"/>
      <c r="IBJ125" s="751"/>
      <c r="IBK125" s="751"/>
      <c r="IBL125" s="751"/>
      <c r="IBM125" s="751"/>
      <c r="IBN125" s="751"/>
      <c r="IBO125" s="751"/>
      <c r="IBP125" s="751"/>
      <c r="IBQ125" s="751"/>
      <c r="IBR125" s="751"/>
      <c r="IBS125" s="751"/>
      <c r="IBT125" s="751"/>
      <c r="IBU125" s="751"/>
      <c r="IBV125" s="751"/>
      <c r="IBW125" s="751"/>
      <c r="IBX125" s="751"/>
      <c r="IBY125" s="751"/>
      <c r="IBZ125" s="751"/>
      <c r="ICA125" s="751"/>
      <c r="ICB125" s="751"/>
      <c r="ICC125" s="751"/>
      <c r="ICD125" s="751"/>
      <c r="ICE125" s="751"/>
      <c r="ICF125" s="751"/>
      <c r="ICG125" s="751"/>
      <c r="ICH125" s="751"/>
      <c r="ICI125" s="751"/>
      <c r="ICJ125" s="751"/>
      <c r="ICK125" s="751"/>
      <c r="ICL125" s="751"/>
      <c r="ICM125" s="751"/>
      <c r="ICN125" s="751"/>
      <c r="ICO125" s="751"/>
      <c r="ICP125" s="751"/>
      <c r="ICQ125" s="751"/>
      <c r="ICR125" s="751"/>
      <c r="ICS125" s="751"/>
      <c r="ICT125" s="751"/>
      <c r="ICU125" s="751"/>
      <c r="ICV125" s="751"/>
      <c r="ICW125" s="751"/>
      <c r="ICX125" s="751"/>
      <c r="ICY125" s="751"/>
      <c r="ICZ125" s="751"/>
      <c r="IDA125" s="751"/>
      <c r="IDB125" s="751"/>
      <c r="IDC125" s="751"/>
      <c r="IDD125" s="751"/>
      <c r="IDE125" s="751"/>
      <c r="IDF125" s="751"/>
      <c r="IDG125" s="751"/>
      <c r="IDH125" s="751"/>
      <c r="IDI125" s="751"/>
      <c r="IDJ125" s="751"/>
      <c r="IDK125" s="751"/>
      <c r="IDL125" s="751"/>
      <c r="IDM125" s="751"/>
      <c r="IDN125" s="751"/>
      <c r="IDO125" s="751"/>
      <c r="IDP125" s="751"/>
      <c r="IDQ125" s="751"/>
      <c r="IDR125" s="751"/>
      <c r="IDS125" s="751"/>
      <c r="IDT125" s="751"/>
      <c r="IDU125" s="751"/>
      <c r="IDV125" s="751"/>
      <c r="IDW125" s="751"/>
      <c r="IDX125" s="751"/>
      <c r="IDY125" s="751"/>
      <c r="IDZ125" s="751"/>
      <c r="IEA125" s="751"/>
      <c r="IEB125" s="751"/>
      <c r="IEC125" s="751"/>
      <c r="IED125" s="751"/>
      <c r="IEE125" s="751"/>
      <c r="IEF125" s="751"/>
      <c r="IEG125" s="751"/>
      <c r="IEH125" s="751"/>
      <c r="IEI125" s="751"/>
      <c r="IEJ125" s="751"/>
      <c r="IEK125" s="751"/>
      <c r="IEL125" s="751"/>
      <c r="IEM125" s="751"/>
      <c r="IEN125" s="751"/>
      <c r="IEO125" s="751"/>
      <c r="IEP125" s="751"/>
      <c r="IEQ125" s="751"/>
      <c r="IER125" s="751"/>
      <c r="IES125" s="751"/>
      <c r="IET125" s="751"/>
      <c r="IEU125" s="751"/>
      <c r="IEV125" s="751"/>
      <c r="IEW125" s="751"/>
      <c r="IEX125" s="751"/>
      <c r="IEY125" s="751"/>
      <c r="IEZ125" s="751"/>
      <c r="IFA125" s="751"/>
      <c r="IFB125" s="751"/>
      <c r="IFC125" s="751"/>
      <c r="IFD125" s="751"/>
      <c r="IFE125" s="751"/>
      <c r="IFF125" s="751"/>
      <c r="IFG125" s="751"/>
      <c r="IFH125" s="751"/>
      <c r="IFI125" s="751"/>
      <c r="IFJ125" s="751"/>
      <c r="IFK125" s="751"/>
      <c r="IFL125" s="751"/>
      <c r="IFM125" s="751"/>
      <c r="IFN125" s="751"/>
      <c r="IFO125" s="751"/>
      <c r="IFP125" s="751"/>
      <c r="IFQ125" s="751"/>
      <c r="IFR125" s="751"/>
      <c r="IFS125" s="751"/>
      <c r="IFT125" s="751"/>
      <c r="IFU125" s="751"/>
      <c r="IFV125" s="751"/>
      <c r="IFW125" s="751"/>
      <c r="IFX125" s="751"/>
      <c r="IFY125" s="751"/>
      <c r="IFZ125" s="751"/>
      <c r="IGA125" s="751"/>
      <c r="IGB125" s="751"/>
      <c r="IGC125" s="751"/>
      <c r="IGD125" s="751"/>
      <c r="IGE125" s="751"/>
      <c r="IGF125" s="751"/>
      <c r="IGG125" s="751"/>
      <c r="IGH125" s="751"/>
      <c r="IGI125" s="751"/>
      <c r="IGJ125" s="751"/>
      <c r="IGK125" s="751"/>
      <c r="IGL125" s="751"/>
      <c r="IGM125" s="751"/>
      <c r="IGN125" s="751"/>
      <c r="IGO125" s="751"/>
      <c r="IGP125" s="751"/>
      <c r="IGQ125" s="751"/>
      <c r="IGR125" s="751"/>
      <c r="IGS125" s="751"/>
      <c r="IGT125" s="751"/>
      <c r="IGU125" s="751"/>
      <c r="IGV125" s="751"/>
      <c r="IGW125" s="751"/>
      <c r="IGX125" s="751"/>
      <c r="IGY125" s="751"/>
      <c r="IGZ125" s="751"/>
      <c r="IHA125" s="751"/>
      <c r="IHB125" s="751"/>
      <c r="IHC125" s="751"/>
      <c r="IHD125" s="751"/>
      <c r="IHE125" s="751"/>
      <c r="IHF125" s="751"/>
      <c r="IHG125" s="751"/>
      <c r="IHH125" s="751"/>
      <c r="IHI125" s="751"/>
      <c r="IHJ125" s="751"/>
      <c r="IHK125" s="751"/>
      <c r="IHL125" s="751"/>
      <c r="IHM125" s="751"/>
      <c r="IHN125" s="751"/>
      <c r="IHO125" s="751"/>
      <c r="IHP125" s="751"/>
      <c r="IHQ125" s="751"/>
      <c r="IHR125" s="751"/>
      <c r="IHS125" s="751"/>
      <c r="IHT125" s="751"/>
      <c r="IHU125" s="751"/>
      <c r="IHV125" s="751"/>
      <c r="IHW125" s="751"/>
      <c r="IHX125" s="751"/>
      <c r="IHY125" s="751"/>
      <c r="IHZ125" s="751"/>
      <c r="IIA125" s="751"/>
      <c r="IIB125" s="751"/>
      <c r="IIC125" s="751"/>
      <c r="IID125" s="751"/>
      <c r="IIE125" s="751"/>
      <c r="IIF125" s="751"/>
      <c r="IIG125" s="751"/>
      <c r="IIH125" s="751"/>
      <c r="III125" s="751"/>
      <c r="IIJ125" s="751"/>
      <c r="IIK125" s="751"/>
      <c r="IIL125" s="751"/>
      <c r="IIM125" s="751"/>
      <c r="IIN125" s="751"/>
      <c r="IIO125" s="751"/>
      <c r="IIP125" s="751"/>
      <c r="IIQ125" s="751"/>
      <c r="IIR125" s="751"/>
      <c r="IIS125" s="751"/>
      <c r="IIT125" s="751"/>
      <c r="IIU125" s="751"/>
      <c r="IIV125" s="751"/>
      <c r="IIW125" s="751"/>
      <c r="IIX125" s="751"/>
      <c r="IIY125" s="751"/>
      <c r="IIZ125" s="751"/>
      <c r="IJA125" s="751"/>
      <c r="IJB125" s="751"/>
      <c r="IJC125" s="751"/>
      <c r="IJD125" s="751"/>
      <c r="IJE125" s="751"/>
      <c r="IJF125" s="751"/>
      <c r="IJG125" s="751"/>
      <c r="IJH125" s="751"/>
      <c r="IJI125" s="751"/>
      <c r="IJJ125" s="751"/>
      <c r="IJK125" s="751"/>
      <c r="IJL125" s="751"/>
      <c r="IJM125" s="751"/>
      <c r="IJN125" s="751"/>
      <c r="IJO125" s="751"/>
      <c r="IJP125" s="751"/>
      <c r="IJQ125" s="751"/>
      <c r="IJR125" s="751"/>
      <c r="IJS125" s="751"/>
      <c r="IJT125" s="751"/>
      <c r="IJU125" s="751"/>
      <c r="IJV125" s="751"/>
      <c r="IJW125" s="751"/>
      <c r="IJX125" s="751"/>
      <c r="IJY125" s="751"/>
      <c r="IJZ125" s="751"/>
      <c r="IKA125" s="751"/>
      <c r="IKB125" s="751"/>
      <c r="IKC125" s="751"/>
      <c r="IKD125" s="751"/>
      <c r="IKE125" s="751"/>
      <c r="IKF125" s="751"/>
      <c r="IKG125" s="751"/>
      <c r="IKH125" s="751"/>
      <c r="IKI125" s="751"/>
      <c r="IKJ125" s="751"/>
      <c r="IKK125" s="751"/>
      <c r="IKL125" s="751"/>
      <c r="IKM125" s="751"/>
      <c r="IKN125" s="751"/>
      <c r="IKO125" s="751"/>
      <c r="IKP125" s="751"/>
      <c r="IKQ125" s="751"/>
      <c r="IKR125" s="751"/>
      <c r="IKS125" s="751"/>
      <c r="IKT125" s="751"/>
      <c r="IKU125" s="751"/>
      <c r="IKV125" s="751"/>
      <c r="IKW125" s="751"/>
      <c r="IKX125" s="751"/>
      <c r="IKY125" s="751"/>
      <c r="IKZ125" s="751"/>
      <c r="ILA125" s="751"/>
      <c r="ILB125" s="751"/>
      <c r="ILC125" s="751"/>
      <c r="ILD125" s="751"/>
      <c r="ILE125" s="751"/>
      <c r="ILF125" s="751"/>
      <c r="ILG125" s="751"/>
      <c r="ILH125" s="751"/>
      <c r="ILI125" s="751"/>
      <c r="ILJ125" s="751"/>
      <c r="ILK125" s="751"/>
      <c r="ILL125" s="751"/>
      <c r="ILM125" s="751"/>
      <c r="ILN125" s="751"/>
      <c r="ILO125" s="751"/>
      <c r="ILP125" s="751"/>
      <c r="ILQ125" s="751"/>
      <c r="ILR125" s="751"/>
      <c r="ILS125" s="751"/>
      <c r="ILT125" s="751"/>
      <c r="ILU125" s="751"/>
      <c r="ILV125" s="751"/>
      <c r="ILW125" s="751"/>
      <c r="ILX125" s="751"/>
      <c r="ILY125" s="751"/>
      <c r="ILZ125" s="751"/>
      <c r="IMA125" s="751"/>
      <c r="IMB125" s="751"/>
      <c r="IMC125" s="751"/>
      <c r="IMD125" s="751"/>
      <c r="IME125" s="751"/>
      <c r="IMF125" s="751"/>
      <c r="IMG125" s="751"/>
      <c r="IMH125" s="751"/>
      <c r="IMI125" s="751"/>
      <c r="IMJ125" s="751"/>
      <c r="IMK125" s="751"/>
      <c r="IML125" s="751"/>
      <c r="IMM125" s="751"/>
      <c r="IMN125" s="751"/>
      <c r="IMO125" s="751"/>
      <c r="IMP125" s="751"/>
      <c r="IMQ125" s="751"/>
      <c r="IMR125" s="751"/>
      <c r="IMS125" s="751"/>
      <c r="IMT125" s="751"/>
      <c r="IMU125" s="751"/>
      <c r="IMV125" s="751"/>
      <c r="IMW125" s="751"/>
      <c r="IMX125" s="751"/>
      <c r="IMY125" s="751"/>
      <c r="IMZ125" s="751"/>
      <c r="INA125" s="751"/>
      <c r="INB125" s="751"/>
      <c r="INC125" s="751"/>
      <c r="IND125" s="751"/>
      <c r="INE125" s="751"/>
      <c r="INF125" s="751"/>
      <c r="ING125" s="751"/>
      <c r="INH125" s="751"/>
      <c r="INI125" s="751"/>
      <c r="INJ125" s="751"/>
      <c r="INK125" s="751"/>
      <c r="INL125" s="751"/>
      <c r="INM125" s="751"/>
      <c r="INN125" s="751"/>
      <c r="INO125" s="751"/>
      <c r="INP125" s="751"/>
      <c r="INQ125" s="751"/>
      <c r="INR125" s="751"/>
      <c r="INS125" s="751"/>
      <c r="INT125" s="751"/>
      <c r="INU125" s="751"/>
      <c r="INV125" s="751"/>
      <c r="INW125" s="751"/>
      <c r="INX125" s="751"/>
      <c r="INY125" s="751"/>
      <c r="INZ125" s="751"/>
      <c r="IOA125" s="751"/>
      <c r="IOB125" s="751"/>
      <c r="IOC125" s="751"/>
      <c r="IOD125" s="751"/>
      <c r="IOE125" s="751"/>
      <c r="IOF125" s="751"/>
      <c r="IOG125" s="751"/>
      <c r="IOH125" s="751"/>
      <c r="IOI125" s="751"/>
      <c r="IOJ125" s="751"/>
      <c r="IOK125" s="751"/>
      <c r="IOL125" s="751"/>
      <c r="IOM125" s="751"/>
      <c r="ION125" s="751"/>
      <c r="IOO125" s="751"/>
      <c r="IOP125" s="751"/>
      <c r="IOQ125" s="751"/>
      <c r="IOR125" s="751"/>
      <c r="IOS125" s="751"/>
      <c r="IOT125" s="751"/>
      <c r="IOU125" s="751"/>
      <c r="IOV125" s="751"/>
      <c r="IOW125" s="751"/>
      <c r="IOX125" s="751"/>
      <c r="IOY125" s="751"/>
      <c r="IOZ125" s="751"/>
      <c r="IPA125" s="751"/>
      <c r="IPB125" s="751"/>
      <c r="IPC125" s="751"/>
      <c r="IPD125" s="751"/>
      <c r="IPE125" s="751"/>
      <c r="IPF125" s="751"/>
      <c r="IPG125" s="751"/>
      <c r="IPH125" s="751"/>
      <c r="IPI125" s="751"/>
      <c r="IPJ125" s="751"/>
      <c r="IPK125" s="751"/>
      <c r="IPL125" s="751"/>
      <c r="IPM125" s="751"/>
      <c r="IPN125" s="751"/>
      <c r="IPO125" s="751"/>
      <c r="IPP125" s="751"/>
      <c r="IPQ125" s="751"/>
      <c r="IPR125" s="751"/>
      <c r="IPS125" s="751"/>
      <c r="IPT125" s="751"/>
      <c r="IPU125" s="751"/>
      <c r="IPV125" s="751"/>
      <c r="IPW125" s="751"/>
      <c r="IPX125" s="751"/>
      <c r="IPY125" s="751"/>
      <c r="IPZ125" s="751"/>
      <c r="IQA125" s="751"/>
      <c r="IQB125" s="751"/>
      <c r="IQC125" s="751"/>
      <c r="IQD125" s="751"/>
      <c r="IQE125" s="751"/>
      <c r="IQF125" s="751"/>
      <c r="IQG125" s="751"/>
      <c r="IQH125" s="751"/>
      <c r="IQI125" s="751"/>
      <c r="IQJ125" s="751"/>
      <c r="IQK125" s="751"/>
      <c r="IQL125" s="751"/>
      <c r="IQM125" s="751"/>
      <c r="IQN125" s="751"/>
      <c r="IQO125" s="751"/>
      <c r="IQP125" s="751"/>
      <c r="IQQ125" s="751"/>
      <c r="IQR125" s="751"/>
      <c r="IQS125" s="751"/>
      <c r="IQT125" s="751"/>
      <c r="IQU125" s="751"/>
      <c r="IQV125" s="751"/>
      <c r="IQW125" s="751"/>
      <c r="IQX125" s="751"/>
      <c r="IQY125" s="751"/>
      <c r="IQZ125" s="751"/>
      <c r="IRA125" s="751"/>
      <c r="IRB125" s="751"/>
      <c r="IRC125" s="751"/>
      <c r="IRD125" s="751"/>
      <c r="IRE125" s="751"/>
      <c r="IRF125" s="751"/>
      <c r="IRG125" s="751"/>
      <c r="IRH125" s="751"/>
      <c r="IRI125" s="751"/>
      <c r="IRJ125" s="751"/>
      <c r="IRK125" s="751"/>
      <c r="IRL125" s="751"/>
      <c r="IRM125" s="751"/>
      <c r="IRN125" s="751"/>
      <c r="IRO125" s="751"/>
      <c r="IRP125" s="751"/>
      <c r="IRQ125" s="751"/>
      <c r="IRR125" s="751"/>
      <c r="IRS125" s="751"/>
      <c r="IRT125" s="751"/>
      <c r="IRU125" s="751"/>
      <c r="IRV125" s="751"/>
      <c r="IRW125" s="751"/>
      <c r="IRX125" s="751"/>
      <c r="IRY125" s="751"/>
      <c r="IRZ125" s="751"/>
      <c r="ISA125" s="751"/>
      <c r="ISB125" s="751"/>
      <c r="ISC125" s="751"/>
      <c r="ISD125" s="751"/>
      <c r="ISE125" s="751"/>
      <c r="ISF125" s="751"/>
      <c r="ISG125" s="751"/>
      <c r="ISH125" s="751"/>
      <c r="ISI125" s="751"/>
      <c r="ISJ125" s="751"/>
      <c r="ISK125" s="751"/>
      <c r="ISL125" s="751"/>
      <c r="ISM125" s="751"/>
      <c r="ISN125" s="751"/>
      <c r="ISO125" s="751"/>
      <c r="ISP125" s="751"/>
      <c r="ISQ125" s="751"/>
      <c r="ISR125" s="751"/>
      <c r="ISS125" s="751"/>
      <c r="IST125" s="751"/>
      <c r="ISU125" s="751"/>
      <c r="ISV125" s="751"/>
      <c r="ISW125" s="751"/>
      <c r="ISX125" s="751"/>
      <c r="ISY125" s="751"/>
      <c r="ISZ125" s="751"/>
      <c r="ITA125" s="751"/>
      <c r="ITB125" s="751"/>
      <c r="ITC125" s="751"/>
      <c r="ITD125" s="751"/>
      <c r="ITE125" s="751"/>
      <c r="ITF125" s="751"/>
      <c r="ITG125" s="751"/>
      <c r="ITH125" s="751"/>
      <c r="ITI125" s="751"/>
      <c r="ITJ125" s="751"/>
      <c r="ITK125" s="751"/>
      <c r="ITL125" s="751"/>
      <c r="ITM125" s="751"/>
      <c r="ITN125" s="751"/>
      <c r="ITO125" s="751"/>
      <c r="ITP125" s="751"/>
      <c r="ITQ125" s="751"/>
      <c r="ITR125" s="751"/>
      <c r="ITS125" s="751"/>
      <c r="ITT125" s="751"/>
      <c r="ITU125" s="751"/>
      <c r="ITV125" s="751"/>
      <c r="ITW125" s="751"/>
      <c r="ITX125" s="751"/>
      <c r="ITY125" s="751"/>
      <c r="ITZ125" s="751"/>
      <c r="IUA125" s="751"/>
      <c r="IUB125" s="751"/>
      <c r="IUC125" s="751"/>
      <c r="IUD125" s="751"/>
      <c r="IUE125" s="751"/>
      <c r="IUF125" s="751"/>
      <c r="IUG125" s="751"/>
      <c r="IUH125" s="751"/>
      <c r="IUI125" s="751"/>
      <c r="IUJ125" s="751"/>
      <c r="IUK125" s="751"/>
      <c r="IUL125" s="751"/>
      <c r="IUM125" s="751"/>
      <c r="IUN125" s="751"/>
      <c r="IUO125" s="751"/>
      <c r="IUP125" s="751"/>
      <c r="IUQ125" s="751"/>
      <c r="IUR125" s="751"/>
      <c r="IUS125" s="751"/>
      <c r="IUT125" s="751"/>
      <c r="IUU125" s="751"/>
      <c r="IUV125" s="751"/>
      <c r="IUW125" s="751"/>
      <c r="IUX125" s="751"/>
      <c r="IUY125" s="751"/>
      <c r="IUZ125" s="751"/>
      <c r="IVA125" s="751"/>
      <c r="IVB125" s="751"/>
      <c r="IVC125" s="751"/>
      <c r="IVD125" s="751"/>
      <c r="IVE125" s="751"/>
      <c r="IVF125" s="751"/>
      <c r="IVG125" s="751"/>
      <c r="IVH125" s="751"/>
      <c r="IVI125" s="751"/>
      <c r="IVJ125" s="751"/>
      <c r="IVK125" s="751"/>
      <c r="IVL125" s="751"/>
      <c r="IVM125" s="751"/>
      <c r="IVN125" s="751"/>
      <c r="IVO125" s="751"/>
      <c r="IVP125" s="751"/>
      <c r="IVQ125" s="751"/>
      <c r="IVR125" s="751"/>
      <c r="IVS125" s="751"/>
      <c r="IVT125" s="751"/>
      <c r="IVU125" s="751"/>
      <c r="IVV125" s="751"/>
      <c r="IVW125" s="751"/>
      <c r="IVX125" s="751"/>
      <c r="IVY125" s="751"/>
      <c r="IVZ125" s="751"/>
      <c r="IWA125" s="751"/>
      <c r="IWB125" s="751"/>
      <c r="IWC125" s="751"/>
      <c r="IWD125" s="751"/>
      <c r="IWE125" s="751"/>
      <c r="IWF125" s="751"/>
      <c r="IWG125" s="751"/>
      <c r="IWH125" s="751"/>
      <c r="IWI125" s="751"/>
      <c r="IWJ125" s="751"/>
      <c r="IWK125" s="751"/>
      <c r="IWL125" s="751"/>
      <c r="IWM125" s="751"/>
      <c r="IWN125" s="751"/>
      <c r="IWO125" s="751"/>
      <c r="IWP125" s="751"/>
      <c r="IWQ125" s="751"/>
      <c r="IWR125" s="751"/>
      <c r="IWS125" s="751"/>
      <c r="IWT125" s="751"/>
      <c r="IWU125" s="751"/>
      <c r="IWV125" s="751"/>
      <c r="IWW125" s="751"/>
      <c r="IWX125" s="751"/>
      <c r="IWY125" s="751"/>
      <c r="IWZ125" s="751"/>
      <c r="IXA125" s="751"/>
      <c r="IXB125" s="751"/>
      <c r="IXC125" s="751"/>
      <c r="IXD125" s="751"/>
      <c r="IXE125" s="751"/>
      <c r="IXF125" s="751"/>
      <c r="IXG125" s="751"/>
      <c r="IXH125" s="751"/>
      <c r="IXI125" s="751"/>
      <c r="IXJ125" s="751"/>
      <c r="IXK125" s="751"/>
      <c r="IXL125" s="751"/>
      <c r="IXM125" s="751"/>
      <c r="IXN125" s="751"/>
      <c r="IXO125" s="751"/>
      <c r="IXP125" s="751"/>
      <c r="IXQ125" s="751"/>
      <c r="IXR125" s="751"/>
      <c r="IXS125" s="751"/>
      <c r="IXT125" s="751"/>
      <c r="IXU125" s="751"/>
      <c r="IXV125" s="751"/>
      <c r="IXW125" s="751"/>
      <c r="IXX125" s="751"/>
      <c r="IXY125" s="751"/>
      <c r="IXZ125" s="751"/>
      <c r="IYA125" s="751"/>
      <c r="IYB125" s="751"/>
      <c r="IYC125" s="751"/>
      <c r="IYD125" s="751"/>
      <c r="IYE125" s="751"/>
      <c r="IYF125" s="751"/>
      <c r="IYG125" s="751"/>
      <c r="IYH125" s="751"/>
      <c r="IYI125" s="751"/>
      <c r="IYJ125" s="751"/>
      <c r="IYK125" s="751"/>
      <c r="IYL125" s="751"/>
      <c r="IYM125" s="751"/>
      <c r="IYN125" s="751"/>
      <c r="IYO125" s="751"/>
      <c r="IYP125" s="751"/>
      <c r="IYQ125" s="751"/>
      <c r="IYR125" s="751"/>
      <c r="IYS125" s="751"/>
      <c r="IYT125" s="751"/>
      <c r="IYU125" s="751"/>
      <c r="IYV125" s="751"/>
      <c r="IYW125" s="751"/>
      <c r="IYX125" s="751"/>
      <c r="IYY125" s="751"/>
      <c r="IYZ125" s="751"/>
      <c r="IZA125" s="751"/>
      <c r="IZB125" s="751"/>
      <c r="IZC125" s="751"/>
      <c r="IZD125" s="751"/>
      <c r="IZE125" s="751"/>
      <c r="IZF125" s="751"/>
      <c r="IZG125" s="751"/>
      <c r="IZH125" s="751"/>
      <c r="IZI125" s="751"/>
      <c r="IZJ125" s="751"/>
      <c r="IZK125" s="751"/>
      <c r="IZL125" s="751"/>
      <c r="IZM125" s="751"/>
      <c r="IZN125" s="751"/>
      <c r="IZO125" s="751"/>
      <c r="IZP125" s="751"/>
      <c r="IZQ125" s="751"/>
      <c r="IZR125" s="751"/>
      <c r="IZS125" s="751"/>
      <c r="IZT125" s="751"/>
      <c r="IZU125" s="751"/>
      <c r="IZV125" s="751"/>
      <c r="IZW125" s="751"/>
      <c r="IZX125" s="751"/>
      <c r="IZY125" s="751"/>
      <c r="IZZ125" s="751"/>
      <c r="JAA125" s="751"/>
      <c r="JAB125" s="751"/>
      <c r="JAC125" s="751"/>
      <c r="JAD125" s="751"/>
      <c r="JAE125" s="751"/>
      <c r="JAF125" s="751"/>
      <c r="JAG125" s="751"/>
      <c r="JAH125" s="751"/>
      <c r="JAI125" s="751"/>
      <c r="JAJ125" s="751"/>
      <c r="JAK125" s="751"/>
      <c r="JAL125" s="751"/>
      <c r="JAM125" s="751"/>
      <c r="JAN125" s="751"/>
      <c r="JAO125" s="751"/>
      <c r="JAP125" s="751"/>
      <c r="JAQ125" s="751"/>
      <c r="JAR125" s="751"/>
      <c r="JAS125" s="751"/>
      <c r="JAT125" s="751"/>
      <c r="JAU125" s="751"/>
      <c r="JAV125" s="751"/>
      <c r="JAW125" s="751"/>
      <c r="JAX125" s="751"/>
      <c r="JAY125" s="751"/>
      <c r="JAZ125" s="751"/>
      <c r="JBA125" s="751"/>
      <c r="JBB125" s="751"/>
      <c r="JBC125" s="751"/>
      <c r="JBD125" s="751"/>
      <c r="JBE125" s="751"/>
      <c r="JBF125" s="751"/>
      <c r="JBG125" s="751"/>
      <c r="JBH125" s="751"/>
      <c r="JBI125" s="751"/>
      <c r="JBJ125" s="751"/>
      <c r="JBK125" s="751"/>
      <c r="JBL125" s="751"/>
      <c r="JBM125" s="751"/>
      <c r="JBN125" s="751"/>
      <c r="JBO125" s="751"/>
      <c r="JBP125" s="751"/>
      <c r="JBQ125" s="751"/>
      <c r="JBR125" s="751"/>
      <c r="JBS125" s="751"/>
      <c r="JBT125" s="751"/>
      <c r="JBU125" s="751"/>
      <c r="JBV125" s="751"/>
      <c r="JBW125" s="751"/>
      <c r="JBX125" s="751"/>
      <c r="JBY125" s="751"/>
      <c r="JBZ125" s="751"/>
      <c r="JCA125" s="751"/>
      <c r="JCB125" s="751"/>
      <c r="JCC125" s="751"/>
      <c r="JCD125" s="751"/>
      <c r="JCE125" s="751"/>
      <c r="JCF125" s="751"/>
      <c r="JCG125" s="751"/>
      <c r="JCH125" s="751"/>
      <c r="JCI125" s="751"/>
      <c r="JCJ125" s="751"/>
      <c r="JCK125" s="751"/>
      <c r="JCL125" s="751"/>
      <c r="JCM125" s="751"/>
      <c r="JCN125" s="751"/>
      <c r="JCO125" s="751"/>
      <c r="JCP125" s="751"/>
      <c r="JCQ125" s="751"/>
      <c r="JCR125" s="751"/>
      <c r="JCS125" s="751"/>
      <c r="JCT125" s="751"/>
      <c r="JCU125" s="751"/>
      <c r="JCV125" s="751"/>
      <c r="JCW125" s="751"/>
      <c r="JCX125" s="751"/>
      <c r="JCY125" s="751"/>
      <c r="JCZ125" s="751"/>
      <c r="JDA125" s="751"/>
      <c r="JDB125" s="751"/>
      <c r="JDC125" s="751"/>
      <c r="JDD125" s="751"/>
      <c r="JDE125" s="751"/>
      <c r="JDF125" s="751"/>
      <c r="JDG125" s="751"/>
      <c r="JDH125" s="751"/>
      <c r="JDI125" s="751"/>
      <c r="JDJ125" s="751"/>
      <c r="JDK125" s="751"/>
      <c r="JDL125" s="751"/>
      <c r="JDM125" s="751"/>
      <c r="JDN125" s="751"/>
      <c r="JDO125" s="751"/>
      <c r="JDP125" s="751"/>
      <c r="JDQ125" s="751"/>
      <c r="JDR125" s="751"/>
      <c r="JDS125" s="751"/>
      <c r="JDT125" s="751"/>
      <c r="JDU125" s="751"/>
      <c r="JDV125" s="751"/>
      <c r="JDW125" s="751"/>
      <c r="JDX125" s="751"/>
      <c r="JDY125" s="751"/>
      <c r="JDZ125" s="751"/>
      <c r="JEA125" s="751"/>
      <c r="JEB125" s="751"/>
      <c r="JEC125" s="751"/>
      <c r="JED125" s="751"/>
      <c r="JEE125" s="751"/>
      <c r="JEF125" s="751"/>
      <c r="JEG125" s="751"/>
      <c r="JEH125" s="751"/>
      <c r="JEI125" s="751"/>
      <c r="JEJ125" s="751"/>
      <c r="JEK125" s="751"/>
      <c r="JEL125" s="751"/>
      <c r="JEM125" s="751"/>
      <c r="JEN125" s="751"/>
      <c r="JEO125" s="751"/>
      <c r="JEP125" s="751"/>
      <c r="JEQ125" s="751"/>
      <c r="JER125" s="751"/>
      <c r="JES125" s="751"/>
      <c r="JET125" s="751"/>
      <c r="JEU125" s="751"/>
      <c r="JEV125" s="751"/>
      <c r="JEW125" s="751"/>
      <c r="JEX125" s="751"/>
      <c r="JEY125" s="751"/>
      <c r="JEZ125" s="751"/>
      <c r="JFA125" s="751"/>
      <c r="JFB125" s="751"/>
      <c r="JFC125" s="751"/>
      <c r="JFD125" s="751"/>
      <c r="JFE125" s="751"/>
      <c r="JFF125" s="751"/>
      <c r="JFG125" s="751"/>
      <c r="JFH125" s="751"/>
      <c r="JFI125" s="751"/>
      <c r="JFJ125" s="751"/>
      <c r="JFK125" s="751"/>
      <c r="JFL125" s="751"/>
      <c r="JFM125" s="751"/>
      <c r="JFN125" s="751"/>
      <c r="JFO125" s="751"/>
      <c r="JFP125" s="751"/>
      <c r="JFQ125" s="751"/>
      <c r="JFR125" s="751"/>
      <c r="JFS125" s="751"/>
      <c r="JFT125" s="751"/>
      <c r="JFU125" s="751"/>
      <c r="JFV125" s="751"/>
      <c r="JFW125" s="751"/>
      <c r="JFX125" s="751"/>
      <c r="JFY125" s="751"/>
      <c r="JFZ125" s="751"/>
      <c r="JGA125" s="751"/>
      <c r="JGB125" s="751"/>
      <c r="JGC125" s="751"/>
      <c r="JGD125" s="751"/>
      <c r="JGE125" s="751"/>
      <c r="JGF125" s="751"/>
      <c r="JGG125" s="751"/>
      <c r="JGH125" s="751"/>
      <c r="JGI125" s="751"/>
      <c r="JGJ125" s="751"/>
      <c r="JGK125" s="751"/>
      <c r="JGL125" s="751"/>
      <c r="JGM125" s="751"/>
      <c r="JGN125" s="751"/>
      <c r="JGO125" s="751"/>
      <c r="JGP125" s="751"/>
      <c r="JGQ125" s="751"/>
      <c r="JGR125" s="751"/>
      <c r="JGS125" s="751"/>
      <c r="JGT125" s="751"/>
      <c r="JGU125" s="751"/>
      <c r="JGV125" s="751"/>
      <c r="JGW125" s="751"/>
      <c r="JGX125" s="751"/>
      <c r="JGY125" s="751"/>
      <c r="JGZ125" s="751"/>
      <c r="JHA125" s="751"/>
      <c r="JHB125" s="751"/>
      <c r="JHC125" s="751"/>
      <c r="JHD125" s="751"/>
      <c r="JHE125" s="751"/>
      <c r="JHF125" s="751"/>
      <c r="JHG125" s="751"/>
      <c r="JHH125" s="751"/>
      <c r="JHI125" s="751"/>
      <c r="JHJ125" s="751"/>
      <c r="JHK125" s="751"/>
      <c r="JHL125" s="751"/>
      <c r="JHM125" s="751"/>
      <c r="JHN125" s="751"/>
      <c r="JHO125" s="751"/>
      <c r="JHP125" s="751"/>
      <c r="JHQ125" s="751"/>
      <c r="JHR125" s="751"/>
      <c r="JHS125" s="751"/>
      <c r="JHT125" s="751"/>
      <c r="JHU125" s="751"/>
      <c r="JHV125" s="751"/>
      <c r="JHW125" s="751"/>
      <c r="JHX125" s="751"/>
      <c r="JHY125" s="751"/>
      <c r="JHZ125" s="751"/>
      <c r="JIA125" s="751"/>
      <c r="JIB125" s="751"/>
      <c r="JIC125" s="751"/>
      <c r="JID125" s="751"/>
      <c r="JIE125" s="751"/>
      <c r="JIF125" s="751"/>
      <c r="JIG125" s="751"/>
      <c r="JIH125" s="751"/>
      <c r="JII125" s="751"/>
      <c r="JIJ125" s="751"/>
      <c r="JIK125" s="751"/>
      <c r="JIL125" s="751"/>
      <c r="JIM125" s="751"/>
      <c r="JIN125" s="751"/>
      <c r="JIO125" s="751"/>
      <c r="JIP125" s="751"/>
      <c r="JIQ125" s="751"/>
      <c r="JIR125" s="751"/>
      <c r="JIS125" s="751"/>
      <c r="JIT125" s="751"/>
      <c r="JIU125" s="751"/>
      <c r="JIV125" s="751"/>
      <c r="JIW125" s="751"/>
      <c r="JIX125" s="751"/>
      <c r="JIY125" s="751"/>
      <c r="JIZ125" s="751"/>
      <c r="JJA125" s="751"/>
      <c r="JJB125" s="751"/>
      <c r="JJC125" s="751"/>
      <c r="JJD125" s="751"/>
      <c r="JJE125" s="751"/>
      <c r="JJF125" s="751"/>
      <c r="JJG125" s="751"/>
      <c r="JJH125" s="751"/>
      <c r="JJI125" s="751"/>
      <c r="JJJ125" s="751"/>
      <c r="JJK125" s="751"/>
      <c r="JJL125" s="751"/>
      <c r="JJM125" s="751"/>
      <c r="JJN125" s="751"/>
      <c r="JJO125" s="751"/>
      <c r="JJP125" s="751"/>
      <c r="JJQ125" s="751"/>
      <c r="JJR125" s="751"/>
      <c r="JJS125" s="751"/>
      <c r="JJT125" s="751"/>
      <c r="JJU125" s="751"/>
      <c r="JJV125" s="751"/>
      <c r="JJW125" s="751"/>
      <c r="JJX125" s="751"/>
      <c r="JJY125" s="751"/>
      <c r="JJZ125" s="751"/>
      <c r="JKA125" s="751"/>
      <c r="JKB125" s="751"/>
      <c r="JKC125" s="751"/>
      <c r="JKD125" s="751"/>
      <c r="JKE125" s="751"/>
      <c r="JKF125" s="751"/>
      <c r="JKG125" s="751"/>
      <c r="JKH125" s="751"/>
      <c r="JKI125" s="751"/>
      <c r="JKJ125" s="751"/>
      <c r="JKK125" s="751"/>
      <c r="JKL125" s="751"/>
      <c r="JKM125" s="751"/>
      <c r="JKN125" s="751"/>
      <c r="JKO125" s="751"/>
      <c r="JKP125" s="751"/>
      <c r="JKQ125" s="751"/>
      <c r="JKR125" s="751"/>
      <c r="JKS125" s="751"/>
      <c r="JKT125" s="751"/>
      <c r="JKU125" s="751"/>
      <c r="JKV125" s="751"/>
      <c r="JKW125" s="751"/>
      <c r="JKX125" s="751"/>
      <c r="JKY125" s="751"/>
      <c r="JKZ125" s="751"/>
      <c r="JLA125" s="751"/>
      <c r="JLB125" s="751"/>
      <c r="JLC125" s="751"/>
      <c r="JLD125" s="751"/>
      <c r="JLE125" s="751"/>
      <c r="JLF125" s="751"/>
      <c r="JLG125" s="751"/>
      <c r="JLH125" s="751"/>
      <c r="JLI125" s="751"/>
      <c r="JLJ125" s="751"/>
      <c r="JLK125" s="751"/>
      <c r="JLL125" s="751"/>
      <c r="JLM125" s="751"/>
      <c r="JLN125" s="751"/>
      <c r="JLO125" s="751"/>
      <c r="JLP125" s="751"/>
      <c r="JLQ125" s="751"/>
      <c r="JLR125" s="751"/>
      <c r="JLS125" s="751"/>
      <c r="JLT125" s="751"/>
      <c r="JLU125" s="751"/>
      <c r="JLV125" s="751"/>
      <c r="JLW125" s="751"/>
      <c r="JLX125" s="751"/>
      <c r="JLY125" s="751"/>
      <c r="JLZ125" s="751"/>
      <c r="JMA125" s="751"/>
      <c r="JMB125" s="751"/>
      <c r="JMC125" s="751"/>
      <c r="JMD125" s="751"/>
      <c r="JME125" s="751"/>
      <c r="JMF125" s="751"/>
      <c r="JMG125" s="751"/>
      <c r="JMH125" s="751"/>
      <c r="JMI125" s="751"/>
      <c r="JMJ125" s="751"/>
      <c r="JMK125" s="751"/>
      <c r="JML125" s="751"/>
      <c r="JMM125" s="751"/>
      <c r="JMN125" s="751"/>
      <c r="JMO125" s="751"/>
      <c r="JMP125" s="751"/>
      <c r="JMQ125" s="751"/>
      <c r="JMR125" s="751"/>
      <c r="JMS125" s="751"/>
      <c r="JMT125" s="751"/>
      <c r="JMU125" s="751"/>
      <c r="JMV125" s="751"/>
      <c r="JMW125" s="751"/>
      <c r="JMX125" s="751"/>
      <c r="JMY125" s="751"/>
      <c r="JMZ125" s="751"/>
      <c r="JNA125" s="751"/>
      <c r="JNB125" s="751"/>
      <c r="JNC125" s="751"/>
      <c r="JND125" s="751"/>
      <c r="JNE125" s="751"/>
      <c r="JNF125" s="751"/>
      <c r="JNG125" s="751"/>
      <c r="JNH125" s="751"/>
      <c r="JNI125" s="751"/>
      <c r="JNJ125" s="751"/>
      <c r="JNK125" s="751"/>
      <c r="JNL125" s="751"/>
      <c r="JNM125" s="751"/>
      <c r="JNN125" s="751"/>
      <c r="JNO125" s="751"/>
      <c r="JNP125" s="751"/>
      <c r="JNQ125" s="751"/>
      <c r="JNR125" s="751"/>
      <c r="JNS125" s="751"/>
      <c r="JNT125" s="751"/>
      <c r="JNU125" s="751"/>
      <c r="JNV125" s="751"/>
      <c r="JNW125" s="751"/>
      <c r="JNX125" s="751"/>
      <c r="JNY125" s="751"/>
      <c r="JNZ125" s="751"/>
      <c r="JOA125" s="751"/>
      <c r="JOB125" s="751"/>
      <c r="JOC125" s="751"/>
      <c r="JOD125" s="751"/>
      <c r="JOE125" s="751"/>
      <c r="JOF125" s="751"/>
      <c r="JOG125" s="751"/>
      <c r="JOH125" s="751"/>
      <c r="JOI125" s="751"/>
      <c r="JOJ125" s="751"/>
      <c r="JOK125" s="751"/>
      <c r="JOL125" s="751"/>
      <c r="JOM125" s="751"/>
      <c r="JON125" s="751"/>
      <c r="JOO125" s="751"/>
      <c r="JOP125" s="751"/>
      <c r="JOQ125" s="751"/>
      <c r="JOR125" s="751"/>
      <c r="JOS125" s="751"/>
      <c r="JOT125" s="751"/>
      <c r="JOU125" s="751"/>
      <c r="JOV125" s="751"/>
      <c r="JOW125" s="751"/>
      <c r="JOX125" s="751"/>
      <c r="JOY125" s="751"/>
      <c r="JOZ125" s="751"/>
      <c r="JPA125" s="751"/>
      <c r="JPB125" s="751"/>
      <c r="JPC125" s="751"/>
      <c r="JPD125" s="751"/>
      <c r="JPE125" s="751"/>
      <c r="JPF125" s="751"/>
      <c r="JPG125" s="751"/>
      <c r="JPH125" s="751"/>
      <c r="JPI125" s="751"/>
      <c r="JPJ125" s="751"/>
      <c r="JPK125" s="751"/>
      <c r="JPL125" s="751"/>
      <c r="JPM125" s="751"/>
      <c r="JPN125" s="751"/>
      <c r="JPO125" s="751"/>
      <c r="JPP125" s="751"/>
      <c r="JPQ125" s="751"/>
      <c r="JPR125" s="751"/>
      <c r="JPS125" s="751"/>
      <c r="JPT125" s="751"/>
      <c r="JPU125" s="751"/>
      <c r="JPV125" s="751"/>
      <c r="JPW125" s="751"/>
      <c r="JPX125" s="751"/>
      <c r="JPY125" s="751"/>
      <c r="JPZ125" s="751"/>
      <c r="JQA125" s="751"/>
      <c r="JQB125" s="751"/>
      <c r="JQC125" s="751"/>
      <c r="JQD125" s="751"/>
      <c r="JQE125" s="751"/>
      <c r="JQF125" s="751"/>
      <c r="JQG125" s="751"/>
      <c r="JQH125" s="751"/>
      <c r="JQI125" s="751"/>
      <c r="JQJ125" s="751"/>
      <c r="JQK125" s="751"/>
      <c r="JQL125" s="751"/>
      <c r="JQM125" s="751"/>
      <c r="JQN125" s="751"/>
      <c r="JQO125" s="751"/>
      <c r="JQP125" s="751"/>
      <c r="JQQ125" s="751"/>
      <c r="JQR125" s="751"/>
      <c r="JQS125" s="751"/>
      <c r="JQT125" s="751"/>
      <c r="JQU125" s="751"/>
      <c r="JQV125" s="751"/>
      <c r="JQW125" s="751"/>
      <c r="JQX125" s="751"/>
      <c r="JQY125" s="751"/>
      <c r="JQZ125" s="751"/>
      <c r="JRA125" s="751"/>
      <c r="JRB125" s="751"/>
      <c r="JRC125" s="751"/>
      <c r="JRD125" s="751"/>
      <c r="JRE125" s="751"/>
      <c r="JRF125" s="751"/>
      <c r="JRG125" s="751"/>
      <c r="JRH125" s="751"/>
      <c r="JRI125" s="751"/>
      <c r="JRJ125" s="751"/>
      <c r="JRK125" s="751"/>
      <c r="JRL125" s="751"/>
      <c r="JRM125" s="751"/>
      <c r="JRN125" s="751"/>
      <c r="JRO125" s="751"/>
      <c r="JRP125" s="751"/>
      <c r="JRQ125" s="751"/>
      <c r="JRR125" s="751"/>
      <c r="JRS125" s="751"/>
      <c r="JRT125" s="751"/>
      <c r="JRU125" s="751"/>
      <c r="JRV125" s="751"/>
      <c r="JRW125" s="751"/>
      <c r="JRX125" s="751"/>
      <c r="JRY125" s="751"/>
      <c r="JRZ125" s="751"/>
      <c r="JSA125" s="751"/>
      <c r="JSB125" s="751"/>
      <c r="JSC125" s="751"/>
      <c r="JSD125" s="751"/>
      <c r="JSE125" s="751"/>
      <c r="JSF125" s="751"/>
      <c r="JSG125" s="751"/>
      <c r="JSH125" s="751"/>
      <c r="JSI125" s="751"/>
      <c r="JSJ125" s="751"/>
      <c r="JSK125" s="751"/>
      <c r="JSL125" s="751"/>
      <c r="JSM125" s="751"/>
      <c r="JSN125" s="751"/>
      <c r="JSO125" s="751"/>
      <c r="JSP125" s="751"/>
      <c r="JSQ125" s="751"/>
      <c r="JSR125" s="751"/>
      <c r="JSS125" s="751"/>
      <c r="JST125" s="751"/>
      <c r="JSU125" s="751"/>
      <c r="JSV125" s="751"/>
      <c r="JSW125" s="751"/>
      <c r="JSX125" s="751"/>
      <c r="JSY125" s="751"/>
      <c r="JSZ125" s="751"/>
      <c r="JTA125" s="751"/>
      <c r="JTB125" s="751"/>
      <c r="JTC125" s="751"/>
      <c r="JTD125" s="751"/>
      <c r="JTE125" s="751"/>
      <c r="JTF125" s="751"/>
      <c r="JTG125" s="751"/>
      <c r="JTH125" s="751"/>
      <c r="JTI125" s="751"/>
      <c r="JTJ125" s="751"/>
      <c r="JTK125" s="751"/>
      <c r="JTL125" s="751"/>
      <c r="JTM125" s="751"/>
      <c r="JTN125" s="751"/>
      <c r="JTO125" s="751"/>
      <c r="JTP125" s="751"/>
      <c r="JTQ125" s="751"/>
      <c r="JTR125" s="751"/>
      <c r="JTS125" s="751"/>
      <c r="JTT125" s="751"/>
      <c r="JTU125" s="751"/>
      <c r="JTV125" s="751"/>
      <c r="JTW125" s="751"/>
      <c r="JTX125" s="751"/>
      <c r="JTY125" s="751"/>
      <c r="JTZ125" s="751"/>
      <c r="JUA125" s="751"/>
      <c r="JUB125" s="751"/>
      <c r="JUC125" s="751"/>
      <c r="JUD125" s="751"/>
      <c r="JUE125" s="751"/>
      <c r="JUF125" s="751"/>
      <c r="JUG125" s="751"/>
      <c r="JUH125" s="751"/>
      <c r="JUI125" s="751"/>
      <c r="JUJ125" s="751"/>
      <c r="JUK125" s="751"/>
      <c r="JUL125" s="751"/>
      <c r="JUM125" s="751"/>
      <c r="JUN125" s="751"/>
      <c r="JUO125" s="751"/>
      <c r="JUP125" s="751"/>
      <c r="JUQ125" s="751"/>
      <c r="JUR125" s="751"/>
      <c r="JUS125" s="751"/>
      <c r="JUT125" s="751"/>
      <c r="JUU125" s="751"/>
      <c r="JUV125" s="751"/>
      <c r="JUW125" s="751"/>
      <c r="JUX125" s="751"/>
      <c r="JUY125" s="751"/>
      <c r="JUZ125" s="751"/>
      <c r="JVA125" s="751"/>
      <c r="JVB125" s="751"/>
      <c r="JVC125" s="751"/>
      <c r="JVD125" s="751"/>
      <c r="JVE125" s="751"/>
      <c r="JVF125" s="751"/>
      <c r="JVG125" s="751"/>
      <c r="JVH125" s="751"/>
      <c r="JVI125" s="751"/>
      <c r="JVJ125" s="751"/>
      <c r="JVK125" s="751"/>
      <c r="JVL125" s="751"/>
      <c r="JVM125" s="751"/>
      <c r="JVN125" s="751"/>
      <c r="JVO125" s="751"/>
      <c r="JVP125" s="751"/>
      <c r="JVQ125" s="751"/>
      <c r="JVR125" s="751"/>
      <c r="JVS125" s="751"/>
      <c r="JVT125" s="751"/>
      <c r="JVU125" s="751"/>
      <c r="JVV125" s="751"/>
      <c r="JVW125" s="751"/>
      <c r="JVX125" s="751"/>
      <c r="JVY125" s="751"/>
      <c r="JVZ125" s="751"/>
      <c r="JWA125" s="751"/>
      <c r="JWB125" s="751"/>
      <c r="JWC125" s="751"/>
      <c r="JWD125" s="751"/>
      <c r="JWE125" s="751"/>
      <c r="JWF125" s="751"/>
      <c r="JWG125" s="751"/>
      <c r="JWH125" s="751"/>
      <c r="JWI125" s="751"/>
      <c r="JWJ125" s="751"/>
      <c r="JWK125" s="751"/>
      <c r="JWL125" s="751"/>
      <c r="JWM125" s="751"/>
      <c r="JWN125" s="751"/>
      <c r="JWO125" s="751"/>
      <c r="JWP125" s="751"/>
      <c r="JWQ125" s="751"/>
      <c r="JWR125" s="751"/>
      <c r="JWS125" s="751"/>
      <c r="JWT125" s="751"/>
      <c r="JWU125" s="751"/>
      <c r="JWV125" s="751"/>
      <c r="JWW125" s="751"/>
      <c r="JWX125" s="751"/>
      <c r="JWY125" s="751"/>
      <c r="JWZ125" s="751"/>
      <c r="JXA125" s="751"/>
      <c r="JXB125" s="751"/>
      <c r="JXC125" s="751"/>
      <c r="JXD125" s="751"/>
      <c r="JXE125" s="751"/>
      <c r="JXF125" s="751"/>
      <c r="JXG125" s="751"/>
      <c r="JXH125" s="751"/>
      <c r="JXI125" s="751"/>
      <c r="JXJ125" s="751"/>
      <c r="JXK125" s="751"/>
      <c r="JXL125" s="751"/>
      <c r="JXM125" s="751"/>
      <c r="JXN125" s="751"/>
      <c r="JXO125" s="751"/>
      <c r="JXP125" s="751"/>
      <c r="JXQ125" s="751"/>
      <c r="JXR125" s="751"/>
      <c r="JXS125" s="751"/>
      <c r="JXT125" s="751"/>
      <c r="JXU125" s="751"/>
      <c r="JXV125" s="751"/>
      <c r="JXW125" s="751"/>
      <c r="JXX125" s="751"/>
      <c r="JXY125" s="751"/>
      <c r="JXZ125" s="751"/>
      <c r="JYA125" s="751"/>
      <c r="JYB125" s="751"/>
      <c r="JYC125" s="751"/>
      <c r="JYD125" s="751"/>
      <c r="JYE125" s="751"/>
      <c r="JYF125" s="751"/>
      <c r="JYG125" s="751"/>
      <c r="JYH125" s="751"/>
      <c r="JYI125" s="751"/>
      <c r="JYJ125" s="751"/>
      <c r="JYK125" s="751"/>
      <c r="JYL125" s="751"/>
      <c r="JYM125" s="751"/>
      <c r="JYN125" s="751"/>
      <c r="JYO125" s="751"/>
      <c r="JYP125" s="751"/>
      <c r="JYQ125" s="751"/>
      <c r="JYR125" s="751"/>
      <c r="JYS125" s="751"/>
      <c r="JYT125" s="751"/>
      <c r="JYU125" s="751"/>
      <c r="JYV125" s="751"/>
      <c r="JYW125" s="751"/>
      <c r="JYX125" s="751"/>
      <c r="JYY125" s="751"/>
      <c r="JYZ125" s="751"/>
      <c r="JZA125" s="751"/>
      <c r="JZB125" s="751"/>
      <c r="JZC125" s="751"/>
      <c r="JZD125" s="751"/>
      <c r="JZE125" s="751"/>
      <c r="JZF125" s="751"/>
      <c r="JZG125" s="751"/>
      <c r="JZH125" s="751"/>
      <c r="JZI125" s="751"/>
      <c r="JZJ125" s="751"/>
      <c r="JZK125" s="751"/>
      <c r="JZL125" s="751"/>
      <c r="JZM125" s="751"/>
      <c r="JZN125" s="751"/>
      <c r="JZO125" s="751"/>
      <c r="JZP125" s="751"/>
      <c r="JZQ125" s="751"/>
      <c r="JZR125" s="751"/>
      <c r="JZS125" s="751"/>
      <c r="JZT125" s="751"/>
      <c r="JZU125" s="751"/>
      <c r="JZV125" s="751"/>
      <c r="JZW125" s="751"/>
      <c r="JZX125" s="751"/>
      <c r="JZY125" s="751"/>
      <c r="JZZ125" s="751"/>
      <c r="KAA125" s="751"/>
      <c r="KAB125" s="751"/>
      <c r="KAC125" s="751"/>
      <c r="KAD125" s="751"/>
      <c r="KAE125" s="751"/>
      <c r="KAF125" s="751"/>
      <c r="KAG125" s="751"/>
      <c r="KAH125" s="751"/>
      <c r="KAI125" s="751"/>
      <c r="KAJ125" s="751"/>
      <c r="KAK125" s="751"/>
      <c r="KAL125" s="751"/>
      <c r="KAM125" s="751"/>
      <c r="KAN125" s="751"/>
      <c r="KAO125" s="751"/>
      <c r="KAP125" s="751"/>
      <c r="KAQ125" s="751"/>
      <c r="KAR125" s="751"/>
      <c r="KAS125" s="751"/>
      <c r="KAT125" s="751"/>
      <c r="KAU125" s="751"/>
      <c r="KAV125" s="751"/>
      <c r="KAW125" s="751"/>
      <c r="KAX125" s="751"/>
      <c r="KAY125" s="751"/>
      <c r="KAZ125" s="751"/>
      <c r="KBA125" s="751"/>
      <c r="KBB125" s="751"/>
      <c r="KBC125" s="751"/>
      <c r="KBD125" s="751"/>
      <c r="KBE125" s="751"/>
      <c r="KBF125" s="751"/>
      <c r="KBG125" s="751"/>
      <c r="KBH125" s="751"/>
      <c r="KBI125" s="751"/>
      <c r="KBJ125" s="751"/>
      <c r="KBK125" s="751"/>
      <c r="KBL125" s="751"/>
      <c r="KBM125" s="751"/>
      <c r="KBN125" s="751"/>
      <c r="KBO125" s="751"/>
      <c r="KBP125" s="751"/>
      <c r="KBQ125" s="751"/>
      <c r="KBR125" s="751"/>
      <c r="KBS125" s="751"/>
      <c r="KBT125" s="751"/>
      <c r="KBU125" s="751"/>
      <c r="KBV125" s="751"/>
      <c r="KBW125" s="751"/>
      <c r="KBX125" s="751"/>
      <c r="KBY125" s="751"/>
      <c r="KBZ125" s="751"/>
      <c r="KCA125" s="751"/>
      <c r="KCB125" s="751"/>
      <c r="KCC125" s="751"/>
      <c r="KCD125" s="751"/>
      <c r="KCE125" s="751"/>
      <c r="KCF125" s="751"/>
      <c r="KCG125" s="751"/>
      <c r="KCH125" s="751"/>
      <c r="KCI125" s="751"/>
      <c r="KCJ125" s="751"/>
      <c r="KCK125" s="751"/>
      <c r="KCL125" s="751"/>
      <c r="KCM125" s="751"/>
      <c r="KCN125" s="751"/>
      <c r="KCO125" s="751"/>
      <c r="KCP125" s="751"/>
      <c r="KCQ125" s="751"/>
      <c r="KCR125" s="751"/>
      <c r="KCS125" s="751"/>
      <c r="KCT125" s="751"/>
      <c r="KCU125" s="751"/>
      <c r="KCV125" s="751"/>
      <c r="KCW125" s="751"/>
      <c r="KCX125" s="751"/>
      <c r="KCY125" s="751"/>
      <c r="KCZ125" s="751"/>
      <c r="KDA125" s="751"/>
      <c r="KDB125" s="751"/>
      <c r="KDC125" s="751"/>
      <c r="KDD125" s="751"/>
      <c r="KDE125" s="751"/>
      <c r="KDF125" s="751"/>
      <c r="KDG125" s="751"/>
      <c r="KDH125" s="751"/>
      <c r="KDI125" s="751"/>
      <c r="KDJ125" s="751"/>
      <c r="KDK125" s="751"/>
      <c r="KDL125" s="751"/>
      <c r="KDM125" s="751"/>
      <c r="KDN125" s="751"/>
      <c r="KDO125" s="751"/>
      <c r="KDP125" s="751"/>
      <c r="KDQ125" s="751"/>
      <c r="KDR125" s="751"/>
      <c r="KDS125" s="751"/>
      <c r="KDT125" s="751"/>
      <c r="KDU125" s="751"/>
      <c r="KDV125" s="751"/>
      <c r="KDW125" s="751"/>
      <c r="KDX125" s="751"/>
      <c r="KDY125" s="751"/>
      <c r="KDZ125" s="751"/>
      <c r="KEA125" s="751"/>
      <c r="KEB125" s="751"/>
      <c r="KEC125" s="751"/>
      <c r="KED125" s="751"/>
      <c r="KEE125" s="751"/>
      <c r="KEF125" s="751"/>
      <c r="KEG125" s="751"/>
      <c r="KEH125" s="751"/>
      <c r="KEI125" s="751"/>
      <c r="KEJ125" s="751"/>
      <c r="KEK125" s="751"/>
      <c r="KEL125" s="751"/>
      <c r="KEM125" s="751"/>
      <c r="KEN125" s="751"/>
      <c r="KEO125" s="751"/>
      <c r="KEP125" s="751"/>
      <c r="KEQ125" s="751"/>
      <c r="KER125" s="751"/>
      <c r="KES125" s="751"/>
      <c r="KET125" s="751"/>
      <c r="KEU125" s="751"/>
      <c r="KEV125" s="751"/>
      <c r="KEW125" s="751"/>
      <c r="KEX125" s="751"/>
      <c r="KEY125" s="751"/>
      <c r="KEZ125" s="751"/>
      <c r="KFA125" s="751"/>
      <c r="KFB125" s="751"/>
      <c r="KFC125" s="751"/>
      <c r="KFD125" s="751"/>
      <c r="KFE125" s="751"/>
      <c r="KFF125" s="751"/>
      <c r="KFG125" s="751"/>
      <c r="KFH125" s="751"/>
      <c r="KFI125" s="751"/>
      <c r="KFJ125" s="751"/>
      <c r="KFK125" s="751"/>
      <c r="KFL125" s="751"/>
      <c r="KFM125" s="751"/>
      <c r="KFN125" s="751"/>
      <c r="KFO125" s="751"/>
      <c r="KFP125" s="751"/>
      <c r="KFQ125" s="751"/>
      <c r="KFR125" s="751"/>
      <c r="KFS125" s="751"/>
      <c r="KFT125" s="751"/>
      <c r="KFU125" s="751"/>
      <c r="KFV125" s="751"/>
      <c r="KFW125" s="751"/>
      <c r="KFX125" s="751"/>
      <c r="KFY125" s="751"/>
      <c r="KFZ125" s="751"/>
      <c r="KGA125" s="751"/>
      <c r="KGB125" s="751"/>
      <c r="KGC125" s="751"/>
      <c r="KGD125" s="751"/>
      <c r="KGE125" s="751"/>
      <c r="KGF125" s="751"/>
      <c r="KGG125" s="751"/>
      <c r="KGH125" s="751"/>
      <c r="KGI125" s="751"/>
      <c r="KGJ125" s="751"/>
      <c r="KGK125" s="751"/>
      <c r="KGL125" s="751"/>
      <c r="KGM125" s="751"/>
      <c r="KGN125" s="751"/>
      <c r="KGO125" s="751"/>
      <c r="KGP125" s="751"/>
      <c r="KGQ125" s="751"/>
      <c r="KGR125" s="751"/>
      <c r="KGS125" s="751"/>
      <c r="KGT125" s="751"/>
      <c r="KGU125" s="751"/>
      <c r="KGV125" s="751"/>
      <c r="KGW125" s="751"/>
      <c r="KGX125" s="751"/>
      <c r="KGY125" s="751"/>
      <c r="KGZ125" s="751"/>
      <c r="KHA125" s="751"/>
      <c r="KHB125" s="751"/>
      <c r="KHC125" s="751"/>
      <c r="KHD125" s="751"/>
      <c r="KHE125" s="751"/>
      <c r="KHF125" s="751"/>
      <c r="KHG125" s="751"/>
      <c r="KHH125" s="751"/>
      <c r="KHI125" s="751"/>
      <c r="KHJ125" s="751"/>
      <c r="KHK125" s="751"/>
      <c r="KHL125" s="751"/>
      <c r="KHM125" s="751"/>
      <c r="KHN125" s="751"/>
      <c r="KHO125" s="751"/>
      <c r="KHP125" s="751"/>
      <c r="KHQ125" s="751"/>
      <c r="KHR125" s="751"/>
      <c r="KHS125" s="751"/>
      <c r="KHT125" s="751"/>
      <c r="KHU125" s="751"/>
      <c r="KHV125" s="751"/>
      <c r="KHW125" s="751"/>
      <c r="KHX125" s="751"/>
      <c r="KHY125" s="751"/>
      <c r="KHZ125" s="751"/>
      <c r="KIA125" s="751"/>
      <c r="KIB125" s="751"/>
      <c r="KIC125" s="751"/>
      <c r="KID125" s="751"/>
      <c r="KIE125" s="751"/>
      <c r="KIF125" s="751"/>
      <c r="KIG125" s="751"/>
      <c r="KIH125" s="751"/>
      <c r="KII125" s="751"/>
      <c r="KIJ125" s="751"/>
      <c r="KIK125" s="751"/>
      <c r="KIL125" s="751"/>
      <c r="KIM125" s="751"/>
      <c r="KIN125" s="751"/>
      <c r="KIO125" s="751"/>
      <c r="KIP125" s="751"/>
      <c r="KIQ125" s="751"/>
      <c r="KIR125" s="751"/>
      <c r="KIS125" s="751"/>
      <c r="KIT125" s="751"/>
      <c r="KIU125" s="751"/>
      <c r="KIV125" s="751"/>
      <c r="KIW125" s="751"/>
      <c r="KIX125" s="751"/>
      <c r="KIY125" s="751"/>
      <c r="KIZ125" s="751"/>
      <c r="KJA125" s="751"/>
      <c r="KJB125" s="751"/>
      <c r="KJC125" s="751"/>
      <c r="KJD125" s="751"/>
      <c r="KJE125" s="751"/>
      <c r="KJF125" s="751"/>
      <c r="KJG125" s="751"/>
      <c r="KJH125" s="751"/>
      <c r="KJI125" s="751"/>
      <c r="KJJ125" s="751"/>
      <c r="KJK125" s="751"/>
      <c r="KJL125" s="751"/>
      <c r="KJM125" s="751"/>
      <c r="KJN125" s="751"/>
      <c r="KJO125" s="751"/>
      <c r="KJP125" s="751"/>
      <c r="KJQ125" s="751"/>
      <c r="KJR125" s="751"/>
      <c r="KJS125" s="751"/>
      <c r="KJT125" s="751"/>
      <c r="KJU125" s="751"/>
      <c r="KJV125" s="751"/>
      <c r="KJW125" s="751"/>
      <c r="KJX125" s="751"/>
      <c r="KJY125" s="751"/>
      <c r="KJZ125" s="751"/>
      <c r="KKA125" s="751"/>
      <c r="KKB125" s="751"/>
      <c r="KKC125" s="751"/>
      <c r="KKD125" s="751"/>
      <c r="KKE125" s="751"/>
      <c r="KKF125" s="751"/>
      <c r="KKG125" s="751"/>
      <c r="KKH125" s="751"/>
      <c r="KKI125" s="751"/>
      <c r="KKJ125" s="751"/>
      <c r="KKK125" s="751"/>
      <c r="KKL125" s="751"/>
      <c r="KKM125" s="751"/>
      <c r="KKN125" s="751"/>
      <c r="KKO125" s="751"/>
      <c r="KKP125" s="751"/>
      <c r="KKQ125" s="751"/>
      <c r="KKR125" s="751"/>
      <c r="KKS125" s="751"/>
      <c r="KKT125" s="751"/>
      <c r="KKU125" s="751"/>
      <c r="KKV125" s="751"/>
      <c r="KKW125" s="751"/>
      <c r="KKX125" s="751"/>
      <c r="KKY125" s="751"/>
      <c r="KKZ125" s="751"/>
      <c r="KLA125" s="751"/>
      <c r="KLB125" s="751"/>
      <c r="KLC125" s="751"/>
      <c r="KLD125" s="751"/>
      <c r="KLE125" s="751"/>
      <c r="KLF125" s="751"/>
      <c r="KLG125" s="751"/>
      <c r="KLH125" s="751"/>
      <c r="KLI125" s="751"/>
      <c r="KLJ125" s="751"/>
      <c r="KLK125" s="751"/>
      <c r="KLL125" s="751"/>
      <c r="KLM125" s="751"/>
      <c r="KLN125" s="751"/>
      <c r="KLO125" s="751"/>
      <c r="KLP125" s="751"/>
      <c r="KLQ125" s="751"/>
      <c r="KLR125" s="751"/>
      <c r="KLS125" s="751"/>
      <c r="KLT125" s="751"/>
      <c r="KLU125" s="751"/>
      <c r="KLV125" s="751"/>
      <c r="KLW125" s="751"/>
      <c r="KLX125" s="751"/>
      <c r="KLY125" s="751"/>
      <c r="KLZ125" s="751"/>
      <c r="KMA125" s="751"/>
      <c r="KMB125" s="751"/>
      <c r="KMC125" s="751"/>
      <c r="KMD125" s="751"/>
      <c r="KME125" s="751"/>
      <c r="KMF125" s="751"/>
      <c r="KMG125" s="751"/>
      <c r="KMH125" s="751"/>
      <c r="KMI125" s="751"/>
      <c r="KMJ125" s="751"/>
      <c r="KMK125" s="751"/>
      <c r="KML125" s="751"/>
      <c r="KMM125" s="751"/>
      <c r="KMN125" s="751"/>
      <c r="KMO125" s="751"/>
      <c r="KMP125" s="751"/>
      <c r="KMQ125" s="751"/>
      <c r="KMR125" s="751"/>
      <c r="KMS125" s="751"/>
      <c r="KMT125" s="751"/>
      <c r="KMU125" s="751"/>
      <c r="KMV125" s="751"/>
      <c r="KMW125" s="751"/>
      <c r="KMX125" s="751"/>
      <c r="KMY125" s="751"/>
      <c r="KMZ125" s="751"/>
      <c r="KNA125" s="751"/>
      <c r="KNB125" s="751"/>
      <c r="KNC125" s="751"/>
      <c r="KND125" s="751"/>
      <c r="KNE125" s="751"/>
      <c r="KNF125" s="751"/>
      <c r="KNG125" s="751"/>
      <c r="KNH125" s="751"/>
      <c r="KNI125" s="751"/>
      <c r="KNJ125" s="751"/>
      <c r="KNK125" s="751"/>
      <c r="KNL125" s="751"/>
      <c r="KNM125" s="751"/>
      <c r="KNN125" s="751"/>
      <c r="KNO125" s="751"/>
      <c r="KNP125" s="751"/>
      <c r="KNQ125" s="751"/>
      <c r="KNR125" s="751"/>
      <c r="KNS125" s="751"/>
      <c r="KNT125" s="751"/>
      <c r="KNU125" s="751"/>
      <c r="KNV125" s="751"/>
      <c r="KNW125" s="751"/>
      <c r="KNX125" s="751"/>
      <c r="KNY125" s="751"/>
      <c r="KNZ125" s="751"/>
      <c r="KOA125" s="751"/>
      <c r="KOB125" s="751"/>
      <c r="KOC125" s="751"/>
      <c r="KOD125" s="751"/>
      <c r="KOE125" s="751"/>
      <c r="KOF125" s="751"/>
      <c r="KOG125" s="751"/>
      <c r="KOH125" s="751"/>
      <c r="KOI125" s="751"/>
      <c r="KOJ125" s="751"/>
      <c r="KOK125" s="751"/>
      <c r="KOL125" s="751"/>
      <c r="KOM125" s="751"/>
      <c r="KON125" s="751"/>
      <c r="KOO125" s="751"/>
      <c r="KOP125" s="751"/>
      <c r="KOQ125" s="751"/>
      <c r="KOR125" s="751"/>
      <c r="KOS125" s="751"/>
      <c r="KOT125" s="751"/>
      <c r="KOU125" s="751"/>
      <c r="KOV125" s="751"/>
      <c r="KOW125" s="751"/>
      <c r="KOX125" s="751"/>
      <c r="KOY125" s="751"/>
      <c r="KOZ125" s="751"/>
      <c r="KPA125" s="751"/>
      <c r="KPB125" s="751"/>
      <c r="KPC125" s="751"/>
      <c r="KPD125" s="751"/>
      <c r="KPE125" s="751"/>
      <c r="KPF125" s="751"/>
      <c r="KPG125" s="751"/>
      <c r="KPH125" s="751"/>
      <c r="KPI125" s="751"/>
      <c r="KPJ125" s="751"/>
      <c r="KPK125" s="751"/>
      <c r="KPL125" s="751"/>
      <c r="KPM125" s="751"/>
      <c r="KPN125" s="751"/>
      <c r="KPO125" s="751"/>
      <c r="KPP125" s="751"/>
      <c r="KPQ125" s="751"/>
      <c r="KPR125" s="751"/>
      <c r="KPS125" s="751"/>
      <c r="KPT125" s="751"/>
      <c r="KPU125" s="751"/>
      <c r="KPV125" s="751"/>
      <c r="KPW125" s="751"/>
      <c r="KPX125" s="751"/>
      <c r="KPY125" s="751"/>
      <c r="KPZ125" s="751"/>
      <c r="KQA125" s="751"/>
      <c r="KQB125" s="751"/>
      <c r="KQC125" s="751"/>
      <c r="KQD125" s="751"/>
      <c r="KQE125" s="751"/>
      <c r="KQF125" s="751"/>
      <c r="KQG125" s="751"/>
      <c r="KQH125" s="751"/>
      <c r="KQI125" s="751"/>
      <c r="KQJ125" s="751"/>
      <c r="KQK125" s="751"/>
      <c r="KQL125" s="751"/>
      <c r="KQM125" s="751"/>
      <c r="KQN125" s="751"/>
      <c r="KQO125" s="751"/>
      <c r="KQP125" s="751"/>
      <c r="KQQ125" s="751"/>
      <c r="KQR125" s="751"/>
      <c r="KQS125" s="751"/>
      <c r="KQT125" s="751"/>
      <c r="KQU125" s="751"/>
      <c r="KQV125" s="751"/>
      <c r="KQW125" s="751"/>
      <c r="KQX125" s="751"/>
      <c r="KQY125" s="751"/>
      <c r="KQZ125" s="751"/>
      <c r="KRA125" s="751"/>
      <c r="KRB125" s="751"/>
      <c r="KRC125" s="751"/>
      <c r="KRD125" s="751"/>
      <c r="KRE125" s="751"/>
      <c r="KRF125" s="751"/>
      <c r="KRG125" s="751"/>
      <c r="KRH125" s="751"/>
      <c r="KRI125" s="751"/>
      <c r="KRJ125" s="751"/>
      <c r="KRK125" s="751"/>
      <c r="KRL125" s="751"/>
      <c r="KRM125" s="751"/>
      <c r="KRN125" s="751"/>
      <c r="KRO125" s="751"/>
      <c r="KRP125" s="751"/>
      <c r="KRQ125" s="751"/>
      <c r="KRR125" s="751"/>
      <c r="KRS125" s="751"/>
      <c r="KRT125" s="751"/>
      <c r="KRU125" s="751"/>
      <c r="KRV125" s="751"/>
      <c r="KRW125" s="751"/>
      <c r="KRX125" s="751"/>
      <c r="KRY125" s="751"/>
      <c r="KRZ125" s="751"/>
      <c r="KSA125" s="751"/>
      <c r="KSB125" s="751"/>
      <c r="KSC125" s="751"/>
      <c r="KSD125" s="751"/>
      <c r="KSE125" s="751"/>
      <c r="KSF125" s="751"/>
      <c r="KSG125" s="751"/>
      <c r="KSH125" s="751"/>
      <c r="KSI125" s="751"/>
      <c r="KSJ125" s="751"/>
      <c r="KSK125" s="751"/>
      <c r="KSL125" s="751"/>
      <c r="KSM125" s="751"/>
      <c r="KSN125" s="751"/>
      <c r="KSO125" s="751"/>
      <c r="KSP125" s="751"/>
      <c r="KSQ125" s="751"/>
      <c r="KSR125" s="751"/>
      <c r="KSS125" s="751"/>
      <c r="KST125" s="751"/>
      <c r="KSU125" s="751"/>
      <c r="KSV125" s="751"/>
      <c r="KSW125" s="751"/>
      <c r="KSX125" s="751"/>
      <c r="KSY125" s="751"/>
      <c r="KSZ125" s="751"/>
      <c r="KTA125" s="751"/>
      <c r="KTB125" s="751"/>
      <c r="KTC125" s="751"/>
      <c r="KTD125" s="751"/>
      <c r="KTE125" s="751"/>
      <c r="KTF125" s="751"/>
      <c r="KTG125" s="751"/>
      <c r="KTH125" s="751"/>
      <c r="KTI125" s="751"/>
      <c r="KTJ125" s="751"/>
      <c r="KTK125" s="751"/>
      <c r="KTL125" s="751"/>
      <c r="KTM125" s="751"/>
      <c r="KTN125" s="751"/>
      <c r="KTO125" s="751"/>
      <c r="KTP125" s="751"/>
      <c r="KTQ125" s="751"/>
      <c r="KTR125" s="751"/>
      <c r="KTS125" s="751"/>
      <c r="KTT125" s="751"/>
      <c r="KTU125" s="751"/>
      <c r="KTV125" s="751"/>
      <c r="KTW125" s="751"/>
      <c r="KTX125" s="751"/>
      <c r="KTY125" s="751"/>
      <c r="KTZ125" s="751"/>
      <c r="KUA125" s="751"/>
      <c r="KUB125" s="751"/>
      <c r="KUC125" s="751"/>
      <c r="KUD125" s="751"/>
      <c r="KUE125" s="751"/>
      <c r="KUF125" s="751"/>
      <c r="KUG125" s="751"/>
      <c r="KUH125" s="751"/>
      <c r="KUI125" s="751"/>
      <c r="KUJ125" s="751"/>
      <c r="KUK125" s="751"/>
      <c r="KUL125" s="751"/>
      <c r="KUM125" s="751"/>
      <c r="KUN125" s="751"/>
      <c r="KUO125" s="751"/>
      <c r="KUP125" s="751"/>
      <c r="KUQ125" s="751"/>
      <c r="KUR125" s="751"/>
      <c r="KUS125" s="751"/>
      <c r="KUT125" s="751"/>
      <c r="KUU125" s="751"/>
      <c r="KUV125" s="751"/>
      <c r="KUW125" s="751"/>
      <c r="KUX125" s="751"/>
      <c r="KUY125" s="751"/>
      <c r="KUZ125" s="751"/>
      <c r="KVA125" s="751"/>
      <c r="KVB125" s="751"/>
      <c r="KVC125" s="751"/>
      <c r="KVD125" s="751"/>
      <c r="KVE125" s="751"/>
      <c r="KVF125" s="751"/>
      <c r="KVG125" s="751"/>
      <c r="KVH125" s="751"/>
      <c r="KVI125" s="751"/>
      <c r="KVJ125" s="751"/>
      <c r="KVK125" s="751"/>
      <c r="KVL125" s="751"/>
      <c r="KVM125" s="751"/>
      <c r="KVN125" s="751"/>
      <c r="KVO125" s="751"/>
      <c r="KVP125" s="751"/>
      <c r="KVQ125" s="751"/>
      <c r="KVR125" s="751"/>
      <c r="KVS125" s="751"/>
      <c r="KVT125" s="751"/>
      <c r="KVU125" s="751"/>
      <c r="KVV125" s="751"/>
      <c r="KVW125" s="751"/>
      <c r="KVX125" s="751"/>
      <c r="KVY125" s="751"/>
      <c r="KVZ125" s="751"/>
      <c r="KWA125" s="751"/>
      <c r="KWB125" s="751"/>
      <c r="KWC125" s="751"/>
      <c r="KWD125" s="751"/>
      <c r="KWE125" s="751"/>
      <c r="KWF125" s="751"/>
      <c r="KWG125" s="751"/>
      <c r="KWH125" s="751"/>
      <c r="KWI125" s="751"/>
      <c r="KWJ125" s="751"/>
      <c r="KWK125" s="751"/>
      <c r="KWL125" s="751"/>
      <c r="KWM125" s="751"/>
      <c r="KWN125" s="751"/>
      <c r="KWO125" s="751"/>
      <c r="KWP125" s="751"/>
      <c r="KWQ125" s="751"/>
      <c r="KWR125" s="751"/>
      <c r="KWS125" s="751"/>
      <c r="KWT125" s="751"/>
      <c r="KWU125" s="751"/>
      <c r="KWV125" s="751"/>
      <c r="KWW125" s="751"/>
      <c r="KWX125" s="751"/>
      <c r="KWY125" s="751"/>
      <c r="KWZ125" s="751"/>
      <c r="KXA125" s="751"/>
      <c r="KXB125" s="751"/>
      <c r="KXC125" s="751"/>
      <c r="KXD125" s="751"/>
      <c r="KXE125" s="751"/>
      <c r="KXF125" s="751"/>
      <c r="KXG125" s="751"/>
      <c r="KXH125" s="751"/>
      <c r="KXI125" s="751"/>
      <c r="KXJ125" s="751"/>
      <c r="KXK125" s="751"/>
      <c r="KXL125" s="751"/>
      <c r="KXM125" s="751"/>
      <c r="KXN125" s="751"/>
      <c r="KXO125" s="751"/>
      <c r="KXP125" s="751"/>
      <c r="KXQ125" s="751"/>
      <c r="KXR125" s="751"/>
      <c r="KXS125" s="751"/>
      <c r="KXT125" s="751"/>
      <c r="KXU125" s="751"/>
      <c r="KXV125" s="751"/>
      <c r="KXW125" s="751"/>
      <c r="KXX125" s="751"/>
      <c r="KXY125" s="751"/>
      <c r="KXZ125" s="751"/>
      <c r="KYA125" s="751"/>
      <c r="KYB125" s="751"/>
      <c r="KYC125" s="751"/>
      <c r="KYD125" s="751"/>
      <c r="KYE125" s="751"/>
      <c r="KYF125" s="751"/>
      <c r="KYG125" s="751"/>
      <c r="KYH125" s="751"/>
      <c r="KYI125" s="751"/>
      <c r="KYJ125" s="751"/>
      <c r="KYK125" s="751"/>
      <c r="KYL125" s="751"/>
      <c r="KYM125" s="751"/>
      <c r="KYN125" s="751"/>
      <c r="KYO125" s="751"/>
      <c r="KYP125" s="751"/>
      <c r="KYQ125" s="751"/>
      <c r="KYR125" s="751"/>
      <c r="KYS125" s="751"/>
      <c r="KYT125" s="751"/>
      <c r="KYU125" s="751"/>
      <c r="KYV125" s="751"/>
      <c r="KYW125" s="751"/>
      <c r="KYX125" s="751"/>
      <c r="KYY125" s="751"/>
      <c r="KYZ125" s="751"/>
      <c r="KZA125" s="751"/>
      <c r="KZB125" s="751"/>
      <c r="KZC125" s="751"/>
      <c r="KZD125" s="751"/>
      <c r="KZE125" s="751"/>
      <c r="KZF125" s="751"/>
      <c r="KZG125" s="751"/>
      <c r="KZH125" s="751"/>
      <c r="KZI125" s="751"/>
      <c r="KZJ125" s="751"/>
      <c r="KZK125" s="751"/>
      <c r="KZL125" s="751"/>
      <c r="KZM125" s="751"/>
      <c r="KZN125" s="751"/>
      <c r="KZO125" s="751"/>
      <c r="KZP125" s="751"/>
      <c r="KZQ125" s="751"/>
      <c r="KZR125" s="751"/>
      <c r="KZS125" s="751"/>
      <c r="KZT125" s="751"/>
      <c r="KZU125" s="751"/>
      <c r="KZV125" s="751"/>
      <c r="KZW125" s="751"/>
      <c r="KZX125" s="751"/>
      <c r="KZY125" s="751"/>
      <c r="KZZ125" s="751"/>
      <c r="LAA125" s="751"/>
      <c r="LAB125" s="751"/>
      <c r="LAC125" s="751"/>
      <c r="LAD125" s="751"/>
      <c r="LAE125" s="751"/>
      <c r="LAF125" s="751"/>
      <c r="LAG125" s="751"/>
      <c r="LAH125" s="751"/>
      <c r="LAI125" s="751"/>
      <c r="LAJ125" s="751"/>
      <c r="LAK125" s="751"/>
      <c r="LAL125" s="751"/>
      <c r="LAM125" s="751"/>
      <c r="LAN125" s="751"/>
      <c r="LAO125" s="751"/>
      <c r="LAP125" s="751"/>
      <c r="LAQ125" s="751"/>
      <c r="LAR125" s="751"/>
      <c r="LAS125" s="751"/>
      <c r="LAT125" s="751"/>
      <c r="LAU125" s="751"/>
      <c r="LAV125" s="751"/>
      <c r="LAW125" s="751"/>
      <c r="LAX125" s="751"/>
      <c r="LAY125" s="751"/>
      <c r="LAZ125" s="751"/>
      <c r="LBA125" s="751"/>
      <c r="LBB125" s="751"/>
      <c r="LBC125" s="751"/>
      <c r="LBD125" s="751"/>
      <c r="LBE125" s="751"/>
      <c r="LBF125" s="751"/>
      <c r="LBG125" s="751"/>
      <c r="LBH125" s="751"/>
      <c r="LBI125" s="751"/>
      <c r="LBJ125" s="751"/>
      <c r="LBK125" s="751"/>
      <c r="LBL125" s="751"/>
      <c r="LBM125" s="751"/>
      <c r="LBN125" s="751"/>
      <c r="LBO125" s="751"/>
      <c r="LBP125" s="751"/>
      <c r="LBQ125" s="751"/>
      <c r="LBR125" s="751"/>
      <c r="LBS125" s="751"/>
      <c r="LBT125" s="751"/>
      <c r="LBU125" s="751"/>
      <c r="LBV125" s="751"/>
      <c r="LBW125" s="751"/>
      <c r="LBX125" s="751"/>
      <c r="LBY125" s="751"/>
      <c r="LBZ125" s="751"/>
      <c r="LCA125" s="751"/>
      <c r="LCB125" s="751"/>
      <c r="LCC125" s="751"/>
      <c r="LCD125" s="751"/>
      <c r="LCE125" s="751"/>
      <c r="LCF125" s="751"/>
      <c r="LCG125" s="751"/>
      <c r="LCH125" s="751"/>
      <c r="LCI125" s="751"/>
      <c r="LCJ125" s="751"/>
      <c r="LCK125" s="751"/>
      <c r="LCL125" s="751"/>
      <c r="LCM125" s="751"/>
      <c r="LCN125" s="751"/>
      <c r="LCO125" s="751"/>
      <c r="LCP125" s="751"/>
      <c r="LCQ125" s="751"/>
      <c r="LCR125" s="751"/>
      <c r="LCS125" s="751"/>
      <c r="LCT125" s="751"/>
      <c r="LCU125" s="751"/>
      <c r="LCV125" s="751"/>
      <c r="LCW125" s="751"/>
      <c r="LCX125" s="751"/>
      <c r="LCY125" s="751"/>
      <c r="LCZ125" s="751"/>
      <c r="LDA125" s="751"/>
      <c r="LDB125" s="751"/>
      <c r="LDC125" s="751"/>
      <c r="LDD125" s="751"/>
      <c r="LDE125" s="751"/>
      <c r="LDF125" s="751"/>
      <c r="LDG125" s="751"/>
      <c r="LDH125" s="751"/>
      <c r="LDI125" s="751"/>
      <c r="LDJ125" s="751"/>
      <c r="LDK125" s="751"/>
      <c r="LDL125" s="751"/>
      <c r="LDM125" s="751"/>
      <c r="LDN125" s="751"/>
      <c r="LDO125" s="751"/>
      <c r="LDP125" s="751"/>
      <c r="LDQ125" s="751"/>
      <c r="LDR125" s="751"/>
      <c r="LDS125" s="751"/>
      <c r="LDT125" s="751"/>
      <c r="LDU125" s="751"/>
      <c r="LDV125" s="751"/>
      <c r="LDW125" s="751"/>
      <c r="LDX125" s="751"/>
      <c r="LDY125" s="751"/>
      <c r="LDZ125" s="751"/>
      <c r="LEA125" s="751"/>
      <c r="LEB125" s="751"/>
      <c r="LEC125" s="751"/>
      <c r="LED125" s="751"/>
      <c r="LEE125" s="751"/>
      <c r="LEF125" s="751"/>
      <c r="LEG125" s="751"/>
      <c r="LEH125" s="751"/>
      <c r="LEI125" s="751"/>
      <c r="LEJ125" s="751"/>
      <c r="LEK125" s="751"/>
      <c r="LEL125" s="751"/>
      <c r="LEM125" s="751"/>
      <c r="LEN125" s="751"/>
      <c r="LEO125" s="751"/>
      <c r="LEP125" s="751"/>
      <c r="LEQ125" s="751"/>
      <c r="LER125" s="751"/>
      <c r="LES125" s="751"/>
      <c r="LET125" s="751"/>
      <c r="LEU125" s="751"/>
      <c r="LEV125" s="751"/>
      <c r="LEW125" s="751"/>
      <c r="LEX125" s="751"/>
      <c r="LEY125" s="751"/>
      <c r="LEZ125" s="751"/>
      <c r="LFA125" s="751"/>
      <c r="LFB125" s="751"/>
      <c r="LFC125" s="751"/>
      <c r="LFD125" s="751"/>
      <c r="LFE125" s="751"/>
      <c r="LFF125" s="751"/>
      <c r="LFG125" s="751"/>
      <c r="LFH125" s="751"/>
      <c r="LFI125" s="751"/>
      <c r="LFJ125" s="751"/>
      <c r="LFK125" s="751"/>
      <c r="LFL125" s="751"/>
      <c r="LFM125" s="751"/>
      <c r="LFN125" s="751"/>
      <c r="LFO125" s="751"/>
      <c r="LFP125" s="751"/>
      <c r="LFQ125" s="751"/>
      <c r="LFR125" s="751"/>
      <c r="LFS125" s="751"/>
      <c r="LFT125" s="751"/>
      <c r="LFU125" s="751"/>
      <c r="LFV125" s="751"/>
      <c r="LFW125" s="751"/>
      <c r="LFX125" s="751"/>
      <c r="LFY125" s="751"/>
      <c r="LFZ125" s="751"/>
      <c r="LGA125" s="751"/>
      <c r="LGB125" s="751"/>
      <c r="LGC125" s="751"/>
      <c r="LGD125" s="751"/>
      <c r="LGE125" s="751"/>
      <c r="LGF125" s="751"/>
      <c r="LGG125" s="751"/>
      <c r="LGH125" s="751"/>
      <c r="LGI125" s="751"/>
      <c r="LGJ125" s="751"/>
      <c r="LGK125" s="751"/>
      <c r="LGL125" s="751"/>
      <c r="LGM125" s="751"/>
      <c r="LGN125" s="751"/>
      <c r="LGO125" s="751"/>
      <c r="LGP125" s="751"/>
      <c r="LGQ125" s="751"/>
      <c r="LGR125" s="751"/>
      <c r="LGS125" s="751"/>
      <c r="LGT125" s="751"/>
      <c r="LGU125" s="751"/>
      <c r="LGV125" s="751"/>
      <c r="LGW125" s="751"/>
      <c r="LGX125" s="751"/>
      <c r="LGY125" s="751"/>
      <c r="LGZ125" s="751"/>
      <c r="LHA125" s="751"/>
      <c r="LHB125" s="751"/>
      <c r="LHC125" s="751"/>
      <c r="LHD125" s="751"/>
      <c r="LHE125" s="751"/>
      <c r="LHF125" s="751"/>
      <c r="LHG125" s="751"/>
      <c r="LHH125" s="751"/>
      <c r="LHI125" s="751"/>
      <c r="LHJ125" s="751"/>
      <c r="LHK125" s="751"/>
      <c r="LHL125" s="751"/>
      <c r="LHM125" s="751"/>
      <c r="LHN125" s="751"/>
      <c r="LHO125" s="751"/>
      <c r="LHP125" s="751"/>
      <c r="LHQ125" s="751"/>
      <c r="LHR125" s="751"/>
      <c r="LHS125" s="751"/>
      <c r="LHT125" s="751"/>
      <c r="LHU125" s="751"/>
      <c r="LHV125" s="751"/>
      <c r="LHW125" s="751"/>
      <c r="LHX125" s="751"/>
      <c r="LHY125" s="751"/>
      <c r="LHZ125" s="751"/>
      <c r="LIA125" s="751"/>
      <c r="LIB125" s="751"/>
      <c r="LIC125" s="751"/>
      <c r="LID125" s="751"/>
      <c r="LIE125" s="751"/>
      <c r="LIF125" s="751"/>
      <c r="LIG125" s="751"/>
      <c r="LIH125" s="751"/>
      <c r="LII125" s="751"/>
      <c r="LIJ125" s="751"/>
      <c r="LIK125" s="751"/>
      <c r="LIL125" s="751"/>
      <c r="LIM125" s="751"/>
      <c r="LIN125" s="751"/>
      <c r="LIO125" s="751"/>
      <c r="LIP125" s="751"/>
      <c r="LIQ125" s="751"/>
      <c r="LIR125" s="751"/>
      <c r="LIS125" s="751"/>
      <c r="LIT125" s="751"/>
      <c r="LIU125" s="751"/>
      <c r="LIV125" s="751"/>
      <c r="LIW125" s="751"/>
      <c r="LIX125" s="751"/>
      <c r="LIY125" s="751"/>
      <c r="LIZ125" s="751"/>
      <c r="LJA125" s="751"/>
      <c r="LJB125" s="751"/>
      <c r="LJC125" s="751"/>
      <c r="LJD125" s="751"/>
      <c r="LJE125" s="751"/>
      <c r="LJF125" s="751"/>
      <c r="LJG125" s="751"/>
      <c r="LJH125" s="751"/>
      <c r="LJI125" s="751"/>
      <c r="LJJ125" s="751"/>
      <c r="LJK125" s="751"/>
      <c r="LJL125" s="751"/>
      <c r="LJM125" s="751"/>
      <c r="LJN125" s="751"/>
      <c r="LJO125" s="751"/>
      <c r="LJP125" s="751"/>
      <c r="LJQ125" s="751"/>
      <c r="LJR125" s="751"/>
      <c r="LJS125" s="751"/>
      <c r="LJT125" s="751"/>
      <c r="LJU125" s="751"/>
      <c r="LJV125" s="751"/>
      <c r="LJW125" s="751"/>
      <c r="LJX125" s="751"/>
      <c r="LJY125" s="751"/>
      <c r="LJZ125" s="751"/>
      <c r="LKA125" s="751"/>
      <c r="LKB125" s="751"/>
      <c r="LKC125" s="751"/>
      <c r="LKD125" s="751"/>
      <c r="LKE125" s="751"/>
      <c r="LKF125" s="751"/>
      <c r="LKG125" s="751"/>
      <c r="LKH125" s="751"/>
      <c r="LKI125" s="751"/>
      <c r="LKJ125" s="751"/>
      <c r="LKK125" s="751"/>
      <c r="LKL125" s="751"/>
      <c r="LKM125" s="751"/>
      <c r="LKN125" s="751"/>
      <c r="LKO125" s="751"/>
      <c r="LKP125" s="751"/>
      <c r="LKQ125" s="751"/>
      <c r="LKR125" s="751"/>
      <c r="LKS125" s="751"/>
      <c r="LKT125" s="751"/>
      <c r="LKU125" s="751"/>
      <c r="LKV125" s="751"/>
      <c r="LKW125" s="751"/>
      <c r="LKX125" s="751"/>
      <c r="LKY125" s="751"/>
      <c r="LKZ125" s="751"/>
      <c r="LLA125" s="751"/>
      <c r="LLB125" s="751"/>
      <c r="LLC125" s="751"/>
      <c r="LLD125" s="751"/>
      <c r="LLE125" s="751"/>
      <c r="LLF125" s="751"/>
      <c r="LLG125" s="751"/>
      <c r="LLH125" s="751"/>
      <c r="LLI125" s="751"/>
      <c r="LLJ125" s="751"/>
      <c r="LLK125" s="751"/>
      <c r="LLL125" s="751"/>
      <c r="LLM125" s="751"/>
      <c r="LLN125" s="751"/>
      <c r="LLO125" s="751"/>
      <c r="LLP125" s="751"/>
      <c r="LLQ125" s="751"/>
      <c r="LLR125" s="751"/>
      <c r="LLS125" s="751"/>
      <c r="LLT125" s="751"/>
      <c r="LLU125" s="751"/>
      <c r="LLV125" s="751"/>
      <c r="LLW125" s="751"/>
      <c r="LLX125" s="751"/>
      <c r="LLY125" s="751"/>
      <c r="LLZ125" s="751"/>
      <c r="LMA125" s="751"/>
      <c r="LMB125" s="751"/>
      <c r="LMC125" s="751"/>
      <c r="LMD125" s="751"/>
      <c r="LME125" s="751"/>
      <c r="LMF125" s="751"/>
      <c r="LMG125" s="751"/>
      <c r="LMH125" s="751"/>
      <c r="LMI125" s="751"/>
      <c r="LMJ125" s="751"/>
      <c r="LMK125" s="751"/>
      <c r="LML125" s="751"/>
      <c r="LMM125" s="751"/>
      <c r="LMN125" s="751"/>
      <c r="LMO125" s="751"/>
      <c r="LMP125" s="751"/>
      <c r="LMQ125" s="751"/>
      <c r="LMR125" s="751"/>
      <c r="LMS125" s="751"/>
      <c r="LMT125" s="751"/>
      <c r="LMU125" s="751"/>
      <c r="LMV125" s="751"/>
      <c r="LMW125" s="751"/>
      <c r="LMX125" s="751"/>
      <c r="LMY125" s="751"/>
      <c r="LMZ125" s="751"/>
      <c r="LNA125" s="751"/>
      <c r="LNB125" s="751"/>
      <c r="LNC125" s="751"/>
      <c r="LND125" s="751"/>
      <c r="LNE125" s="751"/>
      <c r="LNF125" s="751"/>
      <c r="LNG125" s="751"/>
      <c r="LNH125" s="751"/>
      <c r="LNI125" s="751"/>
      <c r="LNJ125" s="751"/>
      <c r="LNK125" s="751"/>
      <c r="LNL125" s="751"/>
      <c r="LNM125" s="751"/>
      <c r="LNN125" s="751"/>
      <c r="LNO125" s="751"/>
      <c r="LNP125" s="751"/>
      <c r="LNQ125" s="751"/>
      <c r="LNR125" s="751"/>
      <c r="LNS125" s="751"/>
      <c r="LNT125" s="751"/>
      <c r="LNU125" s="751"/>
      <c r="LNV125" s="751"/>
      <c r="LNW125" s="751"/>
      <c r="LNX125" s="751"/>
      <c r="LNY125" s="751"/>
      <c r="LNZ125" s="751"/>
      <c r="LOA125" s="751"/>
      <c r="LOB125" s="751"/>
      <c r="LOC125" s="751"/>
      <c r="LOD125" s="751"/>
      <c r="LOE125" s="751"/>
      <c r="LOF125" s="751"/>
      <c r="LOG125" s="751"/>
      <c r="LOH125" s="751"/>
      <c r="LOI125" s="751"/>
      <c r="LOJ125" s="751"/>
      <c r="LOK125" s="751"/>
      <c r="LOL125" s="751"/>
      <c r="LOM125" s="751"/>
      <c r="LON125" s="751"/>
      <c r="LOO125" s="751"/>
      <c r="LOP125" s="751"/>
      <c r="LOQ125" s="751"/>
      <c r="LOR125" s="751"/>
      <c r="LOS125" s="751"/>
      <c r="LOT125" s="751"/>
      <c r="LOU125" s="751"/>
      <c r="LOV125" s="751"/>
      <c r="LOW125" s="751"/>
      <c r="LOX125" s="751"/>
      <c r="LOY125" s="751"/>
      <c r="LOZ125" s="751"/>
      <c r="LPA125" s="751"/>
      <c r="LPB125" s="751"/>
      <c r="LPC125" s="751"/>
      <c r="LPD125" s="751"/>
      <c r="LPE125" s="751"/>
      <c r="LPF125" s="751"/>
      <c r="LPG125" s="751"/>
      <c r="LPH125" s="751"/>
      <c r="LPI125" s="751"/>
      <c r="LPJ125" s="751"/>
      <c r="LPK125" s="751"/>
      <c r="LPL125" s="751"/>
      <c r="LPM125" s="751"/>
      <c r="LPN125" s="751"/>
      <c r="LPO125" s="751"/>
      <c r="LPP125" s="751"/>
      <c r="LPQ125" s="751"/>
      <c r="LPR125" s="751"/>
      <c r="LPS125" s="751"/>
      <c r="LPT125" s="751"/>
      <c r="LPU125" s="751"/>
      <c r="LPV125" s="751"/>
      <c r="LPW125" s="751"/>
      <c r="LPX125" s="751"/>
      <c r="LPY125" s="751"/>
      <c r="LPZ125" s="751"/>
      <c r="LQA125" s="751"/>
      <c r="LQB125" s="751"/>
      <c r="LQC125" s="751"/>
      <c r="LQD125" s="751"/>
      <c r="LQE125" s="751"/>
      <c r="LQF125" s="751"/>
      <c r="LQG125" s="751"/>
      <c r="LQH125" s="751"/>
      <c r="LQI125" s="751"/>
      <c r="LQJ125" s="751"/>
      <c r="LQK125" s="751"/>
      <c r="LQL125" s="751"/>
      <c r="LQM125" s="751"/>
      <c r="LQN125" s="751"/>
      <c r="LQO125" s="751"/>
      <c r="LQP125" s="751"/>
      <c r="LQQ125" s="751"/>
      <c r="LQR125" s="751"/>
      <c r="LQS125" s="751"/>
      <c r="LQT125" s="751"/>
      <c r="LQU125" s="751"/>
      <c r="LQV125" s="751"/>
      <c r="LQW125" s="751"/>
      <c r="LQX125" s="751"/>
      <c r="LQY125" s="751"/>
      <c r="LQZ125" s="751"/>
      <c r="LRA125" s="751"/>
      <c r="LRB125" s="751"/>
      <c r="LRC125" s="751"/>
      <c r="LRD125" s="751"/>
      <c r="LRE125" s="751"/>
      <c r="LRF125" s="751"/>
      <c r="LRG125" s="751"/>
      <c r="LRH125" s="751"/>
      <c r="LRI125" s="751"/>
      <c r="LRJ125" s="751"/>
      <c r="LRK125" s="751"/>
      <c r="LRL125" s="751"/>
      <c r="LRM125" s="751"/>
      <c r="LRN125" s="751"/>
      <c r="LRO125" s="751"/>
      <c r="LRP125" s="751"/>
      <c r="LRQ125" s="751"/>
      <c r="LRR125" s="751"/>
      <c r="LRS125" s="751"/>
      <c r="LRT125" s="751"/>
      <c r="LRU125" s="751"/>
      <c r="LRV125" s="751"/>
      <c r="LRW125" s="751"/>
      <c r="LRX125" s="751"/>
      <c r="LRY125" s="751"/>
      <c r="LRZ125" s="751"/>
      <c r="LSA125" s="751"/>
      <c r="LSB125" s="751"/>
      <c r="LSC125" s="751"/>
      <c r="LSD125" s="751"/>
      <c r="LSE125" s="751"/>
      <c r="LSF125" s="751"/>
      <c r="LSG125" s="751"/>
      <c r="LSH125" s="751"/>
      <c r="LSI125" s="751"/>
      <c r="LSJ125" s="751"/>
      <c r="LSK125" s="751"/>
      <c r="LSL125" s="751"/>
      <c r="LSM125" s="751"/>
      <c r="LSN125" s="751"/>
      <c r="LSO125" s="751"/>
      <c r="LSP125" s="751"/>
      <c r="LSQ125" s="751"/>
      <c r="LSR125" s="751"/>
      <c r="LSS125" s="751"/>
      <c r="LST125" s="751"/>
      <c r="LSU125" s="751"/>
      <c r="LSV125" s="751"/>
      <c r="LSW125" s="751"/>
      <c r="LSX125" s="751"/>
      <c r="LSY125" s="751"/>
      <c r="LSZ125" s="751"/>
      <c r="LTA125" s="751"/>
      <c r="LTB125" s="751"/>
      <c r="LTC125" s="751"/>
      <c r="LTD125" s="751"/>
      <c r="LTE125" s="751"/>
      <c r="LTF125" s="751"/>
      <c r="LTG125" s="751"/>
      <c r="LTH125" s="751"/>
      <c r="LTI125" s="751"/>
      <c r="LTJ125" s="751"/>
      <c r="LTK125" s="751"/>
      <c r="LTL125" s="751"/>
      <c r="LTM125" s="751"/>
      <c r="LTN125" s="751"/>
      <c r="LTO125" s="751"/>
      <c r="LTP125" s="751"/>
      <c r="LTQ125" s="751"/>
      <c r="LTR125" s="751"/>
      <c r="LTS125" s="751"/>
      <c r="LTT125" s="751"/>
      <c r="LTU125" s="751"/>
      <c r="LTV125" s="751"/>
      <c r="LTW125" s="751"/>
      <c r="LTX125" s="751"/>
      <c r="LTY125" s="751"/>
      <c r="LTZ125" s="751"/>
      <c r="LUA125" s="751"/>
      <c r="LUB125" s="751"/>
      <c r="LUC125" s="751"/>
      <c r="LUD125" s="751"/>
      <c r="LUE125" s="751"/>
      <c r="LUF125" s="751"/>
      <c r="LUG125" s="751"/>
      <c r="LUH125" s="751"/>
      <c r="LUI125" s="751"/>
      <c r="LUJ125" s="751"/>
      <c r="LUK125" s="751"/>
      <c r="LUL125" s="751"/>
      <c r="LUM125" s="751"/>
      <c r="LUN125" s="751"/>
      <c r="LUO125" s="751"/>
      <c r="LUP125" s="751"/>
      <c r="LUQ125" s="751"/>
      <c r="LUR125" s="751"/>
      <c r="LUS125" s="751"/>
      <c r="LUT125" s="751"/>
      <c r="LUU125" s="751"/>
      <c r="LUV125" s="751"/>
      <c r="LUW125" s="751"/>
      <c r="LUX125" s="751"/>
      <c r="LUY125" s="751"/>
      <c r="LUZ125" s="751"/>
      <c r="LVA125" s="751"/>
      <c r="LVB125" s="751"/>
      <c r="LVC125" s="751"/>
      <c r="LVD125" s="751"/>
      <c r="LVE125" s="751"/>
      <c r="LVF125" s="751"/>
      <c r="LVG125" s="751"/>
      <c r="LVH125" s="751"/>
      <c r="LVI125" s="751"/>
      <c r="LVJ125" s="751"/>
      <c r="LVK125" s="751"/>
      <c r="LVL125" s="751"/>
      <c r="LVM125" s="751"/>
      <c r="LVN125" s="751"/>
      <c r="LVO125" s="751"/>
      <c r="LVP125" s="751"/>
      <c r="LVQ125" s="751"/>
      <c r="LVR125" s="751"/>
      <c r="LVS125" s="751"/>
      <c r="LVT125" s="751"/>
      <c r="LVU125" s="751"/>
      <c r="LVV125" s="751"/>
      <c r="LVW125" s="751"/>
      <c r="LVX125" s="751"/>
      <c r="LVY125" s="751"/>
      <c r="LVZ125" s="751"/>
      <c r="LWA125" s="751"/>
      <c r="LWB125" s="751"/>
      <c r="LWC125" s="751"/>
      <c r="LWD125" s="751"/>
      <c r="LWE125" s="751"/>
      <c r="LWF125" s="751"/>
      <c r="LWG125" s="751"/>
      <c r="LWH125" s="751"/>
      <c r="LWI125" s="751"/>
      <c r="LWJ125" s="751"/>
      <c r="LWK125" s="751"/>
      <c r="LWL125" s="751"/>
      <c r="LWM125" s="751"/>
      <c r="LWN125" s="751"/>
      <c r="LWO125" s="751"/>
      <c r="LWP125" s="751"/>
      <c r="LWQ125" s="751"/>
      <c r="LWR125" s="751"/>
      <c r="LWS125" s="751"/>
      <c r="LWT125" s="751"/>
      <c r="LWU125" s="751"/>
      <c r="LWV125" s="751"/>
      <c r="LWW125" s="751"/>
      <c r="LWX125" s="751"/>
      <c r="LWY125" s="751"/>
      <c r="LWZ125" s="751"/>
      <c r="LXA125" s="751"/>
      <c r="LXB125" s="751"/>
      <c r="LXC125" s="751"/>
      <c r="LXD125" s="751"/>
      <c r="LXE125" s="751"/>
      <c r="LXF125" s="751"/>
      <c r="LXG125" s="751"/>
      <c r="LXH125" s="751"/>
      <c r="LXI125" s="751"/>
      <c r="LXJ125" s="751"/>
      <c r="LXK125" s="751"/>
      <c r="LXL125" s="751"/>
      <c r="LXM125" s="751"/>
      <c r="LXN125" s="751"/>
      <c r="LXO125" s="751"/>
      <c r="LXP125" s="751"/>
      <c r="LXQ125" s="751"/>
      <c r="LXR125" s="751"/>
      <c r="LXS125" s="751"/>
      <c r="LXT125" s="751"/>
      <c r="LXU125" s="751"/>
      <c r="LXV125" s="751"/>
      <c r="LXW125" s="751"/>
      <c r="LXX125" s="751"/>
      <c r="LXY125" s="751"/>
      <c r="LXZ125" s="751"/>
      <c r="LYA125" s="751"/>
      <c r="LYB125" s="751"/>
      <c r="LYC125" s="751"/>
      <c r="LYD125" s="751"/>
      <c r="LYE125" s="751"/>
      <c r="LYF125" s="751"/>
      <c r="LYG125" s="751"/>
      <c r="LYH125" s="751"/>
      <c r="LYI125" s="751"/>
      <c r="LYJ125" s="751"/>
      <c r="LYK125" s="751"/>
      <c r="LYL125" s="751"/>
      <c r="LYM125" s="751"/>
      <c r="LYN125" s="751"/>
      <c r="LYO125" s="751"/>
      <c r="LYP125" s="751"/>
      <c r="LYQ125" s="751"/>
      <c r="LYR125" s="751"/>
      <c r="LYS125" s="751"/>
      <c r="LYT125" s="751"/>
      <c r="LYU125" s="751"/>
      <c r="LYV125" s="751"/>
      <c r="LYW125" s="751"/>
      <c r="LYX125" s="751"/>
      <c r="LYY125" s="751"/>
      <c r="LYZ125" s="751"/>
      <c r="LZA125" s="751"/>
      <c r="LZB125" s="751"/>
      <c r="LZC125" s="751"/>
      <c r="LZD125" s="751"/>
      <c r="LZE125" s="751"/>
      <c r="LZF125" s="751"/>
      <c r="LZG125" s="751"/>
      <c r="LZH125" s="751"/>
      <c r="LZI125" s="751"/>
      <c r="LZJ125" s="751"/>
      <c r="LZK125" s="751"/>
      <c r="LZL125" s="751"/>
      <c r="LZM125" s="751"/>
      <c r="LZN125" s="751"/>
      <c r="LZO125" s="751"/>
      <c r="LZP125" s="751"/>
      <c r="LZQ125" s="751"/>
      <c r="LZR125" s="751"/>
      <c r="LZS125" s="751"/>
      <c r="LZT125" s="751"/>
      <c r="LZU125" s="751"/>
      <c r="LZV125" s="751"/>
      <c r="LZW125" s="751"/>
      <c r="LZX125" s="751"/>
      <c r="LZY125" s="751"/>
      <c r="LZZ125" s="751"/>
      <c r="MAA125" s="751"/>
      <c r="MAB125" s="751"/>
      <c r="MAC125" s="751"/>
      <c r="MAD125" s="751"/>
      <c r="MAE125" s="751"/>
      <c r="MAF125" s="751"/>
      <c r="MAG125" s="751"/>
      <c r="MAH125" s="751"/>
      <c r="MAI125" s="751"/>
      <c r="MAJ125" s="751"/>
      <c r="MAK125" s="751"/>
      <c r="MAL125" s="751"/>
      <c r="MAM125" s="751"/>
      <c r="MAN125" s="751"/>
      <c r="MAO125" s="751"/>
      <c r="MAP125" s="751"/>
      <c r="MAQ125" s="751"/>
      <c r="MAR125" s="751"/>
      <c r="MAS125" s="751"/>
      <c r="MAT125" s="751"/>
      <c r="MAU125" s="751"/>
      <c r="MAV125" s="751"/>
      <c r="MAW125" s="751"/>
      <c r="MAX125" s="751"/>
      <c r="MAY125" s="751"/>
      <c r="MAZ125" s="751"/>
      <c r="MBA125" s="751"/>
      <c r="MBB125" s="751"/>
      <c r="MBC125" s="751"/>
      <c r="MBD125" s="751"/>
      <c r="MBE125" s="751"/>
      <c r="MBF125" s="751"/>
      <c r="MBG125" s="751"/>
      <c r="MBH125" s="751"/>
      <c r="MBI125" s="751"/>
      <c r="MBJ125" s="751"/>
      <c r="MBK125" s="751"/>
      <c r="MBL125" s="751"/>
      <c r="MBM125" s="751"/>
      <c r="MBN125" s="751"/>
      <c r="MBO125" s="751"/>
      <c r="MBP125" s="751"/>
      <c r="MBQ125" s="751"/>
      <c r="MBR125" s="751"/>
      <c r="MBS125" s="751"/>
      <c r="MBT125" s="751"/>
      <c r="MBU125" s="751"/>
      <c r="MBV125" s="751"/>
      <c r="MBW125" s="751"/>
      <c r="MBX125" s="751"/>
      <c r="MBY125" s="751"/>
      <c r="MBZ125" s="751"/>
      <c r="MCA125" s="751"/>
      <c r="MCB125" s="751"/>
      <c r="MCC125" s="751"/>
      <c r="MCD125" s="751"/>
      <c r="MCE125" s="751"/>
      <c r="MCF125" s="751"/>
      <c r="MCG125" s="751"/>
      <c r="MCH125" s="751"/>
      <c r="MCI125" s="751"/>
      <c r="MCJ125" s="751"/>
      <c r="MCK125" s="751"/>
      <c r="MCL125" s="751"/>
      <c r="MCM125" s="751"/>
      <c r="MCN125" s="751"/>
      <c r="MCO125" s="751"/>
      <c r="MCP125" s="751"/>
      <c r="MCQ125" s="751"/>
      <c r="MCR125" s="751"/>
      <c r="MCS125" s="751"/>
      <c r="MCT125" s="751"/>
      <c r="MCU125" s="751"/>
      <c r="MCV125" s="751"/>
      <c r="MCW125" s="751"/>
      <c r="MCX125" s="751"/>
      <c r="MCY125" s="751"/>
      <c r="MCZ125" s="751"/>
      <c r="MDA125" s="751"/>
      <c r="MDB125" s="751"/>
      <c r="MDC125" s="751"/>
      <c r="MDD125" s="751"/>
      <c r="MDE125" s="751"/>
      <c r="MDF125" s="751"/>
      <c r="MDG125" s="751"/>
      <c r="MDH125" s="751"/>
      <c r="MDI125" s="751"/>
      <c r="MDJ125" s="751"/>
      <c r="MDK125" s="751"/>
      <c r="MDL125" s="751"/>
      <c r="MDM125" s="751"/>
      <c r="MDN125" s="751"/>
      <c r="MDO125" s="751"/>
      <c r="MDP125" s="751"/>
      <c r="MDQ125" s="751"/>
      <c r="MDR125" s="751"/>
      <c r="MDS125" s="751"/>
      <c r="MDT125" s="751"/>
      <c r="MDU125" s="751"/>
      <c r="MDV125" s="751"/>
      <c r="MDW125" s="751"/>
      <c r="MDX125" s="751"/>
      <c r="MDY125" s="751"/>
      <c r="MDZ125" s="751"/>
      <c r="MEA125" s="751"/>
      <c r="MEB125" s="751"/>
      <c r="MEC125" s="751"/>
      <c r="MED125" s="751"/>
      <c r="MEE125" s="751"/>
      <c r="MEF125" s="751"/>
      <c r="MEG125" s="751"/>
      <c r="MEH125" s="751"/>
      <c r="MEI125" s="751"/>
      <c r="MEJ125" s="751"/>
      <c r="MEK125" s="751"/>
      <c r="MEL125" s="751"/>
      <c r="MEM125" s="751"/>
      <c r="MEN125" s="751"/>
      <c r="MEO125" s="751"/>
      <c r="MEP125" s="751"/>
      <c r="MEQ125" s="751"/>
      <c r="MER125" s="751"/>
      <c r="MES125" s="751"/>
      <c r="MET125" s="751"/>
      <c r="MEU125" s="751"/>
      <c r="MEV125" s="751"/>
      <c r="MEW125" s="751"/>
      <c r="MEX125" s="751"/>
      <c r="MEY125" s="751"/>
      <c r="MEZ125" s="751"/>
      <c r="MFA125" s="751"/>
      <c r="MFB125" s="751"/>
      <c r="MFC125" s="751"/>
      <c r="MFD125" s="751"/>
      <c r="MFE125" s="751"/>
      <c r="MFF125" s="751"/>
      <c r="MFG125" s="751"/>
      <c r="MFH125" s="751"/>
      <c r="MFI125" s="751"/>
      <c r="MFJ125" s="751"/>
      <c r="MFK125" s="751"/>
      <c r="MFL125" s="751"/>
      <c r="MFM125" s="751"/>
      <c r="MFN125" s="751"/>
      <c r="MFO125" s="751"/>
      <c r="MFP125" s="751"/>
      <c r="MFQ125" s="751"/>
      <c r="MFR125" s="751"/>
      <c r="MFS125" s="751"/>
      <c r="MFT125" s="751"/>
      <c r="MFU125" s="751"/>
      <c r="MFV125" s="751"/>
      <c r="MFW125" s="751"/>
      <c r="MFX125" s="751"/>
      <c r="MFY125" s="751"/>
      <c r="MFZ125" s="751"/>
      <c r="MGA125" s="751"/>
      <c r="MGB125" s="751"/>
      <c r="MGC125" s="751"/>
      <c r="MGD125" s="751"/>
      <c r="MGE125" s="751"/>
      <c r="MGF125" s="751"/>
      <c r="MGG125" s="751"/>
      <c r="MGH125" s="751"/>
      <c r="MGI125" s="751"/>
      <c r="MGJ125" s="751"/>
      <c r="MGK125" s="751"/>
      <c r="MGL125" s="751"/>
      <c r="MGM125" s="751"/>
      <c r="MGN125" s="751"/>
      <c r="MGO125" s="751"/>
      <c r="MGP125" s="751"/>
      <c r="MGQ125" s="751"/>
      <c r="MGR125" s="751"/>
      <c r="MGS125" s="751"/>
      <c r="MGT125" s="751"/>
      <c r="MGU125" s="751"/>
      <c r="MGV125" s="751"/>
      <c r="MGW125" s="751"/>
      <c r="MGX125" s="751"/>
      <c r="MGY125" s="751"/>
      <c r="MGZ125" s="751"/>
      <c r="MHA125" s="751"/>
      <c r="MHB125" s="751"/>
      <c r="MHC125" s="751"/>
      <c r="MHD125" s="751"/>
      <c r="MHE125" s="751"/>
      <c r="MHF125" s="751"/>
      <c r="MHG125" s="751"/>
      <c r="MHH125" s="751"/>
      <c r="MHI125" s="751"/>
      <c r="MHJ125" s="751"/>
      <c r="MHK125" s="751"/>
      <c r="MHL125" s="751"/>
      <c r="MHM125" s="751"/>
      <c r="MHN125" s="751"/>
      <c r="MHO125" s="751"/>
      <c r="MHP125" s="751"/>
      <c r="MHQ125" s="751"/>
      <c r="MHR125" s="751"/>
      <c r="MHS125" s="751"/>
      <c r="MHT125" s="751"/>
      <c r="MHU125" s="751"/>
      <c r="MHV125" s="751"/>
      <c r="MHW125" s="751"/>
      <c r="MHX125" s="751"/>
      <c r="MHY125" s="751"/>
      <c r="MHZ125" s="751"/>
      <c r="MIA125" s="751"/>
      <c r="MIB125" s="751"/>
      <c r="MIC125" s="751"/>
      <c r="MID125" s="751"/>
      <c r="MIE125" s="751"/>
      <c r="MIF125" s="751"/>
      <c r="MIG125" s="751"/>
      <c r="MIH125" s="751"/>
      <c r="MII125" s="751"/>
      <c r="MIJ125" s="751"/>
      <c r="MIK125" s="751"/>
      <c r="MIL125" s="751"/>
      <c r="MIM125" s="751"/>
      <c r="MIN125" s="751"/>
      <c r="MIO125" s="751"/>
      <c r="MIP125" s="751"/>
      <c r="MIQ125" s="751"/>
      <c r="MIR125" s="751"/>
      <c r="MIS125" s="751"/>
      <c r="MIT125" s="751"/>
      <c r="MIU125" s="751"/>
      <c r="MIV125" s="751"/>
      <c r="MIW125" s="751"/>
      <c r="MIX125" s="751"/>
      <c r="MIY125" s="751"/>
      <c r="MIZ125" s="751"/>
      <c r="MJA125" s="751"/>
      <c r="MJB125" s="751"/>
      <c r="MJC125" s="751"/>
      <c r="MJD125" s="751"/>
      <c r="MJE125" s="751"/>
      <c r="MJF125" s="751"/>
      <c r="MJG125" s="751"/>
      <c r="MJH125" s="751"/>
      <c r="MJI125" s="751"/>
      <c r="MJJ125" s="751"/>
      <c r="MJK125" s="751"/>
      <c r="MJL125" s="751"/>
      <c r="MJM125" s="751"/>
      <c r="MJN125" s="751"/>
      <c r="MJO125" s="751"/>
      <c r="MJP125" s="751"/>
      <c r="MJQ125" s="751"/>
      <c r="MJR125" s="751"/>
      <c r="MJS125" s="751"/>
      <c r="MJT125" s="751"/>
      <c r="MJU125" s="751"/>
      <c r="MJV125" s="751"/>
      <c r="MJW125" s="751"/>
      <c r="MJX125" s="751"/>
      <c r="MJY125" s="751"/>
      <c r="MJZ125" s="751"/>
      <c r="MKA125" s="751"/>
      <c r="MKB125" s="751"/>
      <c r="MKC125" s="751"/>
      <c r="MKD125" s="751"/>
      <c r="MKE125" s="751"/>
      <c r="MKF125" s="751"/>
      <c r="MKG125" s="751"/>
      <c r="MKH125" s="751"/>
      <c r="MKI125" s="751"/>
      <c r="MKJ125" s="751"/>
      <c r="MKK125" s="751"/>
      <c r="MKL125" s="751"/>
      <c r="MKM125" s="751"/>
      <c r="MKN125" s="751"/>
      <c r="MKO125" s="751"/>
      <c r="MKP125" s="751"/>
      <c r="MKQ125" s="751"/>
      <c r="MKR125" s="751"/>
      <c r="MKS125" s="751"/>
      <c r="MKT125" s="751"/>
      <c r="MKU125" s="751"/>
      <c r="MKV125" s="751"/>
      <c r="MKW125" s="751"/>
      <c r="MKX125" s="751"/>
      <c r="MKY125" s="751"/>
      <c r="MKZ125" s="751"/>
      <c r="MLA125" s="751"/>
      <c r="MLB125" s="751"/>
      <c r="MLC125" s="751"/>
      <c r="MLD125" s="751"/>
      <c r="MLE125" s="751"/>
      <c r="MLF125" s="751"/>
      <c r="MLG125" s="751"/>
      <c r="MLH125" s="751"/>
      <c r="MLI125" s="751"/>
      <c r="MLJ125" s="751"/>
      <c r="MLK125" s="751"/>
      <c r="MLL125" s="751"/>
      <c r="MLM125" s="751"/>
      <c r="MLN125" s="751"/>
      <c r="MLO125" s="751"/>
      <c r="MLP125" s="751"/>
      <c r="MLQ125" s="751"/>
      <c r="MLR125" s="751"/>
      <c r="MLS125" s="751"/>
      <c r="MLT125" s="751"/>
      <c r="MLU125" s="751"/>
      <c r="MLV125" s="751"/>
      <c r="MLW125" s="751"/>
      <c r="MLX125" s="751"/>
      <c r="MLY125" s="751"/>
      <c r="MLZ125" s="751"/>
      <c r="MMA125" s="751"/>
      <c r="MMB125" s="751"/>
      <c r="MMC125" s="751"/>
      <c r="MMD125" s="751"/>
      <c r="MME125" s="751"/>
      <c r="MMF125" s="751"/>
      <c r="MMG125" s="751"/>
      <c r="MMH125" s="751"/>
      <c r="MMI125" s="751"/>
      <c r="MMJ125" s="751"/>
      <c r="MMK125" s="751"/>
      <c r="MML125" s="751"/>
      <c r="MMM125" s="751"/>
      <c r="MMN125" s="751"/>
      <c r="MMO125" s="751"/>
      <c r="MMP125" s="751"/>
      <c r="MMQ125" s="751"/>
      <c r="MMR125" s="751"/>
      <c r="MMS125" s="751"/>
      <c r="MMT125" s="751"/>
      <c r="MMU125" s="751"/>
      <c r="MMV125" s="751"/>
      <c r="MMW125" s="751"/>
      <c r="MMX125" s="751"/>
      <c r="MMY125" s="751"/>
      <c r="MMZ125" s="751"/>
      <c r="MNA125" s="751"/>
      <c r="MNB125" s="751"/>
      <c r="MNC125" s="751"/>
      <c r="MND125" s="751"/>
      <c r="MNE125" s="751"/>
      <c r="MNF125" s="751"/>
      <c r="MNG125" s="751"/>
      <c r="MNH125" s="751"/>
      <c r="MNI125" s="751"/>
      <c r="MNJ125" s="751"/>
      <c r="MNK125" s="751"/>
      <c r="MNL125" s="751"/>
      <c r="MNM125" s="751"/>
      <c r="MNN125" s="751"/>
      <c r="MNO125" s="751"/>
      <c r="MNP125" s="751"/>
      <c r="MNQ125" s="751"/>
      <c r="MNR125" s="751"/>
      <c r="MNS125" s="751"/>
      <c r="MNT125" s="751"/>
      <c r="MNU125" s="751"/>
      <c r="MNV125" s="751"/>
      <c r="MNW125" s="751"/>
      <c r="MNX125" s="751"/>
      <c r="MNY125" s="751"/>
      <c r="MNZ125" s="751"/>
      <c r="MOA125" s="751"/>
      <c r="MOB125" s="751"/>
      <c r="MOC125" s="751"/>
      <c r="MOD125" s="751"/>
      <c r="MOE125" s="751"/>
      <c r="MOF125" s="751"/>
      <c r="MOG125" s="751"/>
      <c r="MOH125" s="751"/>
      <c r="MOI125" s="751"/>
      <c r="MOJ125" s="751"/>
      <c r="MOK125" s="751"/>
      <c r="MOL125" s="751"/>
      <c r="MOM125" s="751"/>
      <c r="MON125" s="751"/>
      <c r="MOO125" s="751"/>
      <c r="MOP125" s="751"/>
      <c r="MOQ125" s="751"/>
      <c r="MOR125" s="751"/>
      <c r="MOS125" s="751"/>
      <c r="MOT125" s="751"/>
      <c r="MOU125" s="751"/>
      <c r="MOV125" s="751"/>
      <c r="MOW125" s="751"/>
      <c r="MOX125" s="751"/>
      <c r="MOY125" s="751"/>
      <c r="MOZ125" s="751"/>
      <c r="MPA125" s="751"/>
      <c r="MPB125" s="751"/>
      <c r="MPC125" s="751"/>
      <c r="MPD125" s="751"/>
      <c r="MPE125" s="751"/>
      <c r="MPF125" s="751"/>
      <c r="MPG125" s="751"/>
      <c r="MPH125" s="751"/>
      <c r="MPI125" s="751"/>
      <c r="MPJ125" s="751"/>
      <c r="MPK125" s="751"/>
      <c r="MPL125" s="751"/>
      <c r="MPM125" s="751"/>
      <c r="MPN125" s="751"/>
      <c r="MPO125" s="751"/>
      <c r="MPP125" s="751"/>
      <c r="MPQ125" s="751"/>
      <c r="MPR125" s="751"/>
      <c r="MPS125" s="751"/>
      <c r="MPT125" s="751"/>
      <c r="MPU125" s="751"/>
      <c r="MPV125" s="751"/>
      <c r="MPW125" s="751"/>
      <c r="MPX125" s="751"/>
      <c r="MPY125" s="751"/>
      <c r="MPZ125" s="751"/>
      <c r="MQA125" s="751"/>
      <c r="MQB125" s="751"/>
      <c r="MQC125" s="751"/>
      <c r="MQD125" s="751"/>
      <c r="MQE125" s="751"/>
      <c r="MQF125" s="751"/>
      <c r="MQG125" s="751"/>
      <c r="MQH125" s="751"/>
      <c r="MQI125" s="751"/>
      <c r="MQJ125" s="751"/>
      <c r="MQK125" s="751"/>
      <c r="MQL125" s="751"/>
      <c r="MQM125" s="751"/>
      <c r="MQN125" s="751"/>
      <c r="MQO125" s="751"/>
      <c r="MQP125" s="751"/>
      <c r="MQQ125" s="751"/>
      <c r="MQR125" s="751"/>
      <c r="MQS125" s="751"/>
      <c r="MQT125" s="751"/>
      <c r="MQU125" s="751"/>
      <c r="MQV125" s="751"/>
      <c r="MQW125" s="751"/>
      <c r="MQX125" s="751"/>
      <c r="MQY125" s="751"/>
      <c r="MQZ125" s="751"/>
      <c r="MRA125" s="751"/>
      <c r="MRB125" s="751"/>
      <c r="MRC125" s="751"/>
      <c r="MRD125" s="751"/>
      <c r="MRE125" s="751"/>
      <c r="MRF125" s="751"/>
      <c r="MRG125" s="751"/>
      <c r="MRH125" s="751"/>
      <c r="MRI125" s="751"/>
      <c r="MRJ125" s="751"/>
      <c r="MRK125" s="751"/>
      <c r="MRL125" s="751"/>
      <c r="MRM125" s="751"/>
      <c r="MRN125" s="751"/>
      <c r="MRO125" s="751"/>
      <c r="MRP125" s="751"/>
      <c r="MRQ125" s="751"/>
      <c r="MRR125" s="751"/>
      <c r="MRS125" s="751"/>
      <c r="MRT125" s="751"/>
      <c r="MRU125" s="751"/>
      <c r="MRV125" s="751"/>
      <c r="MRW125" s="751"/>
      <c r="MRX125" s="751"/>
      <c r="MRY125" s="751"/>
      <c r="MRZ125" s="751"/>
      <c r="MSA125" s="751"/>
      <c r="MSB125" s="751"/>
      <c r="MSC125" s="751"/>
      <c r="MSD125" s="751"/>
      <c r="MSE125" s="751"/>
      <c r="MSF125" s="751"/>
      <c r="MSG125" s="751"/>
      <c r="MSH125" s="751"/>
      <c r="MSI125" s="751"/>
      <c r="MSJ125" s="751"/>
      <c r="MSK125" s="751"/>
      <c r="MSL125" s="751"/>
      <c r="MSM125" s="751"/>
      <c r="MSN125" s="751"/>
      <c r="MSO125" s="751"/>
      <c r="MSP125" s="751"/>
      <c r="MSQ125" s="751"/>
      <c r="MSR125" s="751"/>
      <c r="MSS125" s="751"/>
      <c r="MST125" s="751"/>
      <c r="MSU125" s="751"/>
      <c r="MSV125" s="751"/>
      <c r="MSW125" s="751"/>
      <c r="MSX125" s="751"/>
      <c r="MSY125" s="751"/>
      <c r="MSZ125" s="751"/>
      <c r="MTA125" s="751"/>
      <c r="MTB125" s="751"/>
      <c r="MTC125" s="751"/>
      <c r="MTD125" s="751"/>
      <c r="MTE125" s="751"/>
      <c r="MTF125" s="751"/>
      <c r="MTG125" s="751"/>
      <c r="MTH125" s="751"/>
      <c r="MTI125" s="751"/>
      <c r="MTJ125" s="751"/>
      <c r="MTK125" s="751"/>
      <c r="MTL125" s="751"/>
      <c r="MTM125" s="751"/>
      <c r="MTN125" s="751"/>
      <c r="MTO125" s="751"/>
      <c r="MTP125" s="751"/>
      <c r="MTQ125" s="751"/>
      <c r="MTR125" s="751"/>
      <c r="MTS125" s="751"/>
      <c r="MTT125" s="751"/>
      <c r="MTU125" s="751"/>
      <c r="MTV125" s="751"/>
      <c r="MTW125" s="751"/>
      <c r="MTX125" s="751"/>
      <c r="MTY125" s="751"/>
      <c r="MTZ125" s="751"/>
      <c r="MUA125" s="751"/>
      <c r="MUB125" s="751"/>
      <c r="MUC125" s="751"/>
      <c r="MUD125" s="751"/>
      <c r="MUE125" s="751"/>
      <c r="MUF125" s="751"/>
      <c r="MUG125" s="751"/>
      <c r="MUH125" s="751"/>
      <c r="MUI125" s="751"/>
      <c r="MUJ125" s="751"/>
      <c r="MUK125" s="751"/>
      <c r="MUL125" s="751"/>
      <c r="MUM125" s="751"/>
      <c r="MUN125" s="751"/>
      <c r="MUO125" s="751"/>
      <c r="MUP125" s="751"/>
      <c r="MUQ125" s="751"/>
      <c r="MUR125" s="751"/>
      <c r="MUS125" s="751"/>
      <c r="MUT125" s="751"/>
      <c r="MUU125" s="751"/>
      <c r="MUV125" s="751"/>
      <c r="MUW125" s="751"/>
      <c r="MUX125" s="751"/>
      <c r="MUY125" s="751"/>
      <c r="MUZ125" s="751"/>
      <c r="MVA125" s="751"/>
      <c r="MVB125" s="751"/>
      <c r="MVC125" s="751"/>
      <c r="MVD125" s="751"/>
      <c r="MVE125" s="751"/>
      <c r="MVF125" s="751"/>
      <c r="MVG125" s="751"/>
      <c r="MVH125" s="751"/>
      <c r="MVI125" s="751"/>
      <c r="MVJ125" s="751"/>
      <c r="MVK125" s="751"/>
      <c r="MVL125" s="751"/>
      <c r="MVM125" s="751"/>
      <c r="MVN125" s="751"/>
      <c r="MVO125" s="751"/>
      <c r="MVP125" s="751"/>
      <c r="MVQ125" s="751"/>
      <c r="MVR125" s="751"/>
      <c r="MVS125" s="751"/>
      <c r="MVT125" s="751"/>
      <c r="MVU125" s="751"/>
      <c r="MVV125" s="751"/>
      <c r="MVW125" s="751"/>
      <c r="MVX125" s="751"/>
      <c r="MVY125" s="751"/>
      <c r="MVZ125" s="751"/>
      <c r="MWA125" s="751"/>
      <c r="MWB125" s="751"/>
      <c r="MWC125" s="751"/>
      <c r="MWD125" s="751"/>
      <c r="MWE125" s="751"/>
      <c r="MWF125" s="751"/>
      <c r="MWG125" s="751"/>
      <c r="MWH125" s="751"/>
      <c r="MWI125" s="751"/>
      <c r="MWJ125" s="751"/>
      <c r="MWK125" s="751"/>
      <c r="MWL125" s="751"/>
      <c r="MWM125" s="751"/>
      <c r="MWN125" s="751"/>
      <c r="MWO125" s="751"/>
      <c r="MWP125" s="751"/>
      <c r="MWQ125" s="751"/>
      <c r="MWR125" s="751"/>
      <c r="MWS125" s="751"/>
      <c r="MWT125" s="751"/>
      <c r="MWU125" s="751"/>
      <c r="MWV125" s="751"/>
      <c r="MWW125" s="751"/>
      <c r="MWX125" s="751"/>
      <c r="MWY125" s="751"/>
      <c r="MWZ125" s="751"/>
      <c r="MXA125" s="751"/>
      <c r="MXB125" s="751"/>
      <c r="MXC125" s="751"/>
      <c r="MXD125" s="751"/>
      <c r="MXE125" s="751"/>
      <c r="MXF125" s="751"/>
      <c r="MXG125" s="751"/>
      <c r="MXH125" s="751"/>
      <c r="MXI125" s="751"/>
      <c r="MXJ125" s="751"/>
      <c r="MXK125" s="751"/>
      <c r="MXL125" s="751"/>
      <c r="MXM125" s="751"/>
      <c r="MXN125" s="751"/>
      <c r="MXO125" s="751"/>
      <c r="MXP125" s="751"/>
      <c r="MXQ125" s="751"/>
      <c r="MXR125" s="751"/>
      <c r="MXS125" s="751"/>
      <c r="MXT125" s="751"/>
      <c r="MXU125" s="751"/>
      <c r="MXV125" s="751"/>
      <c r="MXW125" s="751"/>
      <c r="MXX125" s="751"/>
      <c r="MXY125" s="751"/>
      <c r="MXZ125" s="751"/>
      <c r="MYA125" s="751"/>
      <c r="MYB125" s="751"/>
      <c r="MYC125" s="751"/>
      <c r="MYD125" s="751"/>
      <c r="MYE125" s="751"/>
      <c r="MYF125" s="751"/>
      <c r="MYG125" s="751"/>
      <c r="MYH125" s="751"/>
      <c r="MYI125" s="751"/>
      <c r="MYJ125" s="751"/>
      <c r="MYK125" s="751"/>
      <c r="MYL125" s="751"/>
      <c r="MYM125" s="751"/>
      <c r="MYN125" s="751"/>
      <c r="MYO125" s="751"/>
      <c r="MYP125" s="751"/>
      <c r="MYQ125" s="751"/>
      <c r="MYR125" s="751"/>
      <c r="MYS125" s="751"/>
      <c r="MYT125" s="751"/>
      <c r="MYU125" s="751"/>
      <c r="MYV125" s="751"/>
      <c r="MYW125" s="751"/>
      <c r="MYX125" s="751"/>
      <c r="MYY125" s="751"/>
      <c r="MYZ125" s="751"/>
      <c r="MZA125" s="751"/>
      <c r="MZB125" s="751"/>
      <c r="MZC125" s="751"/>
      <c r="MZD125" s="751"/>
      <c r="MZE125" s="751"/>
      <c r="MZF125" s="751"/>
      <c r="MZG125" s="751"/>
      <c r="MZH125" s="751"/>
      <c r="MZI125" s="751"/>
      <c r="MZJ125" s="751"/>
      <c r="MZK125" s="751"/>
      <c r="MZL125" s="751"/>
      <c r="MZM125" s="751"/>
      <c r="MZN125" s="751"/>
      <c r="MZO125" s="751"/>
      <c r="MZP125" s="751"/>
      <c r="MZQ125" s="751"/>
      <c r="MZR125" s="751"/>
      <c r="MZS125" s="751"/>
      <c r="MZT125" s="751"/>
      <c r="MZU125" s="751"/>
      <c r="MZV125" s="751"/>
      <c r="MZW125" s="751"/>
      <c r="MZX125" s="751"/>
      <c r="MZY125" s="751"/>
      <c r="MZZ125" s="751"/>
      <c r="NAA125" s="751"/>
      <c r="NAB125" s="751"/>
      <c r="NAC125" s="751"/>
      <c r="NAD125" s="751"/>
      <c r="NAE125" s="751"/>
      <c r="NAF125" s="751"/>
      <c r="NAG125" s="751"/>
      <c r="NAH125" s="751"/>
      <c r="NAI125" s="751"/>
      <c r="NAJ125" s="751"/>
      <c r="NAK125" s="751"/>
      <c r="NAL125" s="751"/>
      <c r="NAM125" s="751"/>
      <c r="NAN125" s="751"/>
      <c r="NAO125" s="751"/>
      <c r="NAP125" s="751"/>
      <c r="NAQ125" s="751"/>
      <c r="NAR125" s="751"/>
      <c r="NAS125" s="751"/>
      <c r="NAT125" s="751"/>
      <c r="NAU125" s="751"/>
      <c r="NAV125" s="751"/>
      <c r="NAW125" s="751"/>
      <c r="NAX125" s="751"/>
      <c r="NAY125" s="751"/>
      <c r="NAZ125" s="751"/>
      <c r="NBA125" s="751"/>
      <c r="NBB125" s="751"/>
      <c r="NBC125" s="751"/>
      <c r="NBD125" s="751"/>
      <c r="NBE125" s="751"/>
      <c r="NBF125" s="751"/>
      <c r="NBG125" s="751"/>
      <c r="NBH125" s="751"/>
      <c r="NBI125" s="751"/>
      <c r="NBJ125" s="751"/>
      <c r="NBK125" s="751"/>
      <c r="NBL125" s="751"/>
      <c r="NBM125" s="751"/>
      <c r="NBN125" s="751"/>
      <c r="NBO125" s="751"/>
      <c r="NBP125" s="751"/>
      <c r="NBQ125" s="751"/>
      <c r="NBR125" s="751"/>
      <c r="NBS125" s="751"/>
      <c r="NBT125" s="751"/>
      <c r="NBU125" s="751"/>
      <c r="NBV125" s="751"/>
      <c r="NBW125" s="751"/>
      <c r="NBX125" s="751"/>
      <c r="NBY125" s="751"/>
      <c r="NBZ125" s="751"/>
      <c r="NCA125" s="751"/>
      <c r="NCB125" s="751"/>
      <c r="NCC125" s="751"/>
      <c r="NCD125" s="751"/>
      <c r="NCE125" s="751"/>
      <c r="NCF125" s="751"/>
      <c r="NCG125" s="751"/>
      <c r="NCH125" s="751"/>
      <c r="NCI125" s="751"/>
      <c r="NCJ125" s="751"/>
      <c r="NCK125" s="751"/>
      <c r="NCL125" s="751"/>
      <c r="NCM125" s="751"/>
      <c r="NCN125" s="751"/>
      <c r="NCO125" s="751"/>
      <c r="NCP125" s="751"/>
      <c r="NCQ125" s="751"/>
      <c r="NCR125" s="751"/>
      <c r="NCS125" s="751"/>
      <c r="NCT125" s="751"/>
      <c r="NCU125" s="751"/>
      <c r="NCV125" s="751"/>
      <c r="NCW125" s="751"/>
      <c r="NCX125" s="751"/>
      <c r="NCY125" s="751"/>
      <c r="NCZ125" s="751"/>
      <c r="NDA125" s="751"/>
      <c r="NDB125" s="751"/>
      <c r="NDC125" s="751"/>
      <c r="NDD125" s="751"/>
      <c r="NDE125" s="751"/>
      <c r="NDF125" s="751"/>
      <c r="NDG125" s="751"/>
      <c r="NDH125" s="751"/>
      <c r="NDI125" s="751"/>
      <c r="NDJ125" s="751"/>
      <c r="NDK125" s="751"/>
      <c r="NDL125" s="751"/>
      <c r="NDM125" s="751"/>
      <c r="NDN125" s="751"/>
      <c r="NDO125" s="751"/>
      <c r="NDP125" s="751"/>
      <c r="NDQ125" s="751"/>
      <c r="NDR125" s="751"/>
      <c r="NDS125" s="751"/>
      <c r="NDT125" s="751"/>
      <c r="NDU125" s="751"/>
      <c r="NDV125" s="751"/>
      <c r="NDW125" s="751"/>
      <c r="NDX125" s="751"/>
      <c r="NDY125" s="751"/>
      <c r="NDZ125" s="751"/>
      <c r="NEA125" s="751"/>
      <c r="NEB125" s="751"/>
      <c r="NEC125" s="751"/>
      <c r="NED125" s="751"/>
      <c r="NEE125" s="751"/>
      <c r="NEF125" s="751"/>
      <c r="NEG125" s="751"/>
      <c r="NEH125" s="751"/>
      <c r="NEI125" s="751"/>
      <c r="NEJ125" s="751"/>
      <c r="NEK125" s="751"/>
      <c r="NEL125" s="751"/>
      <c r="NEM125" s="751"/>
      <c r="NEN125" s="751"/>
      <c r="NEO125" s="751"/>
      <c r="NEP125" s="751"/>
      <c r="NEQ125" s="751"/>
      <c r="NER125" s="751"/>
      <c r="NES125" s="751"/>
      <c r="NET125" s="751"/>
      <c r="NEU125" s="751"/>
      <c r="NEV125" s="751"/>
      <c r="NEW125" s="751"/>
      <c r="NEX125" s="751"/>
      <c r="NEY125" s="751"/>
      <c r="NEZ125" s="751"/>
      <c r="NFA125" s="751"/>
      <c r="NFB125" s="751"/>
      <c r="NFC125" s="751"/>
      <c r="NFD125" s="751"/>
      <c r="NFE125" s="751"/>
      <c r="NFF125" s="751"/>
      <c r="NFG125" s="751"/>
      <c r="NFH125" s="751"/>
      <c r="NFI125" s="751"/>
      <c r="NFJ125" s="751"/>
      <c r="NFK125" s="751"/>
      <c r="NFL125" s="751"/>
      <c r="NFM125" s="751"/>
      <c r="NFN125" s="751"/>
      <c r="NFO125" s="751"/>
      <c r="NFP125" s="751"/>
      <c r="NFQ125" s="751"/>
      <c r="NFR125" s="751"/>
      <c r="NFS125" s="751"/>
      <c r="NFT125" s="751"/>
      <c r="NFU125" s="751"/>
      <c r="NFV125" s="751"/>
      <c r="NFW125" s="751"/>
      <c r="NFX125" s="751"/>
      <c r="NFY125" s="751"/>
      <c r="NFZ125" s="751"/>
      <c r="NGA125" s="751"/>
      <c r="NGB125" s="751"/>
      <c r="NGC125" s="751"/>
      <c r="NGD125" s="751"/>
      <c r="NGE125" s="751"/>
      <c r="NGF125" s="751"/>
      <c r="NGG125" s="751"/>
      <c r="NGH125" s="751"/>
      <c r="NGI125" s="751"/>
      <c r="NGJ125" s="751"/>
      <c r="NGK125" s="751"/>
      <c r="NGL125" s="751"/>
      <c r="NGM125" s="751"/>
      <c r="NGN125" s="751"/>
      <c r="NGO125" s="751"/>
      <c r="NGP125" s="751"/>
      <c r="NGQ125" s="751"/>
      <c r="NGR125" s="751"/>
      <c r="NGS125" s="751"/>
      <c r="NGT125" s="751"/>
      <c r="NGU125" s="751"/>
      <c r="NGV125" s="751"/>
      <c r="NGW125" s="751"/>
      <c r="NGX125" s="751"/>
      <c r="NGY125" s="751"/>
      <c r="NGZ125" s="751"/>
      <c r="NHA125" s="751"/>
      <c r="NHB125" s="751"/>
      <c r="NHC125" s="751"/>
      <c r="NHD125" s="751"/>
      <c r="NHE125" s="751"/>
      <c r="NHF125" s="751"/>
      <c r="NHG125" s="751"/>
      <c r="NHH125" s="751"/>
      <c r="NHI125" s="751"/>
      <c r="NHJ125" s="751"/>
      <c r="NHK125" s="751"/>
      <c r="NHL125" s="751"/>
      <c r="NHM125" s="751"/>
      <c r="NHN125" s="751"/>
      <c r="NHO125" s="751"/>
      <c r="NHP125" s="751"/>
      <c r="NHQ125" s="751"/>
      <c r="NHR125" s="751"/>
      <c r="NHS125" s="751"/>
      <c r="NHT125" s="751"/>
      <c r="NHU125" s="751"/>
      <c r="NHV125" s="751"/>
      <c r="NHW125" s="751"/>
      <c r="NHX125" s="751"/>
      <c r="NHY125" s="751"/>
      <c r="NHZ125" s="751"/>
      <c r="NIA125" s="751"/>
      <c r="NIB125" s="751"/>
      <c r="NIC125" s="751"/>
      <c r="NID125" s="751"/>
      <c r="NIE125" s="751"/>
      <c r="NIF125" s="751"/>
      <c r="NIG125" s="751"/>
      <c r="NIH125" s="751"/>
      <c r="NII125" s="751"/>
      <c r="NIJ125" s="751"/>
      <c r="NIK125" s="751"/>
      <c r="NIL125" s="751"/>
      <c r="NIM125" s="751"/>
      <c r="NIN125" s="751"/>
      <c r="NIO125" s="751"/>
      <c r="NIP125" s="751"/>
      <c r="NIQ125" s="751"/>
      <c r="NIR125" s="751"/>
      <c r="NIS125" s="751"/>
      <c r="NIT125" s="751"/>
      <c r="NIU125" s="751"/>
      <c r="NIV125" s="751"/>
      <c r="NIW125" s="751"/>
      <c r="NIX125" s="751"/>
      <c r="NIY125" s="751"/>
      <c r="NIZ125" s="751"/>
      <c r="NJA125" s="751"/>
      <c r="NJB125" s="751"/>
      <c r="NJC125" s="751"/>
      <c r="NJD125" s="751"/>
      <c r="NJE125" s="751"/>
      <c r="NJF125" s="751"/>
      <c r="NJG125" s="751"/>
      <c r="NJH125" s="751"/>
      <c r="NJI125" s="751"/>
      <c r="NJJ125" s="751"/>
      <c r="NJK125" s="751"/>
      <c r="NJL125" s="751"/>
      <c r="NJM125" s="751"/>
      <c r="NJN125" s="751"/>
      <c r="NJO125" s="751"/>
      <c r="NJP125" s="751"/>
      <c r="NJQ125" s="751"/>
      <c r="NJR125" s="751"/>
      <c r="NJS125" s="751"/>
      <c r="NJT125" s="751"/>
      <c r="NJU125" s="751"/>
      <c r="NJV125" s="751"/>
      <c r="NJW125" s="751"/>
      <c r="NJX125" s="751"/>
      <c r="NJY125" s="751"/>
      <c r="NJZ125" s="751"/>
      <c r="NKA125" s="751"/>
      <c r="NKB125" s="751"/>
      <c r="NKC125" s="751"/>
      <c r="NKD125" s="751"/>
      <c r="NKE125" s="751"/>
      <c r="NKF125" s="751"/>
      <c r="NKG125" s="751"/>
      <c r="NKH125" s="751"/>
      <c r="NKI125" s="751"/>
      <c r="NKJ125" s="751"/>
      <c r="NKK125" s="751"/>
      <c r="NKL125" s="751"/>
      <c r="NKM125" s="751"/>
      <c r="NKN125" s="751"/>
      <c r="NKO125" s="751"/>
      <c r="NKP125" s="751"/>
      <c r="NKQ125" s="751"/>
      <c r="NKR125" s="751"/>
      <c r="NKS125" s="751"/>
      <c r="NKT125" s="751"/>
      <c r="NKU125" s="751"/>
      <c r="NKV125" s="751"/>
      <c r="NKW125" s="751"/>
      <c r="NKX125" s="751"/>
      <c r="NKY125" s="751"/>
      <c r="NKZ125" s="751"/>
      <c r="NLA125" s="751"/>
      <c r="NLB125" s="751"/>
      <c r="NLC125" s="751"/>
      <c r="NLD125" s="751"/>
      <c r="NLE125" s="751"/>
      <c r="NLF125" s="751"/>
      <c r="NLG125" s="751"/>
      <c r="NLH125" s="751"/>
      <c r="NLI125" s="751"/>
      <c r="NLJ125" s="751"/>
      <c r="NLK125" s="751"/>
      <c r="NLL125" s="751"/>
      <c r="NLM125" s="751"/>
      <c r="NLN125" s="751"/>
      <c r="NLO125" s="751"/>
      <c r="NLP125" s="751"/>
      <c r="NLQ125" s="751"/>
      <c r="NLR125" s="751"/>
      <c r="NLS125" s="751"/>
      <c r="NLT125" s="751"/>
      <c r="NLU125" s="751"/>
      <c r="NLV125" s="751"/>
      <c r="NLW125" s="751"/>
      <c r="NLX125" s="751"/>
      <c r="NLY125" s="751"/>
      <c r="NLZ125" s="751"/>
      <c r="NMA125" s="751"/>
      <c r="NMB125" s="751"/>
      <c r="NMC125" s="751"/>
      <c r="NMD125" s="751"/>
      <c r="NME125" s="751"/>
      <c r="NMF125" s="751"/>
      <c r="NMG125" s="751"/>
      <c r="NMH125" s="751"/>
      <c r="NMI125" s="751"/>
      <c r="NMJ125" s="751"/>
      <c r="NMK125" s="751"/>
      <c r="NML125" s="751"/>
      <c r="NMM125" s="751"/>
      <c r="NMN125" s="751"/>
      <c r="NMO125" s="751"/>
      <c r="NMP125" s="751"/>
      <c r="NMQ125" s="751"/>
      <c r="NMR125" s="751"/>
      <c r="NMS125" s="751"/>
      <c r="NMT125" s="751"/>
      <c r="NMU125" s="751"/>
      <c r="NMV125" s="751"/>
      <c r="NMW125" s="751"/>
      <c r="NMX125" s="751"/>
      <c r="NMY125" s="751"/>
      <c r="NMZ125" s="751"/>
      <c r="NNA125" s="751"/>
      <c r="NNB125" s="751"/>
      <c r="NNC125" s="751"/>
      <c r="NND125" s="751"/>
      <c r="NNE125" s="751"/>
      <c r="NNF125" s="751"/>
      <c r="NNG125" s="751"/>
      <c r="NNH125" s="751"/>
      <c r="NNI125" s="751"/>
      <c r="NNJ125" s="751"/>
      <c r="NNK125" s="751"/>
      <c r="NNL125" s="751"/>
      <c r="NNM125" s="751"/>
      <c r="NNN125" s="751"/>
      <c r="NNO125" s="751"/>
      <c r="NNP125" s="751"/>
      <c r="NNQ125" s="751"/>
      <c r="NNR125" s="751"/>
      <c r="NNS125" s="751"/>
      <c r="NNT125" s="751"/>
      <c r="NNU125" s="751"/>
      <c r="NNV125" s="751"/>
      <c r="NNW125" s="751"/>
      <c r="NNX125" s="751"/>
      <c r="NNY125" s="751"/>
      <c r="NNZ125" s="751"/>
      <c r="NOA125" s="751"/>
      <c r="NOB125" s="751"/>
      <c r="NOC125" s="751"/>
      <c r="NOD125" s="751"/>
      <c r="NOE125" s="751"/>
      <c r="NOF125" s="751"/>
      <c r="NOG125" s="751"/>
      <c r="NOH125" s="751"/>
      <c r="NOI125" s="751"/>
      <c r="NOJ125" s="751"/>
      <c r="NOK125" s="751"/>
      <c r="NOL125" s="751"/>
      <c r="NOM125" s="751"/>
      <c r="NON125" s="751"/>
      <c r="NOO125" s="751"/>
      <c r="NOP125" s="751"/>
      <c r="NOQ125" s="751"/>
      <c r="NOR125" s="751"/>
      <c r="NOS125" s="751"/>
      <c r="NOT125" s="751"/>
      <c r="NOU125" s="751"/>
      <c r="NOV125" s="751"/>
      <c r="NOW125" s="751"/>
      <c r="NOX125" s="751"/>
      <c r="NOY125" s="751"/>
      <c r="NOZ125" s="751"/>
      <c r="NPA125" s="751"/>
      <c r="NPB125" s="751"/>
      <c r="NPC125" s="751"/>
      <c r="NPD125" s="751"/>
      <c r="NPE125" s="751"/>
      <c r="NPF125" s="751"/>
      <c r="NPG125" s="751"/>
      <c r="NPH125" s="751"/>
      <c r="NPI125" s="751"/>
      <c r="NPJ125" s="751"/>
      <c r="NPK125" s="751"/>
      <c r="NPL125" s="751"/>
      <c r="NPM125" s="751"/>
      <c r="NPN125" s="751"/>
      <c r="NPO125" s="751"/>
      <c r="NPP125" s="751"/>
      <c r="NPQ125" s="751"/>
      <c r="NPR125" s="751"/>
      <c r="NPS125" s="751"/>
      <c r="NPT125" s="751"/>
      <c r="NPU125" s="751"/>
      <c r="NPV125" s="751"/>
      <c r="NPW125" s="751"/>
      <c r="NPX125" s="751"/>
      <c r="NPY125" s="751"/>
      <c r="NPZ125" s="751"/>
      <c r="NQA125" s="751"/>
      <c r="NQB125" s="751"/>
      <c r="NQC125" s="751"/>
      <c r="NQD125" s="751"/>
      <c r="NQE125" s="751"/>
      <c r="NQF125" s="751"/>
      <c r="NQG125" s="751"/>
      <c r="NQH125" s="751"/>
      <c r="NQI125" s="751"/>
      <c r="NQJ125" s="751"/>
      <c r="NQK125" s="751"/>
      <c r="NQL125" s="751"/>
      <c r="NQM125" s="751"/>
      <c r="NQN125" s="751"/>
      <c r="NQO125" s="751"/>
      <c r="NQP125" s="751"/>
      <c r="NQQ125" s="751"/>
      <c r="NQR125" s="751"/>
      <c r="NQS125" s="751"/>
      <c r="NQT125" s="751"/>
      <c r="NQU125" s="751"/>
      <c r="NQV125" s="751"/>
      <c r="NQW125" s="751"/>
      <c r="NQX125" s="751"/>
      <c r="NQY125" s="751"/>
      <c r="NQZ125" s="751"/>
      <c r="NRA125" s="751"/>
      <c r="NRB125" s="751"/>
      <c r="NRC125" s="751"/>
      <c r="NRD125" s="751"/>
      <c r="NRE125" s="751"/>
      <c r="NRF125" s="751"/>
      <c r="NRG125" s="751"/>
      <c r="NRH125" s="751"/>
      <c r="NRI125" s="751"/>
      <c r="NRJ125" s="751"/>
      <c r="NRK125" s="751"/>
      <c r="NRL125" s="751"/>
      <c r="NRM125" s="751"/>
      <c r="NRN125" s="751"/>
      <c r="NRO125" s="751"/>
      <c r="NRP125" s="751"/>
      <c r="NRQ125" s="751"/>
      <c r="NRR125" s="751"/>
      <c r="NRS125" s="751"/>
      <c r="NRT125" s="751"/>
      <c r="NRU125" s="751"/>
      <c r="NRV125" s="751"/>
      <c r="NRW125" s="751"/>
      <c r="NRX125" s="751"/>
      <c r="NRY125" s="751"/>
      <c r="NRZ125" s="751"/>
      <c r="NSA125" s="751"/>
      <c r="NSB125" s="751"/>
      <c r="NSC125" s="751"/>
      <c r="NSD125" s="751"/>
      <c r="NSE125" s="751"/>
      <c r="NSF125" s="751"/>
      <c r="NSG125" s="751"/>
      <c r="NSH125" s="751"/>
      <c r="NSI125" s="751"/>
      <c r="NSJ125" s="751"/>
      <c r="NSK125" s="751"/>
      <c r="NSL125" s="751"/>
      <c r="NSM125" s="751"/>
      <c r="NSN125" s="751"/>
      <c r="NSO125" s="751"/>
      <c r="NSP125" s="751"/>
      <c r="NSQ125" s="751"/>
      <c r="NSR125" s="751"/>
      <c r="NSS125" s="751"/>
      <c r="NST125" s="751"/>
      <c r="NSU125" s="751"/>
      <c r="NSV125" s="751"/>
      <c r="NSW125" s="751"/>
      <c r="NSX125" s="751"/>
      <c r="NSY125" s="751"/>
      <c r="NSZ125" s="751"/>
      <c r="NTA125" s="751"/>
      <c r="NTB125" s="751"/>
      <c r="NTC125" s="751"/>
      <c r="NTD125" s="751"/>
      <c r="NTE125" s="751"/>
      <c r="NTF125" s="751"/>
      <c r="NTG125" s="751"/>
      <c r="NTH125" s="751"/>
      <c r="NTI125" s="751"/>
      <c r="NTJ125" s="751"/>
      <c r="NTK125" s="751"/>
      <c r="NTL125" s="751"/>
      <c r="NTM125" s="751"/>
      <c r="NTN125" s="751"/>
      <c r="NTO125" s="751"/>
      <c r="NTP125" s="751"/>
      <c r="NTQ125" s="751"/>
      <c r="NTR125" s="751"/>
      <c r="NTS125" s="751"/>
      <c r="NTT125" s="751"/>
      <c r="NTU125" s="751"/>
      <c r="NTV125" s="751"/>
      <c r="NTW125" s="751"/>
      <c r="NTX125" s="751"/>
      <c r="NTY125" s="751"/>
      <c r="NTZ125" s="751"/>
      <c r="NUA125" s="751"/>
      <c r="NUB125" s="751"/>
      <c r="NUC125" s="751"/>
      <c r="NUD125" s="751"/>
      <c r="NUE125" s="751"/>
      <c r="NUF125" s="751"/>
      <c r="NUG125" s="751"/>
      <c r="NUH125" s="751"/>
      <c r="NUI125" s="751"/>
      <c r="NUJ125" s="751"/>
      <c r="NUK125" s="751"/>
      <c r="NUL125" s="751"/>
      <c r="NUM125" s="751"/>
      <c r="NUN125" s="751"/>
      <c r="NUO125" s="751"/>
      <c r="NUP125" s="751"/>
      <c r="NUQ125" s="751"/>
      <c r="NUR125" s="751"/>
      <c r="NUS125" s="751"/>
      <c r="NUT125" s="751"/>
      <c r="NUU125" s="751"/>
      <c r="NUV125" s="751"/>
      <c r="NUW125" s="751"/>
      <c r="NUX125" s="751"/>
      <c r="NUY125" s="751"/>
      <c r="NUZ125" s="751"/>
      <c r="NVA125" s="751"/>
      <c r="NVB125" s="751"/>
      <c r="NVC125" s="751"/>
      <c r="NVD125" s="751"/>
      <c r="NVE125" s="751"/>
      <c r="NVF125" s="751"/>
      <c r="NVG125" s="751"/>
      <c r="NVH125" s="751"/>
      <c r="NVI125" s="751"/>
      <c r="NVJ125" s="751"/>
      <c r="NVK125" s="751"/>
      <c r="NVL125" s="751"/>
      <c r="NVM125" s="751"/>
      <c r="NVN125" s="751"/>
      <c r="NVO125" s="751"/>
      <c r="NVP125" s="751"/>
      <c r="NVQ125" s="751"/>
      <c r="NVR125" s="751"/>
      <c r="NVS125" s="751"/>
      <c r="NVT125" s="751"/>
      <c r="NVU125" s="751"/>
      <c r="NVV125" s="751"/>
      <c r="NVW125" s="751"/>
      <c r="NVX125" s="751"/>
      <c r="NVY125" s="751"/>
      <c r="NVZ125" s="751"/>
      <c r="NWA125" s="751"/>
      <c r="NWB125" s="751"/>
      <c r="NWC125" s="751"/>
      <c r="NWD125" s="751"/>
      <c r="NWE125" s="751"/>
      <c r="NWF125" s="751"/>
      <c r="NWG125" s="751"/>
      <c r="NWH125" s="751"/>
      <c r="NWI125" s="751"/>
      <c r="NWJ125" s="751"/>
      <c r="NWK125" s="751"/>
      <c r="NWL125" s="751"/>
      <c r="NWM125" s="751"/>
      <c r="NWN125" s="751"/>
      <c r="NWO125" s="751"/>
      <c r="NWP125" s="751"/>
      <c r="NWQ125" s="751"/>
      <c r="NWR125" s="751"/>
      <c r="NWS125" s="751"/>
      <c r="NWT125" s="751"/>
      <c r="NWU125" s="751"/>
      <c r="NWV125" s="751"/>
      <c r="NWW125" s="751"/>
      <c r="NWX125" s="751"/>
      <c r="NWY125" s="751"/>
      <c r="NWZ125" s="751"/>
      <c r="NXA125" s="751"/>
      <c r="NXB125" s="751"/>
      <c r="NXC125" s="751"/>
      <c r="NXD125" s="751"/>
      <c r="NXE125" s="751"/>
      <c r="NXF125" s="751"/>
      <c r="NXG125" s="751"/>
      <c r="NXH125" s="751"/>
      <c r="NXI125" s="751"/>
      <c r="NXJ125" s="751"/>
      <c r="NXK125" s="751"/>
      <c r="NXL125" s="751"/>
      <c r="NXM125" s="751"/>
      <c r="NXN125" s="751"/>
      <c r="NXO125" s="751"/>
      <c r="NXP125" s="751"/>
      <c r="NXQ125" s="751"/>
      <c r="NXR125" s="751"/>
      <c r="NXS125" s="751"/>
      <c r="NXT125" s="751"/>
      <c r="NXU125" s="751"/>
      <c r="NXV125" s="751"/>
      <c r="NXW125" s="751"/>
      <c r="NXX125" s="751"/>
      <c r="NXY125" s="751"/>
      <c r="NXZ125" s="751"/>
      <c r="NYA125" s="751"/>
      <c r="NYB125" s="751"/>
      <c r="NYC125" s="751"/>
      <c r="NYD125" s="751"/>
      <c r="NYE125" s="751"/>
      <c r="NYF125" s="751"/>
      <c r="NYG125" s="751"/>
      <c r="NYH125" s="751"/>
      <c r="NYI125" s="751"/>
      <c r="NYJ125" s="751"/>
      <c r="NYK125" s="751"/>
      <c r="NYL125" s="751"/>
      <c r="NYM125" s="751"/>
      <c r="NYN125" s="751"/>
      <c r="NYO125" s="751"/>
      <c r="NYP125" s="751"/>
      <c r="NYQ125" s="751"/>
      <c r="NYR125" s="751"/>
      <c r="NYS125" s="751"/>
      <c r="NYT125" s="751"/>
      <c r="NYU125" s="751"/>
      <c r="NYV125" s="751"/>
      <c r="NYW125" s="751"/>
      <c r="NYX125" s="751"/>
      <c r="NYY125" s="751"/>
      <c r="NYZ125" s="751"/>
      <c r="NZA125" s="751"/>
      <c r="NZB125" s="751"/>
      <c r="NZC125" s="751"/>
      <c r="NZD125" s="751"/>
      <c r="NZE125" s="751"/>
      <c r="NZF125" s="751"/>
      <c r="NZG125" s="751"/>
      <c r="NZH125" s="751"/>
      <c r="NZI125" s="751"/>
      <c r="NZJ125" s="751"/>
      <c r="NZK125" s="751"/>
      <c r="NZL125" s="751"/>
      <c r="NZM125" s="751"/>
      <c r="NZN125" s="751"/>
      <c r="NZO125" s="751"/>
      <c r="NZP125" s="751"/>
      <c r="NZQ125" s="751"/>
      <c r="NZR125" s="751"/>
      <c r="NZS125" s="751"/>
      <c r="NZT125" s="751"/>
      <c r="NZU125" s="751"/>
      <c r="NZV125" s="751"/>
      <c r="NZW125" s="751"/>
      <c r="NZX125" s="751"/>
      <c r="NZY125" s="751"/>
      <c r="NZZ125" s="751"/>
      <c r="OAA125" s="751"/>
      <c r="OAB125" s="751"/>
      <c r="OAC125" s="751"/>
      <c r="OAD125" s="751"/>
      <c r="OAE125" s="751"/>
      <c r="OAF125" s="751"/>
      <c r="OAG125" s="751"/>
      <c r="OAH125" s="751"/>
      <c r="OAI125" s="751"/>
      <c r="OAJ125" s="751"/>
      <c r="OAK125" s="751"/>
      <c r="OAL125" s="751"/>
      <c r="OAM125" s="751"/>
      <c r="OAN125" s="751"/>
      <c r="OAO125" s="751"/>
      <c r="OAP125" s="751"/>
      <c r="OAQ125" s="751"/>
      <c r="OAR125" s="751"/>
      <c r="OAS125" s="751"/>
      <c r="OAT125" s="751"/>
      <c r="OAU125" s="751"/>
      <c r="OAV125" s="751"/>
      <c r="OAW125" s="751"/>
      <c r="OAX125" s="751"/>
      <c r="OAY125" s="751"/>
      <c r="OAZ125" s="751"/>
      <c r="OBA125" s="751"/>
      <c r="OBB125" s="751"/>
      <c r="OBC125" s="751"/>
      <c r="OBD125" s="751"/>
      <c r="OBE125" s="751"/>
      <c r="OBF125" s="751"/>
      <c r="OBG125" s="751"/>
      <c r="OBH125" s="751"/>
      <c r="OBI125" s="751"/>
      <c r="OBJ125" s="751"/>
      <c r="OBK125" s="751"/>
      <c r="OBL125" s="751"/>
      <c r="OBM125" s="751"/>
      <c r="OBN125" s="751"/>
      <c r="OBO125" s="751"/>
      <c r="OBP125" s="751"/>
      <c r="OBQ125" s="751"/>
      <c r="OBR125" s="751"/>
      <c r="OBS125" s="751"/>
      <c r="OBT125" s="751"/>
      <c r="OBU125" s="751"/>
      <c r="OBV125" s="751"/>
      <c r="OBW125" s="751"/>
      <c r="OBX125" s="751"/>
      <c r="OBY125" s="751"/>
      <c r="OBZ125" s="751"/>
      <c r="OCA125" s="751"/>
      <c r="OCB125" s="751"/>
      <c r="OCC125" s="751"/>
      <c r="OCD125" s="751"/>
      <c r="OCE125" s="751"/>
      <c r="OCF125" s="751"/>
      <c r="OCG125" s="751"/>
      <c r="OCH125" s="751"/>
      <c r="OCI125" s="751"/>
      <c r="OCJ125" s="751"/>
      <c r="OCK125" s="751"/>
      <c r="OCL125" s="751"/>
      <c r="OCM125" s="751"/>
      <c r="OCN125" s="751"/>
      <c r="OCO125" s="751"/>
      <c r="OCP125" s="751"/>
      <c r="OCQ125" s="751"/>
      <c r="OCR125" s="751"/>
      <c r="OCS125" s="751"/>
      <c r="OCT125" s="751"/>
      <c r="OCU125" s="751"/>
      <c r="OCV125" s="751"/>
      <c r="OCW125" s="751"/>
      <c r="OCX125" s="751"/>
      <c r="OCY125" s="751"/>
      <c r="OCZ125" s="751"/>
      <c r="ODA125" s="751"/>
      <c r="ODB125" s="751"/>
      <c r="ODC125" s="751"/>
      <c r="ODD125" s="751"/>
      <c r="ODE125" s="751"/>
      <c r="ODF125" s="751"/>
      <c r="ODG125" s="751"/>
      <c r="ODH125" s="751"/>
      <c r="ODI125" s="751"/>
      <c r="ODJ125" s="751"/>
      <c r="ODK125" s="751"/>
      <c r="ODL125" s="751"/>
      <c r="ODM125" s="751"/>
      <c r="ODN125" s="751"/>
      <c r="ODO125" s="751"/>
      <c r="ODP125" s="751"/>
      <c r="ODQ125" s="751"/>
      <c r="ODR125" s="751"/>
      <c r="ODS125" s="751"/>
      <c r="ODT125" s="751"/>
      <c r="ODU125" s="751"/>
      <c r="ODV125" s="751"/>
      <c r="ODW125" s="751"/>
      <c r="ODX125" s="751"/>
      <c r="ODY125" s="751"/>
      <c r="ODZ125" s="751"/>
      <c r="OEA125" s="751"/>
      <c r="OEB125" s="751"/>
      <c r="OEC125" s="751"/>
      <c r="OED125" s="751"/>
      <c r="OEE125" s="751"/>
      <c r="OEF125" s="751"/>
      <c r="OEG125" s="751"/>
      <c r="OEH125" s="751"/>
      <c r="OEI125" s="751"/>
      <c r="OEJ125" s="751"/>
      <c r="OEK125" s="751"/>
      <c r="OEL125" s="751"/>
      <c r="OEM125" s="751"/>
      <c r="OEN125" s="751"/>
      <c r="OEO125" s="751"/>
      <c r="OEP125" s="751"/>
      <c r="OEQ125" s="751"/>
      <c r="OER125" s="751"/>
      <c r="OES125" s="751"/>
      <c r="OET125" s="751"/>
      <c r="OEU125" s="751"/>
      <c r="OEV125" s="751"/>
      <c r="OEW125" s="751"/>
      <c r="OEX125" s="751"/>
      <c r="OEY125" s="751"/>
      <c r="OEZ125" s="751"/>
      <c r="OFA125" s="751"/>
      <c r="OFB125" s="751"/>
      <c r="OFC125" s="751"/>
      <c r="OFD125" s="751"/>
      <c r="OFE125" s="751"/>
      <c r="OFF125" s="751"/>
      <c r="OFG125" s="751"/>
      <c r="OFH125" s="751"/>
      <c r="OFI125" s="751"/>
      <c r="OFJ125" s="751"/>
      <c r="OFK125" s="751"/>
      <c r="OFL125" s="751"/>
      <c r="OFM125" s="751"/>
      <c r="OFN125" s="751"/>
      <c r="OFO125" s="751"/>
      <c r="OFP125" s="751"/>
      <c r="OFQ125" s="751"/>
      <c r="OFR125" s="751"/>
      <c r="OFS125" s="751"/>
      <c r="OFT125" s="751"/>
      <c r="OFU125" s="751"/>
      <c r="OFV125" s="751"/>
      <c r="OFW125" s="751"/>
      <c r="OFX125" s="751"/>
      <c r="OFY125" s="751"/>
      <c r="OFZ125" s="751"/>
      <c r="OGA125" s="751"/>
      <c r="OGB125" s="751"/>
      <c r="OGC125" s="751"/>
      <c r="OGD125" s="751"/>
      <c r="OGE125" s="751"/>
      <c r="OGF125" s="751"/>
      <c r="OGG125" s="751"/>
      <c r="OGH125" s="751"/>
      <c r="OGI125" s="751"/>
      <c r="OGJ125" s="751"/>
      <c r="OGK125" s="751"/>
      <c r="OGL125" s="751"/>
      <c r="OGM125" s="751"/>
      <c r="OGN125" s="751"/>
      <c r="OGO125" s="751"/>
      <c r="OGP125" s="751"/>
      <c r="OGQ125" s="751"/>
      <c r="OGR125" s="751"/>
      <c r="OGS125" s="751"/>
      <c r="OGT125" s="751"/>
      <c r="OGU125" s="751"/>
      <c r="OGV125" s="751"/>
      <c r="OGW125" s="751"/>
      <c r="OGX125" s="751"/>
      <c r="OGY125" s="751"/>
      <c r="OGZ125" s="751"/>
      <c r="OHA125" s="751"/>
      <c r="OHB125" s="751"/>
      <c r="OHC125" s="751"/>
      <c r="OHD125" s="751"/>
      <c r="OHE125" s="751"/>
      <c r="OHF125" s="751"/>
      <c r="OHG125" s="751"/>
      <c r="OHH125" s="751"/>
      <c r="OHI125" s="751"/>
      <c r="OHJ125" s="751"/>
      <c r="OHK125" s="751"/>
      <c r="OHL125" s="751"/>
      <c r="OHM125" s="751"/>
      <c r="OHN125" s="751"/>
      <c r="OHO125" s="751"/>
      <c r="OHP125" s="751"/>
      <c r="OHQ125" s="751"/>
      <c r="OHR125" s="751"/>
      <c r="OHS125" s="751"/>
      <c r="OHT125" s="751"/>
      <c r="OHU125" s="751"/>
      <c r="OHV125" s="751"/>
      <c r="OHW125" s="751"/>
      <c r="OHX125" s="751"/>
      <c r="OHY125" s="751"/>
      <c r="OHZ125" s="751"/>
      <c r="OIA125" s="751"/>
      <c r="OIB125" s="751"/>
      <c r="OIC125" s="751"/>
      <c r="OID125" s="751"/>
      <c r="OIE125" s="751"/>
      <c r="OIF125" s="751"/>
      <c r="OIG125" s="751"/>
      <c r="OIH125" s="751"/>
      <c r="OII125" s="751"/>
      <c r="OIJ125" s="751"/>
      <c r="OIK125" s="751"/>
      <c r="OIL125" s="751"/>
      <c r="OIM125" s="751"/>
      <c r="OIN125" s="751"/>
      <c r="OIO125" s="751"/>
      <c r="OIP125" s="751"/>
      <c r="OIQ125" s="751"/>
      <c r="OIR125" s="751"/>
      <c r="OIS125" s="751"/>
      <c r="OIT125" s="751"/>
      <c r="OIU125" s="751"/>
      <c r="OIV125" s="751"/>
      <c r="OIW125" s="751"/>
      <c r="OIX125" s="751"/>
      <c r="OIY125" s="751"/>
      <c r="OIZ125" s="751"/>
      <c r="OJA125" s="751"/>
      <c r="OJB125" s="751"/>
      <c r="OJC125" s="751"/>
      <c r="OJD125" s="751"/>
      <c r="OJE125" s="751"/>
      <c r="OJF125" s="751"/>
      <c r="OJG125" s="751"/>
      <c r="OJH125" s="751"/>
      <c r="OJI125" s="751"/>
      <c r="OJJ125" s="751"/>
      <c r="OJK125" s="751"/>
      <c r="OJL125" s="751"/>
      <c r="OJM125" s="751"/>
      <c r="OJN125" s="751"/>
      <c r="OJO125" s="751"/>
      <c r="OJP125" s="751"/>
      <c r="OJQ125" s="751"/>
      <c r="OJR125" s="751"/>
      <c r="OJS125" s="751"/>
      <c r="OJT125" s="751"/>
      <c r="OJU125" s="751"/>
      <c r="OJV125" s="751"/>
      <c r="OJW125" s="751"/>
      <c r="OJX125" s="751"/>
      <c r="OJY125" s="751"/>
      <c r="OJZ125" s="751"/>
      <c r="OKA125" s="751"/>
      <c r="OKB125" s="751"/>
      <c r="OKC125" s="751"/>
      <c r="OKD125" s="751"/>
      <c r="OKE125" s="751"/>
      <c r="OKF125" s="751"/>
      <c r="OKG125" s="751"/>
      <c r="OKH125" s="751"/>
      <c r="OKI125" s="751"/>
      <c r="OKJ125" s="751"/>
      <c r="OKK125" s="751"/>
      <c r="OKL125" s="751"/>
      <c r="OKM125" s="751"/>
      <c r="OKN125" s="751"/>
      <c r="OKO125" s="751"/>
      <c r="OKP125" s="751"/>
      <c r="OKQ125" s="751"/>
      <c r="OKR125" s="751"/>
      <c r="OKS125" s="751"/>
      <c r="OKT125" s="751"/>
      <c r="OKU125" s="751"/>
      <c r="OKV125" s="751"/>
      <c r="OKW125" s="751"/>
      <c r="OKX125" s="751"/>
      <c r="OKY125" s="751"/>
      <c r="OKZ125" s="751"/>
      <c r="OLA125" s="751"/>
      <c r="OLB125" s="751"/>
      <c r="OLC125" s="751"/>
      <c r="OLD125" s="751"/>
      <c r="OLE125" s="751"/>
      <c r="OLF125" s="751"/>
      <c r="OLG125" s="751"/>
      <c r="OLH125" s="751"/>
      <c r="OLI125" s="751"/>
      <c r="OLJ125" s="751"/>
      <c r="OLK125" s="751"/>
      <c r="OLL125" s="751"/>
      <c r="OLM125" s="751"/>
      <c r="OLN125" s="751"/>
      <c r="OLO125" s="751"/>
      <c r="OLP125" s="751"/>
      <c r="OLQ125" s="751"/>
      <c r="OLR125" s="751"/>
      <c r="OLS125" s="751"/>
      <c r="OLT125" s="751"/>
      <c r="OLU125" s="751"/>
      <c r="OLV125" s="751"/>
      <c r="OLW125" s="751"/>
      <c r="OLX125" s="751"/>
      <c r="OLY125" s="751"/>
      <c r="OLZ125" s="751"/>
      <c r="OMA125" s="751"/>
      <c r="OMB125" s="751"/>
      <c r="OMC125" s="751"/>
      <c r="OMD125" s="751"/>
      <c r="OME125" s="751"/>
      <c r="OMF125" s="751"/>
      <c r="OMG125" s="751"/>
      <c r="OMH125" s="751"/>
      <c r="OMI125" s="751"/>
      <c r="OMJ125" s="751"/>
      <c r="OMK125" s="751"/>
      <c r="OML125" s="751"/>
      <c r="OMM125" s="751"/>
      <c r="OMN125" s="751"/>
      <c r="OMO125" s="751"/>
      <c r="OMP125" s="751"/>
      <c r="OMQ125" s="751"/>
      <c r="OMR125" s="751"/>
      <c r="OMS125" s="751"/>
      <c r="OMT125" s="751"/>
      <c r="OMU125" s="751"/>
      <c r="OMV125" s="751"/>
      <c r="OMW125" s="751"/>
      <c r="OMX125" s="751"/>
      <c r="OMY125" s="751"/>
      <c r="OMZ125" s="751"/>
      <c r="ONA125" s="751"/>
      <c r="ONB125" s="751"/>
      <c r="ONC125" s="751"/>
      <c r="OND125" s="751"/>
      <c r="ONE125" s="751"/>
      <c r="ONF125" s="751"/>
      <c r="ONG125" s="751"/>
      <c r="ONH125" s="751"/>
      <c r="ONI125" s="751"/>
      <c r="ONJ125" s="751"/>
      <c r="ONK125" s="751"/>
      <c r="ONL125" s="751"/>
      <c r="ONM125" s="751"/>
      <c r="ONN125" s="751"/>
      <c r="ONO125" s="751"/>
      <c r="ONP125" s="751"/>
      <c r="ONQ125" s="751"/>
      <c r="ONR125" s="751"/>
      <c r="ONS125" s="751"/>
      <c r="ONT125" s="751"/>
      <c r="ONU125" s="751"/>
      <c r="ONV125" s="751"/>
      <c r="ONW125" s="751"/>
      <c r="ONX125" s="751"/>
      <c r="ONY125" s="751"/>
      <c r="ONZ125" s="751"/>
      <c r="OOA125" s="751"/>
      <c r="OOB125" s="751"/>
      <c r="OOC125" s="751"/>
      <c r="OOD125" s="751"/>
      <c r="OOE125" s="751"/>
      <c r="OOF125" s="751"/>
      <c r="OOG125" s="751"/>
      <c r="OOH125" s="751"/>
      <c r="OOI125" s="751"/>
      <c r="OOJ125" s="751"/>
      <c r="OOK125" s="751"/>
      <c r="OOL125" s="751"/>
      <c r="OOM125" s="751"/>
      <c r="OON125" s="751"/>
      <c r="OOO125" s="751"/>
      <c r="OOP125" s="751"/>
      <c r="OOQ125" s="751"/>
      <c r="OOR125" s="751"/>
      <c r="OOS125" s="751"/>
      <c r="OOT125" s="751"/>
      <c r="OOU125" s="751"/>
      <c r="OOV125" s="751"/>
      <c r="OOW125" s="751"/>
      <c r="OOX125" s="751"/>
      <c r="OOY125" s="751"/>
      <c r="OOZ125" s="751"/>
      <c r="OPA125" s="751"/>
      <c r="OPB125" s="751"/>
      <c r="OPC125" s="751"/>
      <c r="OPD125" s="751"/>
      <c r="OPE125" s="751"/>
      <c r="OPF125" s="751"/>
      <c r="OPG125" s="751"/>
      <c r="OPH125" s="751"/>
      <c r="OPI125" s="751"/>
      <c r="OPJ125" s="751"/>
      <c r="OPK125" s="751"/>
      <c r="OPL125" s="751"/>
      <c r="OPM125" s="751"/>
      <c r="OPN125" s="751"/>
      <c r="OPO125" s="751"/>
      <c r="OPP125" s="751"/>
      <c r="OPQ125" s="751"/>
      <c r="OPR125" s="751"/>
      <c r="OPS125" s="751"/>
      <c r="OPT125" s="751"/>
      <c r="OPU125" s="751"/>
      <c r="OPV125" s="751"/>
      <c r="OPW125" s="751"/>
      <c r="OPX125" s="751"/>
      <c r="OPY125" s="751"/>
      <c r="OPZ125" s="751"/>
      <c r="OQA125" s="751"/>
      <c r="OQB125" s="751"/>
      <c r="OQC125" s="751"/>
      <c r="OQD125" s="751"/>
      <c r="OQE125" s="751"/>
      <c r="OQF125" s="751"/>
      <c r="OQG125" s="751"/>
      <c r="OQH125" s="751"/>
      <c r="OQI125" s="751"/>
      <c r="OQJ125" s="751"/>
      <c r="OQK125" s="751"/>
      <c r="OQL125" s="751"/>
      <c r="OQM125" s="751"/>
      <c r="OQN125" s="751"/>
      <c r="OQO125" s="751"/>
      <c r="OQP125" s="751"/>
      <c r="OQQ125" s="751"/>
      <c r="OQR125" s="751"/>
      <c r="OQS125" s="751"/>
      <c r="OQT125" s="751"/>
      <c r="OQU125" s="751"/>
      <c r="OQV125" s="751"/>
      <c r="OQW125" s="751"/>
      <c r="OQX125" s="751"/>
      <c r="OQY125" s="751"/>
      <c r="OQZ125" s="751"/>
      <c r="ORA125" s="751"/>
      <c r="ORB125" s="751"/>
      <c r="ORC125" s="751"/>
      <c r="ORD125" s="751"/>
      <c r="ORE125" s="751"/>
      <c r="ORF125" s="751"/>
      <c r="ORG125" s="751"/>
      <c r="ORH125" s="751"/>
      <c r="ORI125" s="751"/>
      <c r="ORJ125" s="751"/>
      <c r="ORK125" s="751"/>
      <c r="ORL125" s="751"/>
      <c r="ORM125" s="751"/>
      <c r="ORN125" s="751"/>
      <c r="ORO125" s="751"/>
      <c r="ORP125" s="751"/>
      <c r="ORQ125" s="751"/>
      <c r="ORR125" s="751"/>
      <c r="ORS125" s="751"/>
      <c r="ORT125" s="751"/>
      <c r="ORU125" s="751"/>
      <c r="ORV125" s="751"/>
      <c r="ORW125" s="751"/>
      <c r="ORX125" s="751"/>
      <c r="ORY125" s="751"/>
      <c r="ORZ125" s="751"/>
      <c r="OSA125" s="751"/>
      <c r="OSB125" s="751"/>
      <c r="OSC125" s="751"/>
      <c r="OSD125" s="751"/>
      <c r="OSE125" s="751"/>
      <c r="OSF125" s="751"/>
      <c r="OSG125" s="751"/>
      <c r="OSH125" s="751"/>
      <c r="OSI125" s="751"/>
      <c r="OSJ125" s="751"/>
      <c r="OSK125" s="751"/>
      <c r="OSL125" s="751"/>
      <c r="OSM125" s="751"/>
      <c r="OSN125" s="751"/>
      <c r="OSO125" s="751"/>
      <c r="OSP125" s="751"/>
      <c r="OSQ125" s="751"/>
      <c r="OSR125" s="751"/>
      <c r="OSS125" s="751"/>
      <c r="OST125" s="751"/>
      <c r="OSU125" s="751"/>
      <c r="OSV125" s="751"/>
      <c r="OSW125" s="751"/>
      <c r="OSX125" s="751"/>
      <c r="OSY125" s="751"/>
      <c r="OSZ125" s="751"/>
      <c r="OTA125" s="751"/>
      <c r="OTB125" s="751"/>
      <c r="OTC125" s="751"/>
      <c r="OTD125" s="751"/>
      <c r="OTE125" s="751"/>
      <c r="OTF125" s="751"/>
      <c r="OTG125" s="751"/>
      <c r="OTH125" s="751"/>
      <c r="OTI125" s="751"/>
      <c r="OTJ125" s="751"/>
      <c r="OTK125" s="751"/>
      <c r="OTL125" s="751"/>
      <c r="OTM125" s="751"/>
      <c r="OTN125" s="751"/>
      <c r="OTO125" s="751"/>
      <c r="OTP125" s="751"/>
      <c r="OTQ125" s="751"/>
      <c r="OTR125" s="751"/>
      <c r="OTS125" s="751"/>
      <c r="OTT125" s="751"/>
      <c r="OTU125" s="751"/>
      <c r="OTV125" s="751"/>
      <c r="OTW125" s="751"/>
      <c r="OTX125" s="751"/>
      <c r="OTY125" s="751"/>
      <c r="OTZ125" s="751"/>
      <c r="OUA125" s="751"/>
      <c r="OUB125" s="751"/>
      <c r="OUC125" s="751"/>
      <c r="OUD125" s="751"/>
      <c r="OUE125" s="751"/>
      <c r="OUF125" s="751"/>
      <c r="OUG125" s="751"/>
      <c r="OUH125" s="751"/>
      <c r="OUI125" s="751"/>
      <c r="OUJ125" s="751"/>
      <c r="OUK125" s="751"/>
      <c r="OUL125" s="751"/>
      <c r="OUM125" s="751"/>
      <c r="OUN125" s="751"/>
      <c r="OUO125" s="751"/>
      <c r="OUP125" s="751"/>
      <c r="OUQ125" s="751"/>
      <c r="OUR125" s="751"/>
      <c r="OUS125" s="751"/>
      <c r="OUT125" s="751"/>
      <c r="OUU125" s="751"/>
      <c r="OUV125" s="751"/>
      <c r="OUW125" s="751"/>
      <c r="OUX125" s="751"/>
      <c r="OUY125" s="751"/>
      <c r="OUZ125" s="751"/>
      <c r="OVA125" s="751"/>
      <c r="OVB125" s="751"/>
      <c r="OVC125" s="751"/>
      <c r="OVD125" s="751"/>
      <c r="OVE125" s="751"/>
      <c r="OVF125" s="751"/>
      <c r="OVG125" s="751"/>
      <c r="OVH125" s="751"/>
      <c r="OVI125" s="751"/>
      <c r="OVJ125" s="751"/>
      <c r="OVK125" s="751"/>
      <c r="OVL125" s="751"/>
      <c r="OVM125" s="751"/>
      <c r="OVN125" s="751"/>
      <c r="OVO125" s="751"/>
      <c r="OVP125" s="751"/>
      <c r="OVQ125" s="751"/>
      <c r="OVR125" s="751"/>
      <c r="OVS125" s="751"/>
      <c r="OVT125" s="751"/>
      <c r="OVU125" s="751"/>
      <c r="OVV125" s="751"/>
      <c r="OVW125" s="751"/>
      <c r="OVX125" s="751"/>
      <c r="OVY125" s="751"/>
      <c r="OVZ125" s="751"/>
      <c r="OWA125" s="751"/>
      <c r="OWB125" s="751"/>
      <c r="OWC125" s="751"/>
      <c r="OWD125" s="751"/>
      <c r="OWE125" s="751"/>
      <c r="OWF125" s="751"/>
      <c r="OWG125" s="751"/>
      <c r="OWH125" s="751"/>
      <c r="OWI125" s="751"/>
      <c r="OWJ125" s="751"/>
      <c r="OWK125" s="751"/>
      <c r="OWL125" s="751"/>
      <c r="OWM125" s="751"/>
      <c r="OWN125" s="751"/>
      <c r="OWO125" s="751"/>
      <c r="OWP125" s="751"/>
      <c r="OWQ125" s="751"/>
      <c r="OWR125" s="751"/>
      <c r="OWS125" s="751"/>
      <c r="OWT125" s="751"/>
      <c r="OWU125" s="751"/>
      <c r="OWV125" s="751"/>
      <c r="OWW125" s="751"/>
      <c r="OWX125" s="751"/>
      <c r="OWY125" s="751"/>
      <c r="OWZ125" s="751"/>
      <c r="OXA125" s="751"/>
      <c r="OXB125" s="751"/>
      <c r="OXC125" s="751"/>
      <c r="OXD125" s="751"/>
      <c r="OXE125" s="751"/>
      <c r="OXF125" s="751"/>
      <c r="OXG125" s="751"/>
      <c r="OXH125" s="751"/>
      <c r="OXI125" s="751"/>
      <c r="OXJ125" s="751"/>
      <c r="OXK125" s="751"/>
      <c r="OXL125" s="751"/>
      <c r="OXM125" s="751"/>
      <c r="OXN125" s="751"/>
      <c r="OXO125" s="751"/>
      <c r="OXP125" s="751"/>
      <c r="OXQ125" s="751"/>
      <c r="OXR125" s="751"/>
      <c r="OXS125" s="751"/>
      <c r="OXT125" s="751"/>
      <c r="OXU125" s="751"/>
      <c r="OXV125" s="751"/>
      <c r="OXW125" s="751"/>
      <c r="OXX125" s="751"/>
      <c r="OXY125" s="751"/>
      <c r="OXZ125" s="751"/>
      <c r="OYA125" s="751"/>
      <c r="OYB125" s="751"/>
      <c r="OYC125" s="751"/>
      <c r="OYD125" s="751"/>
      <c r="OYE125" s="751"/>
      <c r="OYF125" s="751"/>
      <c r="OYG125" s="751"/>
      <c r="OYH125" s="751"/>
      <c r="OYI125" s="751"/>
      <c r="OYJ125" s="751"/>
      <c r="OYK125" s="751"/>
      <c r="OYL125" s="751"/>
      <c r="OYM125" s="751"/>
      <c r="OYN125" s="751"/>
      <c r="OYO125" s="751"/>
      <c r="OYP125" s="751"/>
      <c r="OYQ125" s="751"/>
      <c r="OYR125" s="751"/>
      <c r="OYS125" s="751"/>
      <c r="OYT125" s="751"/>
      <c r="OYU125" s="751"/>
      <c r="OYV125" s="751"/>
      <c r="OYW125" s="751"/>
      <c r="OYX125" s="751"/>
      <c r="OYY125" s="751"/>
      <c r="OYZ125" s="751"/>
      <c r="OZA125" s="751"/>
      <c r="OZB125" s="751"/>
      <c r="OZC125" s="751"/>
      <c r="OZD125" s="751"/>
      <c r="OZE125" s="751"/>
      <c r="OZF125" s="751"/>
      <c r="OZG125" s="751"/>
      <c r="OZH125" s="751"/>
      <c r="OZI125" s="751"/>
      <c r="OZJ125" s="751"/>
      <c r="OZK125" s="751"/>
      <c r="OZL125" s="751"/>
      <c r="OZM125" s="751"/>
      <c r="OZN125" s="751"/>
      <c r="OZO125" s="751"/>
      <c r="OZP125" s="751"/>
      <c r="OZQ125" s="751"/>
      <c r="OZR125" s="751"/>
      <c r="OZS125" s="751"/>
      <c r="OZT125" s="751"/>
      <c r="OZU125" s="751"/>
      <c r="OZV125" s="751"/>
      <c r="OZW125" s="751"/>
      <c r="OZX125" s="751"/>
      <c r="OZY125" s="751"/>
      <c r="OZZ125" s="751"/>
      <c r="PAA125" s="751"/>
      <c r="PAB125" s="751"/>
      <c r="PAC125" s="751"/>
      <c r="PAD125" s="751"/>
      <c r="PAE125" s="751"/>
      <c r="PAF125" s="751"/>
      <c r="PAG125" s="751"/>
      <c r="PAH125" s="751"/>
      <c r="PAI125" s="751"/>
      <c r="PAJ125" s="751"/>
      <c r="PAK125" s="751"/>
      <c r="PAL125" s="751"/>
      <c r="PAM125" s="751"/>
      <c r="PAN125" s="751"/>
      <c r="PAO125" s="751"/>
      <c r="PAP125" s="751"/>
      <c r="PAQ125" s="751"/>
      <c r="PAR125" s="751"/>
      <c r="PAS125" s="751"/>
      <c r="PAT125" s="751"/>
      <c r="PAU125" s="751"/>
      <c r="PAV125" s="751"/>
      <c r="PAW125" s="751"/>
      <c r="PAX125" s="751"/>
      <c r="PAY125" s="751"/>
      <c r="PAZ125" s="751"/>
      <c r="PBA125" s="751"/>
      <c r="PBB125" s="751"/>
      <c r="PBC125" s="751"/>
      <c r="PBD125" s="751"/>
      <c r="PBE125" s="751"/>
      <c r="PBF125" s="751"/>
      <c r="PBG125" s="751"/>
      <c r="PBH125" s="751"/>
      <c r="PBI125" s="751"/>
      <c r="PBJ125" s="751"/>
      <c r="PBK125" s="751"/>
      <c r="PBL125" s="751"/>
      <c r="PBM125" s="751"/>
      <c r="PBN125" s="751"/>
      <c r="PBO125" s="751"/>
      <c r="PBP125" s="751"/>
      <c r="PBQ125" s="751"/>
      <c r="PBR125" s="751"/>
      <c r="PBS125" s="751"/>
      <c r="PBT125" s="751"/>
      <c r="PBU125" s="751"/>
      <c r="PBV125" s="751"/>
      <c r="PBW125" s="751"/>
      <c r="PBX125" s="751"/>
      <c r="PBY125" s="751"/>
      <c r="PBZ125" s="751"/>
      <c r="PCA125" s="751"/>
      <c r="PCB125" s="751"/>
      <c r="PCC125" s="751"/>
      <c r="PCD125" s="751"/>
      <c r="PCE125" s="751"/>
      <c r="PCF125" s="751"/>
      <c r="PCG125" s="751"/>
      <c r="PCH125" s="751"/>
      <c r="PCI125" s="751"/>
      <c r="PCJ125" s="751"/>
      <c r="PCK125" s="751"/>
      <c r="PCL125" s="751"/>
      <c r="PCM125" s="751"/>
      <c r="PCN125" s="751"/>
      <c r="PCO125" s="751"/>
      <c r="PCP125" s="751"/>
      <c r="PCQ125" s="751"/>
      <c r="PCR125" s="751"/>
      <c r="PCS125" s="751"/>
      <c r="PCT125" s="751"/>
      <c r="PCU125" s="751"/>
      <c r="PCV125" s="751"/>
      <c r="PCW125" s="751"/>
      <c r="PCX125" s="751"/>
      <c r="PCY125" s="751"/>
      <c r="PCZ125" s="751"/>
      <c r="PDA125" s="751"/>
      <c r="PDB125" s="751"/>
      <c r="PDC125" s="751"/>
      <c r="PDD125" s="751"/>
      <c r="PDE125" s="751"/>
      <c r="PDF125" s="751"/>
      <c r="PDG125" s="751"/>
      <c r="PDH125" s="751"/>
      <c r="PDI125" s="751"/>
      <c r="PDJ125" s="751"/>
      <c r="PDK125" s="751"/>
      <c r="PDL125" s="751"/>
      <c r="PDM125" s="751"/>
      <c r="PDN125" s="751"/>
      <c r="PDO125" s="751"/>
      <c r="PDP125" s="751"/>
      <c r="PDQ125" s="751"/>
      <c r="PDR125" s="751"/>
      <c r="PDS125" s="751"/>
      <c r="PDT125" s="751"/>
      <c r="PDU125" s="751"/>
      <c r="PDV125" s="751"/>
      <c r="PDW125" s="751"/>
      <c r="PDX125" s="751"/>
      <c r="PDY125" s="751"/>
      <c r="PDZ125" s="751"/>
      <c r="PEA125" s="751"/>
      <c r="PEB125" s="751"/>
      <c r="PEC125" s="751"/>
      <c r="PED125" s="751"/>
      <c r="PEE125" s="751"/>
      <c r="PEF125" s="751"/>
      <c r="PEG125" s="751"/>
      <c r="PEH125" s="751"/>
      <c r="PEI125" s="751"/>
      <c r="PEJ125" s="751"/>
      <c r="PEK125" s="751"/>
      <c r="PEL125" s="751"/>
      <c r="PEM125" s="751"/>
      <c r="PEN125" s="751"/>
      <c r="PEO125" s="751"/>
      <c r="PEP125" s="751"/>
      <c r="PEQ125" s="751"/>
      <c r="PER125" s="751"/>
      <c r="PES125" s="751"/>
      <c r="PET125" s="751"/>
      <c r="PEU125" s="751"/>
      <c r="PEV125" s="751"/>
      <c r="PEW125" s="751"/>
      <c r="PEX125" s="751"/>
      <c r="PEY125" s="751"/>
      <c r="PEZ125" s="751"/>
      <c r="PFA125" s="751"/>
      <c r="PFB125" s="751"/>
      <c r="PFC125" s="751"/>
      <c r="PFD125" s="751"/>
      <c r="PFE125" s="751"/>
      <c r="PFF125" s="751"/>
      <c r="PFG125" s="751"/>
      <c r="PFH125" s="751"/>
      <c r="PFI125" s="751"/>
      <c r="PFJ125" s="751"/>
      <c r="PFK125" s="751"/>
      <c r="PFL125" s="751"/>
      <c r="PFM125" s="751"/>
      <c r="PFN125" s="751"/>
      <c r="PFO125" s="751"/>
      <c r="PFP125" s="751"/>
      <c r="PFQ125" s="751"/>
      <c r="PFR125" s="751"/>
      <c r="PFS125" s="751"/>
      <c r="PFT125" s="751"/>
      <c r="PFU125" s="751"/>
      <c r="PFV125" s="751"/>
      <c r="PFW125" s="751"/>
      <c r="PFX125" s="751"/>
      <c r="PFY125" s="751"/>
      <c r="PFZ125" s="751"/>
      <c r="PGA125" s="751"/>
      <c r="PGB125" s="751"/>
      <c r="PGC125" s="751"/>
      <c r="PGD125" s="751"/>
      <c r="PGE125" s="751"/>
      <c r="PGF125" s="751"/>
      <c r="PGG125" s="751"/>
      <c r="PGH125" s="751"/>
      <c r="PGI125" s="751"/>
      <c r="PGJ125" s="751"/>
      <c r="PGK125" s="751"/>
      <c r="PGL125" s="751"/>
      <c r="PGM125" s="751"/>
      <c r="PGN125" s="751"/>
      <c r="PGO125" s="751"/>
      <c r="PGP125" s="751"/>
      <c r="PGQ125" s="751"/>
      <c r="PGR125" s="751"/>
      <c r="PGS125" s="751"/>
      <c r="PGT125" s="751"/>
      <c r="PGU125" s="751"/>
      <c r="PGV125" s="751"/>
      <c r="PGW125" s="751"/>
      <c r="PGX125" s="751"/>
      <c r="PGY125" s="751"/>
      <c r="PGZ125" s="751"/>
      <c r="PHA125" s="751"/>
      <c r="PHB125" s="751"/>
      <c r="PHC125" s="751"/>
      <c r="PHD125" s="751"/>
      <c r="PHE125" s="751"/>
      <c r="PHF125" s="751"/>
      <c r="PHG125" s="751"/>
      <c r="PHH125" s="751"/>
      <c r="PHI125" s="751"/>
      <c r="PHJ125" s="751"/>
      <c r="PHK125" s="751"/>
      <c r="PHL125" s="751"/>
      <c r="PHM125" s="751"/>
      <c r="PHN125" s="751"/>
      <c r="PHO125" s="751"/>
      <c r="PHP125" s="751"/>
      <c r="PHQ125" s="751"/>
      <c r="PHR125" s="751"/>
      <c r="PHS125" s="751"/>
      <c r="PHT125" s="751"/>
      <c r="PHU125" s="751"/>
      <c r="PHV125" s="751"/>
      <c r="PHW125" s="751"/>
      <c r="PHX125" s="751"/>
      <c r="PHY125" s="751"/>
      <c r="PHZ125" s="751"/>
      <c r="PIA125" s="751"/>
      <c r="PIB125" s="751"/>
      <c r="PIC125" s="751"/>
      <c r="PID125" s="751"/>
      <c r="PIE125" s="751"/>
      <c r="PIF125" s="751"/>
      <c r="PIG125" s="751"/>
      <c r="PIH125" s="751"/>
      <c r="PII125" s="751"/>
      <c r="PIJ125" s="751"/>
      <c r="PIK125" s="751"/>
      <c r="PIL125" s="751"/>
      <c r="PIM125" s="751"/>
      <c r="PIN125" s="751"/>
      <c r="PIO125" s="751"/>
      <c r="PIP125" s="751"/>
      <c r="PIQ125" s="751"/>
      <c r="PIR125" s="751"/>
      <c r="PIS125" s="751"/>
      <c r="PIT125" s="751"/>
      <c r="PIU125" s="751"/>
      <c r="PIV125" s="751"/>
      <c r="PIW125" s="751"/>
      <c r="PIX125" s="751"/>
      <c r="PIY125" s="751"/>
      <c r="PIZ125" s="751"/>
      <c r="PJA125" s="751"/>
      <c r="PJB125" s="751"/>
      <c r="PJC125" s="751"/>
      <c r="PJD125" s="751"/>
      <c r="PJE125" s="751"/>
      <c r="PJF125" s="751"/>
      <c r="PJG125" s="751"/>
      <c r="PJH125" s="751"/>
      <c r="PJI125" s="751"/>
      <c r="PJJ125" s="751"/>
      <c r="PJK125" s="751"/>
      <c r="PJL125" s="751"/>
      <c r="PJM125" s="751"/>
      <c r="PJN125" s="751"/>
      <c r="PJO125" s="751"/>
      <c r="PJP125" s="751"/>
      <c r="PJQ125" s="751"/>
      <c r="PJR125" s="751"/>
      <c r="PJS125" s="751"/>
      <c r="PJT125" s="751"/>
      <c r="PJU125" s="751"/>
      <c r="PJV125" s="751"/>
      <c r="PJW125" s="751"/>
      <c r="PJX125" s="751"/>
      <c r="PJY125" s="751"/>
      <c r="PJZ125" s="751"/>
      <c r="PKA125" s="751"/>
      <c r="PKB125" s="751"/>
      <c r="PKC125" s="751"/>
      <c r="PKD125" s="751"/>
      <c r="PKE125" s="751"/>
      <c r="PKF125" s="751"/>
      <c r="PKG125" s="751"/>
      <c r="PKH125" s="751"/>
      <c r="PKI125" s="751"/>
      <c r="PKJ125" s="751"/>
      <c r="PKK125" s="751"/>
      <c r="PKL125" s="751"/>
      <c r="PKM125" s="751"/>
      <c r="PKN125" s="751"/>
      <c r="PKO125" s="751"/>
      <c r="PKP125" s="751"/>
      <c r="PKQ125" s="751"/>
      <c r="PKR125" s="751"/>
      <c r="PKS125" s="751"/>
      <c r="PKT125" s="751"/>
      <c r="PKU125" s="751"/>
      <c r="PKV125" s="751"/>
      <c r="PKW125" s="751"/>
      <c r="PKX125" s="751"/>
      <c r="PKY125" s="751"/>
      <c r="PKZ125" s="751"/>
      <c r="PLA125" s="751"/>
      <c r="PLB125" s="751"/>
      <c r="PLC125" s="751"/>
      <c r="PLD125" s="751"/>
      <c r="PLE125" s="751"/>
      <c r="PLF125" s="751"/>
      <c r="PLG125" s="751"/>
      <c r="PLH125" s="751"/>
      <c r="PLI125" s="751"/>
      <c r="PLJ125" s="751"/>
      <c r="PLK125" s="751"/>
      <c r="PLL125" s="751"/>
      <c r="PLM125" s="751"/>
      <c r="PLN125" s="751"/>
      <c r="PLO125" s="751"/>
      <c r="PLP125" s="751"/>
      <c r="PLQ125" s="751"/>
      <c r="PLR125" s="751"/>
      <c r="PLS125" s="751"/>
      <c r="PLT125" s="751"/>
      <c r="PLU125" s="751"/>
      <c r="PLV125" s="751"/>
      <c r="PLW125" s="751"/>
      <c r="PLX125" s="751"/>
      <c r="PLY125" s="751"/>
      <c r="PLZ125" s="751"/>
      <c r="PMA125" s="751"/>
      <c r="PMB125" s="751"/>
      <c r="PMC125" s="751"/>
      <c r="PMD125" s="751"/>
      <c r="PME125" s="751"/>
      <c r="PMF125" s="751"/>
      <c r="PMG125" s="751"/>
      <c r="PMH125" s="751"/>
      <c r="PMI125" s="751"/>
      <c r="PMJ125" s="751"/>
      <c r="PMK125" s="751"/>
      <c r="PML125" s="751"/>
      <c r="PMM125" s="751"/>
      <c r="PMN125" s="751"/>
      <c r="PMO125" s="751"/>
      <c r="PMP125" s="751"/>
      <c r="PMQ125" s="751"/>
      <c r="PMR125" s="751"/>
      <c r="PMS125" s="751"/>
      <c r="PMT125" s="751"/>
      <c r="PMU125" s="751"/>
      <c r="PMV125" s="751"/>
      <c r="PMW125" s="751"/>
      <c r="PMX125" s="751"/>
      <c r="PMY125" s="751"/>
      <c r="PMZ125" s="751"/>
      <c r="PNA125" s="751"/>
      <c r="PNB125" s="751"/>
      <c r="PNC125" s="751"/>
      <c r="PND125" s="751"/>
      <c r="PNE125" s="751"/>
      <c r="PNF125" s="751"/>
      <c r="PNG125" s="751"/>
      <c r="PNH125" s="751"/>
      <c r="PNI125" s="751"/>
      <c r="PNJ125" s="751"/>
      <c r="PNK125" s="751"/>
      <c r="PNL125" s="751"/>
      <c r="PNM125" s="751"/>
      <c r="PNN125" s="751"/>
      <c r="PNO125" s="751"/>
      <c r="PNP125" s="751"/>
      <c r="PNQ125" s="751"/>
      <c r="PNR125" s="751"/>
      <c r="PNS125" s="751"/>
      <c r="PNT125" s="751"/>
      <c r="PNU125" s="751"/>
      <c r="PNV125" s="751"/>
      <c r="PNW125" s="751"/>
      <c r="PNX125" s="751"/>
      <c r="PNY125" s="751"/>
      <c r="PNZ125" s="751"/>
      <c r="POA125" s="751"/>
      <c r="POB125" s="751"/>
      <c r="POC125" s="751"/>
      <c r="POD125" s="751"/>
      <c r="POE125" s="751"/>
      <c r="POF125" s="751"/>
      <c r="POG125" s="751"/>
      <c r="POH125" s="751"/>
      <c r="POI125" s="751"/>
      <c r="POJ125" s="751"/>
      <c r="POK125" s="751"/>
      <c r="POL125" s="751"/>
      <c r="POM125" s="751"/>
      <c r="PON125" s="751"/>
      <c r="POO125" s="751"/>
      <c r="POP125" s="751"/>
      <c r="POQ125" s="751"/>
      <c r="POR125" s="751"/>
      <c r="POS125" s="751"/>
      <c r="POT125" s="751"/>
      <c r="POU125" s="751"/>
      <c r="POV125" s="751"/>
      <c r="POW125" s="751"/>
      <c r="POX125" s="751"/>
      <c r="POY125" s="751"/>
      <c r="POZ125" s="751"/>
      <c r="PPA125" s="751"/>
      <c r="PPB125" s="751"/>
      <c r="PPC125" s="751"/>
      <c r="PPD125" s="751"/>
      <c r="PPE125" s="751"/>
      <c r="PPF125" s="751"/>
      <c r="PPG125" s="751"/>
      <c r="PPH125" s="751"/>
      <c r="PPI125" s="751"/>
      <c r="PPJ125" s="751"/>
      <c r="PPK125" s="751"/>
      <c r="PPL125" s="751"/>
      <c r="PPM125" s="751"/>
      <c r="PPN125" s="751"/>
      <c r="PPO125" s="751"/>
      <c r="PPP125" s="751"/>
      <c r="PPQ125" s="751"/>
      <c r="PPR125" s="751"/>
      <c r="PPS125" s="751"/>
      <c r="PPT125" s="751"/>
      <c r="PPU125" s="751"/>
      <c r="PPV125" s="751"/>
      <c r="PPW125" s="751"/>
      <c r="PPX125" s="751"/>
      <c r="PPY125" s="751"/>
      <c r="PPZ125" s="751"/>
      <c r="PQA125" s="751"/>
      <c r="PQB125" s="751"/>
      <c r="PQC125" s="751"/>
      <c r="PQD125" s="751"/>
      <c r="PQE125" s="751"/>
      <c r="PQF125" s="751"/>
      <c r="PQG125" s="751"/>
      <c r="PQH125" s="751"/>
      <c r="PQI125" s="751"/>
      <c r="PQJ125" s="751"/>
      <c r="PQK125" s="751"/>
      <c r="PQL125" s="751"/>
      <c r="PQM125" s="751"/>
      <c r="PQN125" s="751"/>
      <c r="PQO125" s="751"/>
      <c r="PQP125" s="751"/>
      <c r="PQQ125" s="751"/>
      <c r="PQR125" s="751"/>
      <c r="PQS125" s="751"/>
      <c r="PQT125" s="751"/>
      <c r="PQU125" s="751"/>
      <c r="PQV125" s="751"/>
      <c r="PQW125" s="751"/>
      <c r="PQX125" s="751"/>
      <c r="PQY125" s="751"/>
      <c r="PQZ125" s="751"/>
      <c r="PRA125" s="751"/>
      <c r="PRB125" s="751"/>
      <c r="PRC125" s="751"/>
      <c r="PRD125" s="751"/>
      <c r="PRE125" s="751"/>
      <c r="PRF125" s="751"/>
      <c r="PRG125" s="751"/>
      <c r="PRH125" s="751"/>
      <c r="PRI125" s="751"/>
      <c r="PRJ125" s="751"/>
      <c r="PRK125" s="751"/>
      <c r="PRL125" s="751"/>
      <c r="PRM125" s="751"/>
      <c r="PRN125" s="751"/>
      <c r="PRO125" s="751"/>
      <c r="PRP125" s="751"/>
      <c r="PRQ125" s="751"/>
      <c r="PRR125" s="751"/>
      <c r="PRS125" s="751"/>
      <c r="PRT125" s="751"/>
      <c r="PRU125" s="751"/>
      <c r="PRV125" s="751"/>
      <c r="PRW125" s="751"/>
      <c r="PRX125" s="751"/>
      <c r="PRY125" s="751"/>
      <c r="PRZ125" s="751"/>
      <c r="PSA125" s="751"/>
      <c r="PSB125" s="751"/>
      <c r="PSC125" s="751"/>
      <c r="PSD125" s="751"/>
      <c r="PSE125" s="751"/>
      <c r="PSF125" s="751"/>
      <c r="PSG125" s="751"/>
      <c r="PSH125" s="751"/>
      <c r="PSI125" s="751"/>
      <c r="PSJ125" s="751"/>
      <c r="PSK125" s="751"/>
      <c r="PSL125" s="751"/>
      <c r="PSM125" s="751"/>
      <c r="PSN125" s="751"/>
      <c r="PSO125" s="751"/>
      <c r="PSP125" s="751"/>
      <c r="PSQ125" s="751"/>
      <c r="PSR125" s="751"/>
      <c r="PSS125" s="751"/>
      <c r="PST125" s="751"/>
      <c r="PSU125" s="751"/>
      <c r="PSV125" s="751"/>
      <c r="PSW125" s="751"/>
      <c r="PSX125" s="751"/>
      <c r="PSY125" s="751"/>
      <c r="PSZ125" s="751"/>
      <c r="PTA125" s="751"/>
      <c r="PTB125" s="751"/>
      <c r="PTC125" s="751"/>
      <c r="PTD125" s="751"/>
      <c r="PTE125" s="751"/>
      <c r="PTF125" s="751"/>
      <c r="PTG125" s="751"/>
      <c r="PTH125" s="751"/>
      <c r="PTI125" s="751"/>
      <c r="PTJ125" s="751"/>
      <c r="PTK125" s="751"/>
      <c r="PTL125" s="751"/>
      <c r="PTM125" s="751"/>
      <c r="PTN125" s="751"/>
      <c r="PTO125" s="751"/>
      <c r="PTP125" s="751"/>
      <c r="PTQ125" s="751"/>
      <c r="PTR125" s="751"/>
      <c r="PTS125" s="751"/>
      <c r="PTT125" s="751"/>
      <c r="PTU125" s="751"/>
      <c r="PTV125" s="751"/>
      <c r="PTW125" s="751"/>
      <c r="PTX125" s="751"/>
      <c r="PTY125" s="751"/>
      <c r="PTZ125" s="751"/>
      <c r="PUA125" s="751"/>
      <c r="PUB125" s="751"/>
      <c r="PUC125" s="751"/>
      <c r="PUD125" s="751"/>
      <c r="PUE125" s="751"/>
      <c r="PUF125" s="751"/>
      <c r="PUG125" s="751"/>
      <c r="PUH125" s="751"/>
      <c r="PUI125" s="751"/>
      <c r="PUJ125" s="751"/>
      <c r="PUK125" s="751"/>
      <c r="PUL125" s="751"/>
      <c r="PUM125" s="751"/>
      <c r="PUN125" s="751"/>
      <c r="PUO125" s="751"/>
      <c r="PUP125" s="751"/>
      <c r="PUQ125" s="751"/>
      <c r="PUR125" s="751"/>
      <c r="PUS125" s="751"/>
      <c r="PUT125" s="751"/>
      <c r="PUU125" s="751"/>
      <c r="PUV125" s="751"/>
      <c r="PUW125" s="751"/>
      <c r="PUX125" s="751"/>
      <c r="PUY125" s="751"/>
      <c r="PUZ125" s="751"/>
      <c r="PVA125" s="751"/>
      <c r="PVB125" s="751"/>
      <c r="PVC125" s="751"/>
      <c r="PVD125" s="751"/>
      <c r="PVE125" s="751"/>
      <c r="PVF125" s="751"/>
      <c r="PVG125" s="751"/>
      <c r="PVH125" s="751"/>
      <c r="PVI125" s="751"/>
      <c r="PVJ125" s="751"/>
      <c r="PVK125" s="751"/>
      <c r="PVL125" s="751"/>
      <c r="PVM125" s="751"/>
      <c r="PVN125" s="751"/>
      <c r="PVO125" s="751"/>
      <c r="PVP125" s="751"/>
      <c r="PVQ125" s="751"/>
      <c r="PVR125" s="751"/>
      <c r="PVS125" s="751"/>
      <c r="PVT125" s="751"/>
      <c r="PVU125" s="751"/>
      <c r="PVV125" s="751"/>
      <c r="PVW125" s="751"/>
      <c r="PVX125" s="751"/>
      <c r="PVY125" s="751"/>
      <c r="PVZ125" s="751"/>
      <c r="PWA125" s="751"/>
      <c r="PWB125" s="751"/>
      <c r="PWC125" s="751"/>
      <c r="PWD125" s="751"/>
      <c r="PWE125" s="751"/>
      <c r="PWF125" s="751"/>
      <c r="PWG125" s="751"/>
      <c r="PWH125" s="751"/>
      <c r="PWI125" s="751"/>
      <c r="PWJ125" s="751"/>
      <c r="PWK125" s="751"/>
      <c r="PWL125" s="751"/>
      <c r="PWM125" s="751"/>
      <c r="PWN125" s="751"/>
      <c r="PWO125" s="751"/>
      <c r="PWP125" s="751"/>
      <c r="PWQ125" s="751"/>
      <c r="PWR125" s="751"/>
      <c r="PWS125" s="751"/>
      <c r="PWT125" s="751"/>
      <c r="PWU125" s="751"/>
      <c r="PWV125" s="751"/>
      <c r="PWW125" s="751"/>
      <c r="PWX125" s="751"/>
      <c r="PWY125" s="751"/>
      <c r="PWZ125" s="751"/>
      <c r="PXA125" s="751"/>
      <c r="PXB125" s="751"/>
      <c r="PXC125" s="751"/>
      <c r="PXD125" s="751"/>
      <c r="PXE125" s="751"/>
      <c r="PXF125" s="751"/>
      <c r="PXG125" s="751"/>
      <c r="PXH125" s="751"/>
      <c r="PXI125" s="751"/>
      <c r="PXJ125" s="751"/>
      <c r="PXK125" s="751"/>
      <c r="PXL125" s="751"/>
      <c r="PXM125" s="751"/>
      <c r="PXN125" s="751"/>
      <c r="PXO125" s="751"/>
      <c r="PXP125" s="751"/>
      <c r="PXQ125" s="751"/>
      <c r="PXR125" s="751"/>
      <c r="PXS125" s="751"/>
      <c r="PXT125" s="751"/>
      <c r="PXU125" s="751"/>
      <c r="PXV125" s="751"/>
      <c r="PXW125" s="751"/>
      <c r="PXX125" s="751"/>
      <c r="PXY125" s="751"/>
      <c r="PXZ125" s="751"/>
      <c r="PYA125" s="751"/>
      <c r="PYB125" s="751"/>
      <c r="PYC125" s="751"/>
      <c r="PYD125" s="751"/>
      <c r="PYE125" s="751"/>
      <c r="PYF125" s="751"/>
      <c r="PYG125" s="751"/>
      <c r="PYH125" s="751"/>
      <c r="PYI125" s="751"/>
      <c r="PYJ125" s="751"/>
      <c r="PYK125" s="751"/>
      <c r="PYL125" s="751"/>
      <c r="PYM125" s="751"/>
      <c r="PYN125" s="751"/>
      <c r="PYO125" s="751"/>
      <c r="PYP125" s="751"/>
      <c r="PYQ125" s="751"/>
      <c r="PYR125" s="751"/>
      <c r="PYS125" s="751"/>
      <c r="PYT125" s="751"/>
      <c r="PYU125" s="751"/>
      <c r="PYV125" s="751"/>
      <c r="PYW125" s="751"/>
      <c r="PYX125" s="751"/>
      <c r="PYY125" s="751"/>
      <c r="PYZ125" s="751"/>
      <c r="PZA125" s="751"/>
      <c r="PZB125" s="751"/>
      <c r="PZC125" s="751"/>
      <c r="PZD125" s="751"/>
      <c r="PZE125" s="751"/>
      <c r="PZF125" s="751"/>
      <c r="PZG125" s="751"/>
      <c r="PZH125" s="751"/>
      <c r="PZI125" s="751"/>
      <c r="PZJ125" s="751"/>
      <c r="PZK125" s="751"/>
      <c r="PZL125" s="751"/>
      <c r="PZM125" s="751"/>
      <c r="PZN125" s="751"/>
      <c r="PZO125" s="751"/>
      <c r="PZP125" s="751"/>
      <c r="PZQ125" s="751"/>
      <c r="PZR125" s="751"/>
      <c r="PZS125" s="751"/>
      <c r="PZT125" s="751"/>
      <c r="PZU125" s="751"/>
      <c r="PZV125" s="751"/>
      <c r="PZW125" s="751"/>
      <c r="PZX125" s="751"/>
      <c r="PZY125" s="751"/>
      <c r="PZZ125" s="751"/>
      <c r="QAA125" s="751"/>
      <c r="QAB125" s="751"/>
      <c r="QAC125" s="751"/>
      <c r="QAD125" s="751"/>
      <c r="QAE125" s="751"/>
      <c r="QAF125" s="751"/>
      <c r="QAG125" s="751"/>
      <c r="QAH125" s="751"/>
      <c r="QAI125" s="751"/>
      <c r="QAJ125" s="751"/>
      <c r="QAK125" s="751"/>
      <c r="QAL125" s="751"/>
      <c r="QAM125" s="751"/>
      <c r="QAN125" s="751"/>
      <c r="QAO125" s="751"/>
      <c r="QAP125" s="751"/>
      <c r="QAQ125" s="751"/>
      <c r="QAR125" s="751"/>
      <c r="QAS125" s="751"/>
      <c r="QAT125" s="751"/>
      <c r="QAU125" s="751"/>
      <c r="QAV125" s="751"/>
      <c r="QAW125" s="751"/>
      <c r="QAX125" s="751"/>
      <c r="QAY125" s="751"/>
      <c r="QAZ125" s="751"/>
      <c r="QBA125" s="751"/>
      <c r="QBB125" s="751"/>
      <c r="QBC125" s="751"/>
      <c r="QBD125" s="751"/>
      <c r="QBE125" s="751"/>
      <c r="QBF125" s="751"/>
      <c r="QBG125" s="751"/>
      <c r="QBH125" s="751"/>
      <c r="QBI125" s="751"/>
      <c r="QBJ125" s="751"/>
      <c r="QBK125" s="751"/>
      <c r="QBL125" s="751"/>
      <c r="QBM125" s="751"/>
      <c r="QBN125" s="751"/>
      <c r="QBO125" s="751"/>
      <c r="QBP125" s="751"/>
      <c r="QBQ125" s="751"/>
      <c r="QBR125" s="751"/>
      <c r="QBS125" s="751"/>
      <c r="QBT125" s="751"/>
      <c r="QBU125" s="751"/>
      <c r="QBV125" s="751"/>
      <c r="QBW125" s="751"/>
      <c r="QBX125" s="751"/>
      <c r="QBY125" s="751"/>
      <c r="QBZ125" s="751"/>
      <c r="QCA125" s="751"/>
      <c r="QCB125" s="751"/>
      <c r="QCC125" s="751"/>
      <c r="QCD125" s="751"/>
      <c r="QCE125" s="751"/>
      <c r="QCF125" s="751"/>
      <c r="QCG125" s="751"/>
      <c r="QCH125" s="751"/>
      <c r="QCI125" s="751"/>
      <c r="QCJ125" s="751"/>
      <c r="QCK125" s="751"/>
      <c r="QCL125" s="751"/>
      <c r="QCM125" s="751"/>
      <c r="QCN125" s="751"/>
      <c r="QCO125" s="751"/>
      <c r="QCP125" s="751"/>
      <c r="QCQ125" s="751"/>
      <c r="QCR125" s="751"/>
      <c r="QCS125" s="751"/>
      <c r="QCT125" s="751"/>
      <c r="QCU125" s="751"/>
      <c r="QCV125" s="751"/>
      <c r="QCW125" s="751"/>
      <c r="QCX125" s="751"/>
      <c r="QCY125" s="751"/>
      <c r="QCZ125" s="751"/>
      <c r="QDA125" s="751"/>
      <c r="QDB125" s="751"/>
      <c r="QDC125" s="751"/>
      <c r="QDD125" s="751"/>
      <c r="QDE125" s="751"/>
      <c r="QDF125" s="751"/>
      <c r="QDG125" s="751"/>
      <c r="QDH125" s="751"/>
      <c r="QDI125" s="751"/>
      <c r="QDJ125" s="751"/>
      <c r="QDK125" s="751"/>
      <c r="QDL125" s="751"/>
      <c r="QDM125" s="751"/>
      <c r="QDN125" s="751"/>
      <c r="QDO125" s="751"/>
      <c r="QDP125" s="751"/>
      <c r="QDQ125" s="751"/>
      <c r="QDR125" s="751"/>
      <c r="QDS125" s="751"/>
      <c r="QDT125" s="751"/>
      <c r="QDU125" s="751"/>
      <c r="QDV125" s="751"/>
      <c r="QDW125" s="751"/>
      <c r="QDX125" s="751"/>
      <c r="QDY125" s="751"/>
      <c r="QDZ125" s="751"/>
      <c r="QEA125" s="751"/>
      <c r="QEB125" s="751"/>
      <c r="QEC125" s="751"/>
      <c r="QED125" s="751"/>
      <c r="QEE125" s="751"/>
      <c r="QEF125" s="751"/>
      <c r="QEG125" s="751"/>
      <c r="QEH125" s="751"/>
      <c r="QEI125" s="751"/>
      <c r="QEJ125" s="751"/>
      <c r="QEK125" s="751"/>
      <c r="QEL125" s="751"/>
      <c r="QEM125" s="751"/>
      <c r="QEN125" s="751"/>
      <c r="QEO125" s="751"/>
      <c r="QEP125" s="751"/>
      <c r="QEQ125" s="751"/>
      <c r="QER125" s="751"/>
      <c r="QES125" s="751"/>
      <c r="QET125" s="751"/>
      <c r="QEU125" s="751"/>
      <c r="QEV125" s="751"/>
      <c r="QEW125" s="751"/>
      <c r="QEX125" s="751"/>
      <c r="QEY125" s="751"/>
      <c r="QEZ125" s="751"/>
      <c r="QFA125" s="751"/>
      <c r="QFB125" s="751"/>
      <c r="QFC125" s="751"/>
      <c r="QFD125" s="751"/>
      <c r="QFE125" s="751"/>
      <c r="QFF125" s="751"/>
      <c r="QFG125" s="751"/>
      <c r="QFH125" s="751"/>
      <c r="QFI125" s="751"/>
      <c r="QFJ125" s="751"/>
      <c r="QFK125" s="751"/>
      <c r="QFL125" s="751"/>
      <c r="QFM125" s="751"/>
      <c r="QFN125" s="751"/>
      <c r="QFO125" s="751"/>
      <c r="QFP125" s="751"/>
      <c r="QFQ125" s="751"/>
      <c r="QFR125" s="751"/>
      <c r="QFS125" s="751"/>
      <c r="QFT125" s="751"/>
      <c r="QFU125" s="751"/>
      <c r="QFV125" s="751"/>
      <c r="QFW125" s="751"/>
      <c r="QFX125" s="751"/>
      <c r="QFY125" s="751"/>
      <c r="QFZ125" s="751"/>
      <c r="QGA125" s="751"/>
      <c r="QGB125" s="751"/>
      <c r="QGC125" s="751"/>
      <c r="QGD125" s="751"/>
      <c r="QGE125" s="751"/>
      <c r="QGF125" s="751"/>
      <c r="QGG125" s="751"/>
      <c r="QGH125" s="751"/>
      <c r="QGI125" s="751"/>
      <c r="QGJ125" s="751"/>
      <c r="QGK125" s="751"/>
      <c r="QGL125" s="751"/>
      <c r="QGM125" s="751"/>
      <c r="QGN125" s="751"/>
      <c r="QGO125" s="751"/>
      <c r="QGP125" s="751"/>
      <c r="QGQ125" s="751"/>
      <c r="QGR125" s="751"/>
      <c r="QGS125" s="751"/>
      <c r="QGT125" s="751"/>
      <c r="QGU125" s="751"/>
      <c r="QGV125" s="751"/>
      <c r="QGW125" s="751"/>
      <c r="QGX125" s="751"/>
      <c r="QGY125" s="751"/>
      <c r="QGZ125" s="751"/>
      <c r="QHA125" s="751"/>
      <c r="QHB125" s="751"/>
      <c r="QHC125" s="751"/>
      <c r="QHD125" s="751"/>
      <c r="QHE125" s="751"/>
      <c r="QHF125" s="751"/>
      <c r="QHG125" s="751"/>
      <c r="QHH125" s="751"/>
      <c r="QHI125" s="751"/>
      <c r="QHJ125" s="751"/>
      <c r="QHK125" s="751"/>
      <c r="QHL125" s="751"/>
      <c r="QHM125" s="751"/>
      <c r="QHN125" s="751"/>
      <c r="QHO125" s="751"/>
      <c r="QHP125" s="751"/>
      <c r="QHQ125" s="751"/>
      <c r="QHR125" s="751"/>
      <c r="QHS125" s="751"/>
      <c r="QHT125" s="751"/>
      <c r="QHU125" s="751"/>
      <c r="QHV125" s="751"/>
      <c r="QHW125" s="751"/>
      <c r="QHX125" s="751"/>
      <c r="QHY125" s="751"/>
      <c r="QHZ125" s="751"/>
      <c r="QIA125" s="751"/>
      <c r="QIB125" s="751"/>
      <c r="QIC125" s="751"/>
      <c r="QID125" s="751"/>
      <c r="QIE125" s="751"/>
      <c r="QIF125" s="751"/>
      <c r="QIG125" s="751"/>
      <c r="QIH125" s="751"/>
      <c r="QII125" s="751"/>
      <c r="QIJ125" s="751"/>
      <c r="QIK125" s="751"/>
      <c r="QIL125" s="751"/>
      <c r="QIM125" s="751"/>
      <c r="QIN125" s="751"/>
      <c r="QIO125" s="751"/>
      <c r="QIP125" s="751"/>
      <c r="QIQ125" s="751"/>
      <c r="QIR125" s="751"/>
      <c r="QIS125" s="751"/>
      <c r="QIT125" s="751"/>
      <c r="QIU125" s="751"/>
      <c r="QIV125" s="751"/>
      <c r="QIW125" s="751"/>
      <c r="QIX125" s="751"/>
      <c r="QIY125" s="751"/>
      <c r="QIZ125" s="751"/>
      <c r="QJA125" s="751"/>
      <c r="QJB125" s="751"/>
      <c r="QJC125" s="751"/>
      <c r="QJD125" s="751"/>
      <c r="QJE125" s="751"/>
      <c r="QJF125" s="751"/>
      <c r="QJG125" s="751"/>
      <c r="QJH125" s="751"/>
      <c r="QJI125" s="751"/>
      <c r="QJJ125" s="751"/>
      <c r="QJK125" s="751"/>
      <c r="QJL125" s="751"/>
      <c r="QJM125" s="751"/>
      <c r="QJN125" s="751"/>
      <c r="QJO125" s="751"/>
      <c r="QJP125" s="751"/>
      <c r="QJQ125" s="751"/>
      <c r="QJR125" s="751"/>
      <c r="QJS125" s="751"/>
      <c r="QJT125" s="751"/>
      <c r="QJU125" s="751"/>
      <c r="QJV125" s="751"/>
      <c r="QJW125" s="751"/>
      <c r="QJX125" s="751"/>
      <c r="QJY125" s="751"/>
      <c r="QJZ125" s="751"/>
      <c r="QKA125" s="751"/>
      <c r="QKB125" s="751"/>
      <c r="QKC125" s="751"/>
      <c r="QKD125" s="751"/>
      <c r="QKE125" s="751"/>
      <c r="QKF125" s="751"/>
      <c r="QKG125" s="751"/>
      <c r="QKH125" s="751"/>
      <c r="QKI125" s="751"/>
      <c r="QKJ125" s="751"/>
      <c r="QKK125" s="751"/>
      <c r="QKL125" s="751"/>
      <c r="QKM125" s="751"/>
      <c r="QKN125" s="751"/>
      <c r="QKO125" s="751"/>
      <c r="QKP125" s="751"/>
      <c r="QKQ125" s="751"/>
      <c r="QKR125" s="751"/>
      <c r="QKS125" s="751"/>
      <c r="QKT125" s="751"/>
      <c r="QKU125" s="751"/>
      <c r="QKV125" s="751"/>
      <c r="QKW125" s="751"/>
      <c r="QKX125" s="751"/>
      <c r="QKY125" s="751"/>
      <c r="QKZ125" s="751"/>
      <c r="QLA125" s="751"/>
      <c r="QLB125" s="751"/>
      <c r="QLC125" s="751"/>
      <c r="QLD125" s="751"/>
      <c r="QLE125" s="751"/>
      <c r="QLF125" s="751"/>
      <c r="QLG125" s="751"/>
      <c r="QLH125" s="751"/>
      <c r="QLI125" s="751"/>
      <c r="QLJ125" s="751"/>
      <c r="QLK125" s="751"/>
      <c r="QLL125" s="751"/>
      <c r="QLM125" s="751"/>
      <c r="QLN125" s="751"/>
      <c r="QLO125" s="751"/>
      <c r="QLP125" s="751"/>
      <c r="QLQ125" s="751"/>
      <c r="QLR125" s="751"/>
      <c r="QLS125" s="751"/>
      <c r="QLT125" s="751"/>
      <c r="QLU125" s="751"/>
      <c r="QLV125" s="751"/>
      <c r="QLW125" s="751"/>
      <c r="QLX125" s="751"/>
      <c r="QLY125" s="751"/>
      <c r="QLZ125" s="751"/>
      <c r="QMA125" s="751"/>
      <c r="QMB125" s="751"/>
      <c r="QMC125" s="751"/>
      <c r="QMD125" s="751"/>
      <c r="QME125" s="751"/>
      <c r="QMF125" s="751"/>
      <c r="QMG125" s="751"/>
      <c r="QMH125" s="751"/>
      <c r="QMI125" s="751"/>
      <c r="QMJ125" s="751"/>
      <c r="QMK125" s="751"/>
      <c r="QML125" s="751"/>
      <c r="QMM125" s="751"/>
      <c r="QMN125" s="751"/>
      <c r="QMO125" s="751"/>
      <c r="QMP125" s="751"/>
      <c r="QMQ125" s="751"/>
      <c r="QMR125" s="751"/>
      <c r="QMS125" s="751"/>
      <c r="QMT125" s="751"/>
      <c r="QMU125" s="751"/>
      <c r="QMV125" s="751"/>
      <c r="QMW125" s="751"/>
      <c r="QMX125" s="751"/>
      <c r="QMY125" s="751"/>
      <c r="QMZ125" s="751"/>
      <c r="QNA125" s="751"/>
      <c r="QNB125" s="751"/>
      <c r="QNC125" s="751"/>
      <c r="QND125" s="751"/>
      <c r="QNE125" s="751"/>
      <c r="QNF125" s="751"/>
      <c r="QNG125" s="751"/>
      <c r="QNH125" s="751"/>
      <c r="QNI125" s="751"/>
      <c r="QNJ125" s="751"/>
      <c r="QNK125" s="751"/>
      <c r="QNL125" s="751"/>
      <c r="QNM125" s="751"/>
      <c r="QNN125" s="751"/>
      <c r="QNO125" s="751"/>
      <c r="QNP125" s="751"/>
      <c r="QNQ125" s="751"/>
      <c r="QNR125" s="751"/>
      <c r="QNS125" s="751"/>
      <c r="QNT125" s="751"/>
      <c r="QNU125" s="751"/>
      <c r="QNV125" s="751"/>
      <c r="QNW125" s="751"/>
      <c r="QNX125" s="751"/>
      <c r="QNY125" s="751"/>
      <c r="QNZ125" s="751"/>
      <c r="QOA125" s="751"/>
      <c r="QOB125" s="751"/>
      <c r="QOC125" s="751"/>
      <c r="QOD125" s="751"/>
      <c r="QOE125" s="751"/>
      <c r="QOF125" s="751"/>
      <c r="QOG125" s="751"/>
      <c r="QOH125" s="751"/>
      <c r="QOI125" s="751"/>
      <c r="QOJ125" s="751"/>
      <c r="QOK125" s="751"/>
      <c r="QOL125" s="751"/>
      <c r="QOM125" s="751"/>
      <c r="QON125" s="751"/>
      <c r="QOO125" s="751"/>
      <c r="QOP125" s="751"/>
      <c r="QOQ125" s="751"/>
      <c r="QOR125" s="751"/>
      <c r="QOS125" s="751"/>
      <c r="QOT125" s="751"/>
      <c r="QOU125" s="751"/>
      <c r="QOV125" s="751"/>
      <c r="QOW125" s="751"/>
      <c r="QOX125" s="751"/>
      <c r="QOY125" s="751"/>
      <c r="QOZ125" s="751"/>
      <c r="QPA125" s="751"/>
      <c r="QPB125" s="751"/>
      <c r="QPC125" s="751"/>
      <c r="QPD125" s="751"/>
      <c r="QPE125" s="751"/>
      <c r="QPF125" s="751"/>
      <c r="QPG125" s="751"/>
      <c r="QPH125" s="751"/>
      <c r="QPI125" s="751"/>
      <c r="QPJ125" s="751"/>
      <c r="QPK125" s="751"/>
      <c r="QPL125" s="751"/>
      <c r="QPM125" s="751"/>
      <c r="QPN125" s="751"/>
      <c r="QPO125" s="751"/>
      <c r="QPP125" s="751"/>
      <c r="QPQ125" s="751"/>
      <c r="QPR125" s="751"/>
      <c r="QPS125" s="751"/>
      <c r="QPT125" s="751"/>
      <c r="QPU125" s="751"/>
      <c r="QPV125" s="751"/>
      <c r="QPW125" s="751"/>
      <c r="QPX125" s="751"/>
      <c r="QPY125" s="751"/>
      <c r="QPZ125" s="751"/>
      <c r="QQA125" s="751"/>
      <c r="QQB125" s="751"/>
      <c r="QQC125" s="751"/>
      <c r="QQD125" s="751"/>
      <c r="QQE125" s="751"/>
      <c r="QQF125" s="751"/>
      <c r="QQG125" s="751"/>
      <c r="QQH125" s="751"/>
      <c r="QQI125" s="751"/>
      <c r="QQJ125" s="751"/>
      <c r="QQK125" s="751"/>
      <c r="QQL125" s="751"/>
      <c r="QQM125" s="751"/>
      <c r="QQN125" s="751"/>
      <c r="QQO125" s="751"/>
      <c r="QQP125" s="751"/>
      <c r="QQQ125" s="751"/>
      <c r="QQR125" s="751"/>
      <c r="QQS125" s="751"/>
      <c r="QQT125" s="751"/>
      <c r="QQU125" s="751"/>
      <c r="QQV125" s="751"/>
      <c r="QQW125" s="751"/>
      <c r="QQX125" s="751"/>
      <c r="QQY125" s="751"/>
      <c r="QQZ125" s="751"/>
      <c r="QRA125" s="751"/>
      <c r="QRB125" s="751"/>
      <c r="QRC125" s="751"/>
      <c r="QRD125" s="751"/>
      <c r="QRE125" s="751"/>
      <c r="QRF125" s="751"/>
      <c r="QRG125" s="751"/>
      <c r="QRH125" s="751"/>
      <c r="QRI125" s="751"/>
      <c r="QRJ125" s="751"/>
      <c r="QRK125" s="751"/>
      <c r="QRL125" s="751"/>
      <c r="QRM125" s="751"/>
      <c r="QRN125" s="751"/>
      <c r="QRO125" s="751"/>
      <c r="QRP125" s="751"/>
      <c r="QRQ125" s="751"/>
      <c r="QRR125" s="751"/>
      <c r="QRS125" s="751"/>
      <c r="QRT125" s="751"/>
      <c r="QRU125" s="751"/>
      <c r="QRV125" s="751"/>
      <c r="QRW125" s="751"/>
      <c r="QRX125" s="751"/>
      <c r="QRY125" s="751"/>
      <c r="QRZ125" s="751"/>
      <c r="QSA125" s="751"/>
      <c r="QSB125" s="751"/>
      <c r="QSC125" s="751"/>
      <c r="QSD125" s="751"/>
      <c r="QSE125" s="751"/>
      <c r="QSF125" s="751"/>
      <c r="QSG125" s="751"/>
      <c r="QSH125" s="751"/>
      <c r="QSI125" s="751"/>
      <c r="QSJ125" s="751"/>
      <c r="QSK125" s="751"/>
      <c r="QSL125" s="751"/>
      <c r="QSM125" s="751"/>
      <c r="QSN125" s="751"/>
      <c r="QSO125" s="751"/>
      <c r="QSP125" s="751"/>
      <c r="QSQ125" s="751"/>
      <c r="QSR125" s="751"/>
      <c r="QSS125" s="751"/>
      <c r="QST125" s="751"/>
      <c r="QSU125" s="751"/>
      <c r="QSV125" s="751"/>
      <c r="QSW125" s="751"/>
      <c r="QSX125" s="751"/>
      <c r="QSY125" s="751"/>
      <c r="QSZ125" s="751"/>
      <c r="QTA125" s="751"/>
      <c r="QTB125" s="751"/>
      <c r="QTC125" s="751"/>
      <c r="QTD125" s="751"/>
      <c r="QTE125" s="751"/>
      <c r="QTF125" s="751"/>
      <c r="QTG125" s="751"/>
      <c r="QTH125" s="751"/>
      <c r="QTI125" s="751"/>
      <c r="QTJ125" s="751"/>
      <c r="QTK125" s="751"/>
      <c r="QTL125" s="751"/>
      <c r="QTM125" s="751"/>
      <c r="QTN125" s="751"/>
      <c r="QTO125" s="751"/>
      <c r="QTP125" s="751"/>
      <c r="QTQ125" s="751"/>
      <c r="QTR125" s="751"/>
      <c r="QTS125" s="751"/>
      <c r="QTT125" s="751"/>
      <c r="QTU125" s="751"/>
      <c r="QTV125" s="751"/>
      <c r="QTW125" s="751"/>
      <c r="QTX125" s="751"/>
      <c r="QTY125" s="751"/>
      <c r="QTZ125" s="751"/>
      <c r="QUA125" s="751"/>
      <c r="QUB125" s="751"/>
      <c r="QUC125" s="751"/>
      <c r="QUD125" s="751"/>
      <c r="QUE125" s="751"/>
      <c r="QUF125" s="751"/>
      <c r="QUG125" s="751"/>
      <c r="QUH125" s="751"/>
      <c r="QUI125" s="751"/>
      <c r="QUJ125" s="751"/>
      <c r="QUK125" s="751"/>
      <c r="QUL125" s="751"/>
      <c r="QUM125" s="751"/>
      <c r="QUN125" s="751"/>
      <c r="QUO125" s="751"/>
      <c r="QUP125" s="751"/>
      <c r="QUQ125" s="751"/>
      <c r="QUR125" s="751"/>
      <c r="QUS125" s="751"/>
      <c r="QUT125" s="751"/>
      <c r="QUU125" s="751"/>
      <c r="QUV125" s="751"/>
      <c r="QUW125" s="751"/>
      <c r="QUX125" s="751"/>
      <c r="QUY125" s="751"/>
      <c r="QUZ125" s="751"/>
      <c r="QVA125" s="751"/>
      <c r="QVB125" s="751"/>
      <c r="QVC125" s="751"/>
      <c r="QVD125" s="751"/>
      <c r="QVE125" s="751"/>
      <c r="QVF125" s="751"/>
      <c r="QVG125" s="751"/>
      <c r="QVH125" s="751"/>
      <c r="QVI125" s="751"/>
      <c r="QVJ125" s="751"/>
      <c r="QVK125" s="751"/>
      <c r="QVL125" s="751"/>
      <c r="QVM125" s="751"/>
      <c r="QVN125" s="751"/>
      <c r="QVO125" s="751"/>
      <c r="QVP125" s="751"/>
      <c r="QVQ125" s="751"/>
      <c r="QVR125" s="751"/>
      <c r="QVS125" s="751"/>
      <c r="QVT125" s="751"/>
      <c r="QVU125" s="751"/>
      <c r="QVV125" s="751"/>
      <c r="QVW125" s="751"/>
      <c r="QVX125" s="751"/>
      <c r="QVY125" s="751"/>
      <c r="QVZ125" s="751"/>
      <c r="QWA125" s="751"/>
      <c r="QWB125" s="751"/>
      <c r="QWC125" s="751"/>
      <c r="QWD125" s="751"/>
      <c r="QWE125" s="751"/>
      <c r="QWF125" s="751"/>
      <c r="QWG125" s="751"/>
      <c r="QWH125" s="751"/>
      <c r="QWI125" s="751"/>
      <c r="QWJ125" s="751"/>
      <c r="QWK125" s="751"/>
      <c r="QWL125" s="751"/>
      <c r="QWM125" s="751"/>
      <c r="QWN125" s="751"/>
      <c r="QWO125" s="751"/>
      <c r="QWP125" s="751"/>
      <c r="QWQ125" s="751"/>
      <c r="QWR125" s="751"/>
      <c r="QWS125" s="751"/>
      <c r="QWT125" s="751"/>
      <c r="QWU125" s="751"/>
      <c r="QWV125" s="751"/>
      <c r="QWW125" s="751"/>
      <c r="QWX125" s="751"/>
      <c r="QWY125" s="751"/>
      <c r="QWZ125" s="751"/>
      <c r="QXA125" s="751"/>
      <c r="QXB125" s="751"/>
      <c r="QXC125" s="751"/>
      <c r="QXD125" s="751"/>
      <c r="QXE125" s="751"/>
      <c r="QXF125" s="751"/>
      <c r="QXG125" s="751"/>
      <c r="QXH125" s="751"/>
      <c r="QXI125" s="751"/>
      <c r="QXJ125" s="751"/>
      <c r="QXK125" s="751"/>
      <c r="QXL125" s="751"/>
      <c r="QXM125" s="751"/>
      <c r="QXN125" s="751"/>
      <c r="QXO125" s="751"/>
      <c r="QXP125" s="751"/>
      <c r="QXQ125" s="751"/>
      <c r="QXR125" s="751"/>
      <c r="QXS125" s="751"/>
      <c r="QXT125" s="751"/>
      <c r="QXU125" s="751"/>
      <c r="QXV125" s="751"/>
      <c r="QXW125" s="751"/>
      <c r="QXX125" s="751"/>
      <c r="QXY125" s="751"/>
      <c r="QXZ125" s="751"/>
      <c r="QYA125" s="751"/>
      <c r="QYB125" s="751"/>
      <c r="QYC125" s="751"/>
      <c r="QYD125" s="751"/>
      <c r="QYE125" s="751"/>
      <c r="QYF125" s="751"/>
      <c r="QYG125" s="751"/>
      <c r="QYH125" s="751"/>
      <c r="QYI125" s="751"/>
      <c r="QYJ125" s="751"/>
      <c r="QYK125" s="751"/>
      <c r="QYL125" s="751"/>
      <c r="QYM125" s="751"/>
      <c r="QYN125" s="751"/>
      <c r="QYO125" s="751"/>
      <c r="QYP125" s="751"/>
      <c r="QYQ125" s="751"/>
      <c r="QYR125" s="751"/>
      <c r="QYS125" s="751"/>
      <c r="QYT125" s="751"/>
      <c r="QYU125" s="751"/>
      <c r="QYV125" s="751"/>
      <c r="QYW125" s="751"/>
      <c r="QYX125" s="751"/>
      <c r="QYY125" s="751"/>
      <c r="QYZ125" s="751"/>
      <c r="QZA125" s="751"/>
      <c r="QZB125" s="751"/>
      <c r="QZC125" s="751"/>
      <c r="QZD125" s="751"/>
      <c r="QZE125" s="751"/>
      <c r="QZF125" s="751"/>
      <c r="QZG125" s="751"/>
      <c r="QZH125" s="751"/>
      <c r="QZI125" s="751"/>
      <c r="QZJ125" s="751"/>
      <c r="QZK125" s="751"/>
      <c r="QZL125" s="751"/>
      <c r="QZM125" s="751"/>
      <c r="QZN125" s="751"/>
      <c r="QZO125" s="751"/>
      <c r="QZP125" s="751"/>
      <c r="QZQ125" s="751"/>
      <c r="QZR125" s="751"/>
      <c r="QZS125" s="751"/>
      <c r="QZT125" s="751"/>
      <c r="QZU125" s="751"/>
      <c r="QZV125" s="751"/>
      <c r="QZW125" s="751"/>
      <c r="QZX125" s="751"/>
      <c r="QZY125" s="751"/>
      <c r="QZZ125" s="751"/>
      <c r="RAA125" s="751"/>
      <c r="RAB125" s="751"/>
      <c r="RAC125" s="751"/>
      <c r="RAD125" s="751"/>
      <c r="RAE125" s="751"/>
      <c r="RAF125" s="751"/>
      <c r="RAG125" s="751"/>
      <c r="RAH125" s="751"/>
      <c r="RAI125" s="751"/>
      <c r="RAJ125" s="751"/>
      <c r="RAK125" s="751"/>
      <c r="RAL125" s="751"/>
      <c r="RAM125" s="751"/>
      <c r="RAN125" s="751"/>
      <c r="RAO125" s="751"/>
      <c r="RAP125" s="751"/>
      <c r="RAQ125" s="751"/>
      <c r="RAR125" s="751"/>
      <c r="RAS125" s="751"/>
      <c r="RAT125" s="751"/>
      <c r="RAU125" s="751"/>
      <c r="RAV125" s="751"/>
      <c r="RAW125" s="751"/>
      <c r="RAX125" s="751"/>
      <c r="RAY125" s="751"/>
      <c r="RAZ125" s="751"/>
      <c r="RBA125" s="751"/>
      <c r="RBB125" s="751"/>
      <c r="RBC125" s="751"/>
      <c r="RBD125" s="751"/>
      <c r="RBE125" s="751"/>
      <c r="RBF125" s="751"/>
      <c r="RBG125" s="751"/>
      <c r="RBH125" s="751"/>
      <c r="RBI125" s="751"/>
      <c r="RBJ125" s="751"/>
      <c r="RBK125" s="751"/>
      <c r="RBL125" s="751"/>
      <c r="RBM125" s="751"/>
      <c r="RBN125" s="751"/>
      <c r="RBO125" s="751"/>
      <c r="RBP125" s="751"/>
      <c r="RBQ125" s="751"/>
      <c r="RBR125" s="751"/>
      <c r="RBS125" s="751"/>
      <c r="RBT125" s="751"/>
      <c r="RBU125" s="751"/>
      <c r="RBV125" s="751"/>
      <c r="RBW125" s="751"/>
      <c r="RBX125" s="751"/>
      <c r="RBY125" s="751"/>
      <c r="RBZ125" s="751"/>
      <c r="RCA125" s="751"/>
      <c r="RCB125" s="751"/>
      <c r="RCC125" s="751"/>
      <c r="RCD125" s="751"/>
      <c r="RCE125" s="751"/>
      <c r="RCF125" s="751"/>
      <c r="RCG125" s="751"/>
      <c r="RCH125" s="751"/>
      <c r="RCI125" s="751"/>
      <c r="RCJ125" s="751"/>
      <c r="RCK125" s="751"/>
      <c r="RCL125" s="751"/>
      <c r="RCM125" s="751"/>
      <c r="RCN125" s="751"/>
      <c r="RCO125" s="751"/>
      <c r="RCP125" s="751"/>
      <c r="RCQ125" s="751"/>
      <c r="RCR125" s="751"/>
      <c r="RCS125" s="751"/>
      <c r="RCT125" s="751"/>
      <c r="RCU125" s="751"/>
      <c r="RCV125" s="751"/>
      <c r="RCW125" s="751"/>
      <c r="RCX125" s="751"/>
      <c r="RCY125" s="751"/>
      <c r="RCZ125" s="751"/>
      <c r="RDA125" s="751"/>
      <c r="RDB125" s="751"/>
      <c r="RDC125" s="751"/>
      <c r="RDD125" s="751"/>
      <c r="RDE125" s="751"/>
      <c r="RDF125" s="751"/>
      <c r="RDG125" s="751"/>
      <c r="RDH125" s="751"/>
      <c r="RDI125" s="751"/>
      <c r="RDJ125" s="751"/>
      <c r="RDK125" s="751"/>
      <c r="RDL125" s="751"/>
      <c r="RDM125" s="751"/>
      <c r="RDN125" s="751"/>
      <c r="RDO125" s="751"/>
      <c r="RDP125" s="751"/>
      <c r="RDQ125" s="751"/>
      <c r="RDR125" s="751"/>
      <c r="RDS125" s="751"/>
      <c r="RDT125" s="751"/>
      <c r="RDU125" s="751"/>
      <c r="RDV125" s="751"/>
      <c r="RDW125" s="751"/>
      <c r="RDX125" s="751"/>
      <c r="RDY125" s="751"/>
      <c r="RDZ125" s="751"/>
      <c r="REA125" s="751"/>
      <c r="REB125" s="751"/>
      <c r="REC125" s="751"/>
      <c r="RED125" s="751"/>
      <c r="REE125" s="751"/>
      <c r="REF125" s="751"/>
      <c r="REG125" s="751"/>
      <c r="REH125" s="751"/>
      <c r="REI125" s="751"/>
      <c r="REJ125" s="751"/>
      <c r="REK125" s="751"/>
      <c r="REL125" s="751"/>
      <c r="REM125" s="751"/>
      <c r="REN125" s="751"/>
      <c r="REO125" s="751"/>
      <c r="REP125" s="751"/>
      <c r="REQ125" s="751"/>
      <c r="RER125" s="751"/>
      <c r="RES125" s="751"/>
      <c r="RET125" s="751"/>
      <c r="REU125" s="751"/>
      <c r="REV125" s="751"/>
      <c r="REW125" s="751"/>
      <c r="REX125" s="751"/>
      <c r="REY125" s="751"/>
      <c r="REZ125" s="751"/>
      <c r="RFA125" s="751"/>
      <c r="RFB125" s="751"/>
      <c r="RFC125" s="751"/>
      <c r="RFD125" s="751"/>
      <c r="RFE125" s="751"/>
      <c r="RFF125" s="751"/>
      <c r="RFG125" s="751"/>
      <c r="RFH125" s="751"/>
      <c r="RFI125" s="751"/>
      <c r="RFJ125" s="751"/>
      <c r="RFK125" s="751"/>
      <c r="RFL125" s="751"/>
      <c r="RFM125" s="751"/>
      <c r="RFN125" s="751"/>
      <c r="RFO125" s="751"/>
      <c r="RFP125" s="751"/>
      <c r="RFQ125" s="751"/>
      <c r="RFR125" s="751"/>
      <c r="RFS125" s="751"/>
      <c r="RFT125" s="751"/>
      <c r="RFU125" s="751"/>
      <c r="RFV125" s="751"/>
      <c r="RFW125" s="751"/>
      <c r="RFX125" s="751"/>
      <c r="RFY125" s="751"/>
      <c r="RFZ125" s="751"/>
      <c r="RGA125" s="751"/>
      <c r="RGB125" s="751"/>
      <c r="RGC125" s="751"/>
      <c r="RGD125" s="751"/>
      <c r="RGE125" s="751"/>
      <c r="RGF125" s="751"/>
      <c r="RGG125" s="751"/>
      <c r="RGH125" s="751"/>
      <c r="RGI125" s="751"/>
      <c r="RGJ125" s="751"/>
      <c r="RGK125" s="751"/>
      <c r="RGL125" s="751"/>
      <c r="RGM125" s="751"/>
      <c r="RGN125" s="751"/>
      <c r="RGO125" s="751"/>
      <c r="RGP125" s="751"/>
      <c r="RGQ125" s="751"/>
      <c r="RGR125" s="751"/>
      <c r="RGS125" s="751"/>
      <c r="RGT125" s="751"/>
      <c r="RGU125" s="751"/>
      <c r="RGV125" s="751"/>
      <c r="RGW125" s="751"/>
      <c r="RGX125" s="751"/>
      <c r="RGY125" s="751"/>
      <c r="RGZ125" s="751"/>
      <c r="RHA125" s="751"/>
      <c r="RHB125" s="751"/>
      <c r="RHC125" s="751"/>
      <c r="RHD125" s="751"/>
      <c r="RHE125" s="751"/>
      <c r="RHF125" s="751"/>
      <c r="RHG125" s="751"/>
      <c r="RHH125" s="751"/>
      <c r="RHI125" s="751"/>
      <c r="RHJ125" s="751"/>
      <c r="RHK125" s="751"/>
      <c r="RHL125" s="751"/>
      <c r="RHM125" s="751"/>
      <c r="RHN125" s="751"/>
      <c r="RHO125" s="751"/>
      <c r="RHP125" s="751"/>
      <c r="RHQ125" s="751"/>
      <c r="RHR125" s="751"/>
      <c r="RHS125" s="751"/>
      <c r="RHT125" s="751"/>
      <c r="RHU125" s="751"/>
      <c r="RHV125" s="751"/>
      <c r="RHW125" s="751"/>
      <c r="RHX125" s="751"/>
      <c r="RHY125" s="751"/>
      <c r="RHZ125" s="751"/>
      <c r="RIA125" s="751"/>
      <c r="RIB125" s="751"/>
      <c r="RIC125" s="751"/>
      <c r="RID125" s="751"/>
      <c r="RIE125" s="751"/>
      <c r="RIF125" s="751"/>
      <c r="RIG125" s="751"/>
      <c r="RIH125" s="751"/>
      <c r="RII125" s="751"/>
      <c r="RIJ125" s="751"/>
      <c r="RIK125" s="751"/>
      <c r="RIL125" s="751"/>
      <c r="RIM125" s="751"/>
      <c r="RIN125" s="751"/>
      <c r="RIO125" s="751"/>
      <c r="RIP125" s="751"/>
      <c r="RIQ125" s="751"/>
      <c r="RIR125" s="751"/>
      <c r="RIS125" s="751"/>
      <c r="RIT125" s="751"/>
      <c r="RIU125" s="751"/>
      <c r="RIV125" s="751"/>
      <c r="RIW125" s="751"/>
      <c r="RIX125" s="751"/>
      <c r="RIY125" s="751"/>
      <c r="RIZ125" s="751"/>
      <c r="RJA125" s="751"/>
      <c r="RJB125" s="751"/>
      <c r="RJC125" s="751"/>
      <c r="RJD125" s="751"/>
      <c r="RJE125" s="751"/>
      <c r="RJF125" s="751"/>
      <c r="RJG125" s="751"/>
      <c r="RJH125" s="751"/>
      <c r="RJI125" s="751"/>
      <c r="RJJ125" s="751"/>
      <c r="RJK125" s="751"/>
      <c r="RJL125" s="751"/>
      <c r="RJM125" s="751"/>
      <c r="RJN125" s="751"/>
      <c r="RJO125" s="751"/>
      <c r="RJP125" s="751"/>
      <c r="RJQ125" s="751"/>
      <c r="RJR125" s="751"/>
      <c r="RJS125" s="751"/>
      <c r="RJT125" s="751"/>
      <c r="RJU125" s="751"/>
      <c r="RJV125" s="751"/>
      <c r="RJW125" s="751"/>
      <c r="RJX125" s="751"/>
      <c r="RJY125" s="751"/>
      <c r="RJZ125" s="751"/>
      <c r="RKA125" s="751"/>
      <c r="RKB125" s="751"/>
      <c r="RKC125" s="751"/>
      <c r="RKD125" s="751"/>
      <c r="RKE125" s="751"/>
      <c r="RKF125" s="751"/>
      <c r="RKG125" s="751"/>
      <c r="RKH125" s="751"/>
      <c r="RKI125" s="751"/>
      <c r="RKJ125" s="751"/>
      <c r="RKK125" s="751"/>
      <c r="RKL125" s="751"/>
      <c r="RKM125" s="751"/>
      <c r="RKN125" s="751"/>
      <c r="RKO125" s="751"/>
      <c r="RKP125" s="751"/>
      <c r="RKQ125" s="751"/>
      <c r="RKR125" s="751"/>
      <c r="RKS125" s="751"/>
      <c r="RKT125" s="751"/>
      <c r="RKU125" s="751"/>
      <c r="RKV125" s="751"/>
      <c r="RKW125" s="751"/>
      <c r="RKX125" s="751"/>
      <c r="RKY125" s="751"/>
      <c r="RKZ125" s="751"/>
      <c r="RLA125" s="751"/>
      <c r="RLB125" s="751"/>
      <c r="RLC125" s="751"/>
      <c r="RLD125" s="751"/>
      <c r="RLE125" s="751"/>
      <c r="RLF125" s="751"/>
      <c r="RLG125" s="751"/>
      <c r="RLH125" s="751"/>
      <c r="RLI125" s="751"/>
      <c r="RLJ125" s="751"/>
      <c r="RLK125" s="751"/>
      <c r="RLL125" s="751"/>
      <c r="RLM125" s="751"/>
      <c r="RLN125" s="751"/>
      <c r="RLO125" s="751"/>
      <c r="RLP125" s="751"/>
      <c r="RLQ125" s="751"/>
      <c r="RLR125" s="751"/>
      <c r="RLS125" s="751"/>
      <c r="RLT125" s="751"/>
      <c r="RLU125" s="751"/>
      <c r="RLV125" s="751"/>
      <c r="RLW125" s="751"/>
      <c r="RLX125" s="751"/>
      <c r="RLY125" s="751"/>
      <c r="RLZ125" s="751"/>
      <c r="RMA125" s="751"/>
      <c r="RMB125" s="751"/>
      <c r="RMC125" s="751"/>
      <c r="RMD125" s="751"/>
      <c r="RME125" s="751"/>
      <c r="RMF125" s="751"/>
      <c r="RMG125" s="751"/>
      <c r="RMH125" s="751"/>
      <c r="RMI125" s="751"/>
      <c r="RMJ125" s="751"/>
      <c r="RMK125" s="751"/>
      <c r="RML125" s="751"/>
      <c r="RMM125" s="751"/>
      <c r="RMN125" s="751"/>
      <c r="RMO125" s="751"/>
      <c r="RMP125" s="751"/>
      <c r="RMQ125" s="751"/>
      <c r="RMR125" s="751"/>
      <c r="RMS125" s="751"/>
      <c r="RMT125" s="751"/>
      <c r="RMU125" s="751"/>
      <c r="RMV125" s="751"/>
      <c r="RMW125" s="751"/>
      <c r="RMX125" s="751"/>
      <c r="RMY125" s="751"/>
      <c r="RMZ125" s="751"/>
      <c r="RNA125" s="751"/>
      <c r="RNB125" s="751"/>
      <c r="RNC125" s="751"/>
      <c r="RND125" s="751"/>
      <c r="RNE125" s="751"/>
      <c r="RNF125" s="751"/>
      <c r="RNG125" s="751"/>
      <c r="RNH125" s="751"/>
      <c r="RNI125" s="751"/>
      <c r="RNJ125" s="751"/>
      <c r="RNK125" s="751"/>
      <c r="RNL125" s="751"/>
      <c r="RNM125" s="751"/>
      <c r="RNN125" s="751"/>
      <c r="RNO125" s="751"/>
      <c r="RNP125" s="751"/>
      <c r="RNQ125" s="751"/>
      <c r="RNR125" s="751"/>
      <c r="RNS125" s="751"/>
      <c r="RNT125" s="751"/>
      <c r="RNU125" s="751"/>
      <c r="RNV125" s="751"/>
      <c r="RNW125" s="751"/>
      <c r="RNX125" s="751"/>
      <c r="RNY125" s="751"/>
      <c r="RNZ125" s="751"/>
      <c r="ROA125" s="751"/>
      <c r="ROB125" s="751"/>
      <c r="ROC125" s="751"/>
      <c r="ROD125" s="751"/>
      <c r="ROE125" s="751"/>
      <c r="ROF125" s="751"/>
      <c r="ROG125" s="751"/>
      <c r="ROH125" s="751"/>
      <c r="ROI125" s="751"/>
      <c r="ROJ125" s="751"/>
      <c r="ROK125" s="751"/>
      <c r="ROL125" s="751"/>
      <c r="ROM125" s="751"/>
      <c r="RON125" s="751"/>
      <c r="ROO125" s="751"/>
      <c r="ROP125" s="751"/>
      <c r="ROQ125" s="751"/>
      <c r="ROR125" s="751"/>
      <c r="ROS125" s="751"/>
      <c r="ROT125" s="751"/>
      <c r="ROU125" s="751"/>
      <c r="ROV125" s="751"/>
      <c r="ROW125" s="751"/>
      <c r="ROX125" s="751"/>
      <c r="ROY125" s="751"/>
      <c r="ROZ125" s="751"/>
      <c r="RPA125" s="751"/>
      <c r="RPB125" s="751"/>
      <c r="RPC125" s="751"/>
      <c r="RPD125" s="751"/>
      <c r="RPE125" s="751"/>
      <c r="RPF125" s="751"/>
      <c r="RPG125" s="751"/>
      <c r="RPH125" s="751"/>
      <c r="RPI125" s="751"/>
      <c r="RPJ125" s="751"/>
      <c r="RPK125" s="751"/>
      <c r="RPL125" s="751"/>
      <c r="RPM125" s="751"/>
      <c r="RPN125" s="751"/>
      <c r="RPO125" s="751"/>
      <c r="RPP125" s="751"/>
      <c r="RPQ125" s="751"/>
      <c r="RPR125" s="751"/>
      <c r="RPS125" s="751"/>
      <c r="RPT125" s="751"/>
      <c r="RPU125" s="751"/>
      <c r="RPV125" s="751"/>
      <c r="RPW125" s="751"/>
      <c r="RPX125" s="751"/>
      <c r="RPY125" s="751"/>
      <c r="RPZ125" s="751"/>
      <c r="RQA125" s="751"/>
      <c r="RQB125" s="751"/>
      <c r="RQC125" s="751"/>
      <c r="RQD125" s="751"/>
      <c r="RQE125" s="751"/>
      <c r="RQF125" s="751"/>
      <c r="RQG125" s="751"/>
      <c r="RQH125" s="751"/>
      <c r="RQI125" s="751"/>
      <c r="RQJ125" s="751"/>
      <c r="RQK125" s="751"/>
      <c r="RQL125" s="751"/>
      <c r="RQM125" s="751"/>
      <c r="RQN125" s="751"/>
      <c r="RQO125" s="751"/>
      <c r="RQP125" s="751"/>
      <c r="RQQ125" s="751"/>
      <c r="RQR125" s="751"/>
      <c r="RQS125" s="751"/>
      <c r="RQT125" s="751"/>
      <c r="RQU125" s="751"/>
      <c r="RQV125" s="751"/>
      <c r="RQW125" s="751"/>
      <c r="RQX125" s="751"/>
      <c r="RQY125" s="751"/>
      <c r="RQZ125" s="751"/>
      <c r="RRA125" s="751"/>
      <c r="RRB125" s="751"/>
      <c r="RRC125" s="751"/>
      <c r="RRD125" s="751"/>
      <c r="RRE125" s="751"/>
      <c r="RRF125" s="751"/>
      <c r="RRG125" s="751"/>
      <c r="RRH125" s="751"/>
      <c r="RRI125" s="751"/>
      <c r="RRJ125" s="751"/>
      <c r="RRK125" s="751"/>
      <c r="RRL125" s="751"/>
      <c r="RRM125" s="751"/>
      <c r="RRN125" s="751"/>
      <c r="RRO125" s="751"/>
      <c r="RRP125" s="751"/>
      <c r="RRQ125" s="751"/>
      <c r="RRR125" s="751"/>
      <c r="RRS125" s="751"/>
      <c r="RRT125" s="751"/>
      <c r="RRU125" s="751"/>
      <c r="RRV125" s="751"/>
      <c r="RRW125" s="751"/>
      <c r="RRX125" s="751"/>
      <c r="RRY125" s="751"/>
      <c r="RRZ125" s="751"/>
      <c r="RSA125" s="751"/>
      <c r="RSB125" s="751"/>
      <c r="RSC125" s="751"/>
      <c r="RSD125" s="751"/>
      <c r="RSE125" s="751"/>
      <c r="RSF125" s="751"/>
      <c r="RSG125" s="751"/>
      <c r="RSH125" s="751"/>
      <c r="RSI125" s="751"/>
      <c r="RSJ125" s="751"/>
      <c r="RSK125" s="751"/>
      <c r="RSL125" s="751"/>
      <c r="RSM125" s="751"/>
      <c r="RSN125" s="751"/>
      <c r="RSO125" s="751"/>
      <c r="RSP125" s="751"/>
      <c r="RSQ125" s="751"/>
      <c r="RSR125" s="751"/>
      <c r="RSS125" s="751"/>
      <c r="RST125" s="751"/>
      <c r="RSU125" s="751"/>
      <c r="RSV125" s="751"/>
      <c r="RSW125" s="751"/>
      <c r="RSX125" s="751"/>
      <c r="RSY125" s="751"/>
      <c r="RSZ125" s="751"/>
      <c r="RTA125" s="751"/>
      <c r="RTB125" s="751"/>
      <c r="RTC125" s="751"/>
      <c r="RTD125" s="751"/>
      <c r="RTE125" s="751"/>
      <c r="RTF125" s="751"/>
      <c r="RTG125" s="751"/>
      <c r="RTH125" s="751"/>
      <c r="RTI125" s="751"/>
      <c r="RTJ125" s="751"/>
      <c r="RTK125" s="751"/>
      <c r="RTL125" s="751"/>
      <c r="RTM125" s="751"/>
      <c r="RTN125" s="751"/>
      <c r="RTO125" s="751"/>
      <c r="RTP125" s="751"/>
      <c r="RTQ125" s="751"/>
      <c r="RTR125" s="751"/>
      <c r="RTS125" s="751"/>
      <c r="RTT125" s="751"/>
      <c r="RTU125" s="751"/>
      <c r="RTV125" s="751"/>
      <c r="RTW125" s="751"/>
      <c r="RTX125" s="751"/>
      <c r="RTY125" s="751"/>
      <c r="RTZ125" s="751"/>
      <c r="RUA125" s="751"/>
      <c r="RUB125" s="751"/>
      <c r="RUC125" s="751"/>
      <c r="RUD125" s="751"/>
      <c r="RUE125" s="751"/>
      <c r="RUF125" s="751"/>
      <c r="RUG125" s="751"/>
      <c r="RUH125" s="751"/>
      <c r="RUI125" s="751"/>
      <c r="RUJ125" s="751"/>
      <c r="RUK125" s="751"/>
      <c r="RUL125" s="751"/>
      <c r="RUM125" s="751"/>
      <c r="RUN125" s="751"/>
      <c r="RUO125" s="751"/>
      <c r="RUP125" s="751"/>
      <c r="RUQ125" s="751"/>
      <c r="RUR125" s="751"/>
      <c r="RUS125" s="751"/>
      <c r="RUT125" s="751"/>
      <c r="RUU125" s="751"/>
      <c r="RUV125" s="751"/>
      <c r="RUW125" s="751"/>
      <c r="RUX125" s="751"/>
      <c r="RUY125" s="751"/>
      <c r="RUZ125" s="751"/>
      <c r="RVA125" s="751"/>
      <c r="RVB125" s="751"/>
      <c r="RVC125" s="751"/>
      <c r="RVD125" s="751"/>
      <c r="RVE125" s="751"/>
      <c r="RVF125" s="751"/>
      <c r="RVG125" s="751"/>
      <c r="RVH125" s="751"/>
      <c r="RVI125" s="751"/>
      <c r="RVJ125" s="751"/>
      <c r="RVK125" s="751"/>
      <c r="RVL125" s="751"/>
      <c r="RVM125" s="751"/>
      <c r="RVN125" s="751"/>
      <c r="RVO125" s="751"/>
      <c r="RVP125" s="751"/>
      <c r="RVQ125" s="751"/>
      <c r="RVR125" s="751"/>
      <c r="RVS125" s="751"/>
      <c r="RVT125" s="751"/>
      <c r="RVU125" s="751"/>
      <c r="RVV125" s="751"/>
      <c r="RVW125" s="751"/>
      <c r="RVX125" s="751"/>
      <c r="RVY125" s="751"/>
      <c r="RVZ125" s="751"/>
      <c r="RWA125" s="751"/>
      <c r="RWB125" s="751"/>
      <c r="RWC125" s="751"/>
      <c r="RWD125" s="751"/>
      <c r="RWE125" s="751"/>
      <c r="RWF125" s="751"/>
      <c r="RWG125" s="751"/>
      <c r="RWH125" s="751"/>
      <c r="RWI125" s="751"/>
      <c r="RWJ125" s="751"/>
      <c r="RWK125" s="751"/>
      <c r="RWL125" s="751"/>
      <c r="RWM125" s="751"/>
      <c r="RWN125" s="751"/>
      <c r="RWO125" s="751"/>
      <c r="RWP125" s="751"/>
      <c r="RWQ125" s="751"/>
      <c r="RWR125" s="751"/>
      <c r="RWS125" s="751"/>
      <c r="RWT125" s="751"/>
      <c r="RWU125" s="751"/>
      <c r="RWV125" s="751"/>
      <c r="RWW125" s="751"/>
      <c r="RWX125" s="751"/>
      <c r="RWY125" s="751"/>
      <c r="RWZ125" s="751"/>
      <c r="RXA125" s="751"/>
      <c r="RXB125" s="751"/>
      <c r="RXC125" s="751"/>
      <c r="RXD125" s="751"/>
      <c r="RXE125" s="751"/>
      <c r="RXF125" s="751"/>
      <c r="RXG125" s="751"/>
      <c r="RXH125" s="751"/>
      <c r="RXI125" s="751"/>
      <c r="RXJ125" s="751"/>
      <c r="RXK125" s="751"/>
      <c r="RXL125" s="751"/>
      <c r="RXM125" s="751"/>
      <c r="RXN125" s="751"/>
      <c r="RXO125" s="751"/>
      <c r="RXP125" s="751"/>
      <c r="RXQ125" s="751"/>
      <c r="RXR125" s="751"/>
      <c r="RXS125" s="751"/>
      <c r="RXT125" s="751"/>
      <c r="RXU125" s="751"/>
      <c r="RXV125" s="751"/>
      <c r="RXW125" s="751"/>
      <c r="RXX125" s="751"/>
      <c r="RXY125" s="751"/>
      <c r="RXZ125" s="751"/>
      <c r="RYA125" s="751"/>
      <c r="RYB125" s="751"/>
      <c r="RYC125" s="751"/>
      <c r="RYD125" s="751"/>
      <c r="RYE125" s="751"/>
      <c r="RYF125" s="751"/>
      <c r="RYG125" s="751"/>
      <c r="RYH125" s="751"/>
      <c r="RYI125" s="751"/>
      <c r="RYJ125" s="751"/>
      <c r="RYK125" s="751"/>
      <c r="RYL125" s="751"/>
      <c r="RYM125" s="751"/>
      <c r="RYN125" s="751"/>
      <c r="RYO125" s="751"/>
      <c r="RYP125" s="751"/>
      <c r="RYQ125" s="751"/>
      <c r="RYR125" s="751"/>
      <c r="RYS125" s="751"/>
      <c r="RYT125" s="751"/>
      <c r="RYU125" s="751"/>
      <c r="RYV125" s="751"/>
      <c r="RYW125" s="751"/>
      <c r="RYX125" s="751"/>
      <c r="RYY125" s="751"/>
      <c r="RYZ125" s="751"/>
      <c r="RZA125" s="751"/>
      <c r="RZB125" s="751"/>
      <c r="RZC125" s="751"/>
      <c r="RZD125" s="751"/>
      <c r="RZE125" s="751"/>
      <c r="RZF125" s="751"/>
      <c r="RZG125" s="751"/>
      <c r="RZH125" s="751"/>
      <c r="RZI125" s="751"/>
      <c r="RZJ125" s="751"/>
      <c r="RZK125" s="751"/>
      <c r="RZL125" s="751"/>
      <c r="RZM125" s="751"/>
      <c r="RZN125" s="751"/>
      <c r="RZO125" s="751"/>
      <c r="RZP125" s="751"/>
      <c r="RZQ125" s="751"/>
      <c r="RZR125" s="751"/>
      <c r="RZS125" s="751"/>
      <c r="RZT125" s="751"/>
      <c r="RZU125" s="751"/>
      <c r="RZV125" s="751"/>
      <c r="RZW125" s="751"/>
      <c r="RZX125" s="751"/>
      <c r="RZY125" s="751"/>
      <c r="RZZ125" s="751"/>
      <c r="SAA125" s="751"/>
      <c r="SAB125" s="751"/>
      <c r="SAC125" s="751"/>
      <c r="SAD125" s="751"/>
      <c r="SAE125" s="751"/>
      <c r="SAF125" s="751"/>
      <c r="SAG125" s="751"/>
      <c r="SAH125" s="751"/>
      <c r="SAI125" s="751"/>
      <c r="SAJ125" s="751"/>
      <c r="SAK125" s="751"/>
      <c r="SAL125" s="751"/>
      <c r="SAM125" s="751"/>
      <c r="SAN125" s="751"/>
      <c r="SAO125" s="751"/>
      <c r="SAP125" s="751"/>
      <c r="SAQ125" s="751"/>
      <c r="SAR125" s="751"/>
      <c r="SAS125" s="751"/>
      <c r="SAT125" s="751"/>
      <c r="SAU125" s="751"/>
      <c r="SAV125" s="751"/>
      <c r="SAW125" s="751"/>
      <c r="SAX125" s="751"/>
      <c r="SAY125" s="751"/>
      <c r="SAZ125" s="751"/>
      <c r="SBA125" s="751"/>
      <c r="SBB125" s="751"/>
      <c r="SBC125" s="751"/>
      <c r="SBD125" s="751"/>
      <c r="SBE125" s="751"/>
      <c r="SBF125" s="751"/>
      <c r="SBG125" s="751"/>
      <c r="SBH125" s="751"/>
      <c r="SBI125" s="751"/>
      <c r="SBJ125" s="751"/>
      <c r="SBK125" s="751"/>
      <c r="SBL125" s="751"/>
      <c r="SBM125" s="751"/>
      <c r="SBN125" s="751"/>
      <c r="SBO125" s="751"/>
      <c r="SBP125" s="751"/>
      <c r="SBQ125" s="751"/>
      <c r="SBR125" s="751"/>
      <c r="SBS125" s="751"/>
      <c r="SBT125" s="751"/>
      <c r="SBU125" s="751"/>
      <c r="SBV125" s="751"/>
      <c r="SBW125" s="751"/>
      <c r="SBX125" s="751"/>
      <c r="SBY125" s="751"/>
      <c r="SBZ125" s="751"/>
      <c r="SCA125" s="751"/>
      <c r="SCB125" s="751"/>
      <c r="SCC125" s="751"/>
      <c r="SCD125" s="751"/>
      <c r="SCE125" s="751"/>
      <c r="SCF125" s="751"/>
      <c r="SCG125" s="751"/>
      <c r="SCH125" s="751"/>
      <c r="SCI125" s="751"/>
      <c r="SCJ125" s="751"/>
      <c r="SCK125" s="751"/>
      <c r="SCL125" s="751"/>
      <c r="SCM125" s="751"/>
      <c r="SCN125" s="751"/>
      <c r="SCO125" s="751"/>
      <c r="SCP125" s="751"/>
      <c r="SCQ125" s="751"/>
      <c r="SCR125" s="751"/>
      <c r="SCS125" s="751"/>
      <c r="SCT125" s="751"/>
      <c r="SCU125" s="751"/>
      <c r="SCV125" s="751"/>
      <c r="SCW125" s="751"/>
      <c r="SCX125" s="751"/>
      <c r="SCY125" s="751"/>
      <c r="SCZ125" s="751"/>
      <c r="SDA125" s="751"/>
      <c r="SDB125" s="751"/>
      <c r="SDC125" s="751"/>
      <c r="SDD125" s="751"/>
      <c r="SDE125" s="751"/>
      <c r="SDF125" s="751"/>
      <c r="SDG125" s="751"/>
      <c r="SDH125" s="751"/>
      <c r="SDI125" s="751"/>
      <c r="SDJ125" s="751"/>
      <c r="SDK125" s="751"/>
      <c r="SDL125" s="751"/>
      <c r="SDM125" s="751"/>
      <c r="SDN125" s="751"/>
      <c r="SDO125" s="751"/>
      <c r="SDP125" s="751"/>
      <c r="SDQ125" s="751"/>
      <c r="SDR125" s="751"/>
      <c r="SDS125" s="751"/>
      <c r="SDT125" s="751"/>
      <c r="SDU125" s="751"/>
      <c r="SDV125" s="751"/>
      <c r="SDW125" s="751"/>
      <c r="SDX125" s="751"/>
      <c r="SDY125" s="751"/>
      <c r="SDZ125" s="751"/>
      <c r="SEA125" s="751"/>
      <c r="SEB125" s="751"/>
      <c r="SEC125" s="751"/>
      <c r="SED125" s="751"/>
      <c r="SEE125" s="751"/>
      <c r="SEF125" s="751"/>
      <c r="SEG125" s="751"/>
      <c r="SEH125" s="751"/>
      <c r="SEI125" s="751"/>
      <c r="SEJ125" s="751"/>
      <c r="SEK125" s="751"/>
      <c r="SEL125" s="751"/>
      <c r="SEM125" s="751"/>
      <c r="SEN125" s="751"/>
      <c r="SEO125" s="751"/>
      <c r="SEP125" s="751"/>
      <c r="SEQ125" s="751"/>
      <c r="SER125" s="751"/>
      <c r="SES125" s="751"/>
      <c r="SET125" s="751"/>
      <c r="SEU125" s="751"/>
      <c r="SEV125" s="751"/>
      <c r="SEW125" s="751"/>
      <c r="SEX125" s="751"/>
      <c r="SEY125" s="751"/>
      <c r="SEZ125" s="751"/>
      <c r="SFA125" s="751"/>
      <c r="SFB125" s="751"/>
      <c r="SFC125" s="751"/>
      <c r="SFD125" s="751"/>
      <c r="SFE125" s="751"/>
      <c r="SFF125" s="751"/>
      <c r="SFG125" s="751"/>
      <c r="SFH125" s="751"/>
      <c r="SFI125" s="751"/>
      <c r="SFJ125" s="751"/>
      <c r="SFK125" s="751"/>
      <c r="SFL125" s="751"/>
      <c r="SFM125" s="751"/>
      <c r="SFN125" s="751"/>
      <c r="SFO125" s="751"/>
      <c r="SFP125" s="751"/>
      <c r="SFQ125" s="751"/>
      <c r="SFR125" s="751"/>
      <c r="SFS125" s="751"/>
      <c r="SFT125" s="751"/>
      <c r="SFU125" s="751"/>
      <c r="SFV125" s="751"/>
      <c r="SFW125" s="751"/>
      <c r="SFX125" s="751"/>
      <c r="SFY125" s="751"/>
      <c r="SFZ125" s="751"/>
      <c r="SGA125" s="751"/>
      <c r="SGB125" s="751"/>
      <c r="SGC125" s="751"/>
      <c r="SGD125" s="751"/>
      <c r="SGE125" s="751"/>
      <c r="SGF125" s="751"/>
      <c r="SGG125" s="751"/>
      <c r="SGH125" s="751"/>
      <c r="SGI125" s="751"/>
      <c r="SGJ125" s="751"/>
      <c r="SGK125" s="751"/>
      <c r="SGL125" s="751"/>
      <c r="SGM125" s="751"/>
      <c r="SGN125" s="751"/>
      <c r="SGO125" s="751"/>
      <c r="SGP125" s="751"/>
      <c r="SGQ125" s="751"/>
      <c r="SGR125" s="751"/>
      <c r="SGS125" s="751"/>
      <c r="SGT125" s="751"/>
      <c r="SGU125" s="751"/>
      <c r="SGV125" s="751"/>
      <c r="SGW125" s="751"/>
      <c r="SGX125" s="751"/>
      <c r="SGY125" s="751"/>
      <c r="SGZ125" s="751"/>
      <c r="SHA125" s="751"/>
      <c r="SHB125" s="751"/>
      <c r="SHC125" s="751"/>
      <c r="SHD125" s="751"/>
      <c r="SHE125" s="751"/>
      <c r="SHF125" s="751"/>
      <c r="SHG125" s="751"/>
      <c r="SHH125" s="751"/>
      <c r="SHI125" s="751"/>
      <c r="SHJ125" s="751"/>
      <c r="SHK125" s="751"/>
      <c r="SHL125" s="751"/>
      <c r="SHM125" s="751"/>
      <c r="SHN125" s="751"/>
      <c r="SHO125" s="751"/>
      <c r="SHP125" s="751"/>
      <c r="SHQ125" s="751"/>
      <c r="SHR125" s="751"/>
      <c r="SHS125" s="751"/>
      <c r="SHT125" s="751"/>
      <c r="SHU125" s="751"/>
      <c r="SHV125" s="751"/>
      <c r="SHW125" s="751"/>
      <c r="SHX125" s="751"/>
      <c r="SHY125" s="751"/>
      <c r="SHZ125" s="751"/>
      <c r="SIA125" s="751"/>
      <c r="SIB125" s="751"/>
      <c r="SIC125" s="751"/>
      <c r="SID125" s="751"/>
      <c r="SIE125" s="751"/>
      <c r="SIF125" s="751"/>
      <c r="SIG125" s="751"/>
      <c r="SIH125" s="751"/>
      <c r="SII125" s="751"/>
      <c r="SIJ125" s="751"/>
      <c r="SIK125" s="751"/>
      <c r="SIL125" s="751"/>
      <c r="SIM125" s="751"/>
      <c r="SIN125" s="751"/>
      <c r="SIO125" s="751"/>
      <c r="SIP125" s="751"/>
      <c r="SIQ125" s="751"/>
      <c r="SIR125" s="751"/>
      <c r="SIS125" s="751"/>
      <c r="SIT125" s="751"/>
      <c r="SIU125" s="751"/>
      <c r="SIV125" s="751"/>
      <c r="SIW125" s="751"/>
      <c r="SIX125" s="751"/>
      <c r="SIY125" s="751"/>
      <c r="SIZ125" s="751"/>
      <c r="SJA125" s="751"/>
      <c r="SJB125" s="751"/>
      <c r="SJC125" s="751"/>
      <c r="SJD125" s="751"/>
      <c r="SJE125" s="751"/>
      <c r="SJF125" s="751"/>
      <c r="SJG125" s="751"/>
      <c r="SJH125" s="751"/>
      <c r="SJI125" s="751"/>
      <c r="SJJ125" s="751"/>
      <c r="SJK125" s="751"/>
      <c r="SJL125" s="751"/>
      <c r="SJM125" s="751"/>
      <c r="SJN125" s="751"/>
      <c r="SJO125" s="751"/>
      <c r="SJP125" s="751"/>
      <c r="SJQ125" s="751"/>
      <c r="SJR125" s="751"/>
      <c r="SJS125" s="751"/>
      <c r="SJT125" s="751"/>
      <c r="SJU125" s="751"/>
      <c r="SJV125" s="751"/>
      <c r="SJW125" s="751"/>
      <c r="SJX125" s="751"/>
      <c r="SJY125" s="751"/>
      <c r="SJZ125" s="751"/>
      <c r="SKA125" s="751"/>
      <c r="SKB125" s="751"/>
      <c r="SKC125" s="751"/>
      <c r="SKD125" s="751"/>
      <c r="SKE125" s="751"/>
      <c r="SKF125" s="751"/>
      <c r="SKG125" s="751"/>
      <c r="SKH125" s="751"/>
      <c r="SKI125" s="751"/>
      <c r="SKJ125" s="751"/>
      <c r="SKK125" s="751"/>
      <c r="SKL125" s="751"/>
      <c r="SKM125" s="751"/>
      <c r="SKN125" s="751"/>
      <c r="SKO125" s="751"/>
      <c r="SKP125" s="751"/>
      <c r="SKQ125" s="751"/>
      <c r="SKR125" s="751"/>
      <c r="SKS125" s="751"/>
      <c r="SKT125" s="751"/>
      <c r="SKU125" s="751"/>
      <c r="SKV125" s="751"/>
      <c r="SKW125" s="751"/>
      <c r="SKX125" s="751"/>
      <c r="SKY125" s="751"/>
      <c r="SKZ125" s="751"/>
      <c r="SLA125" s="751"/>
      <c r="SLB125" s="751"/>
      <c r="SLC125" s="751"/>
      <c r="SLD125" s="751"/>
      <c r="SLE125" s="751"/>
      <c r="SLF125" s="751"/>
      <c r="SLG125" s="751"/>
      <c r="SLH125" s="751"/>
      <c r="SLI125" s="751"/>
      <c r="SLJ125" s="751"/>
      <c r="SLK125" s="751"/>
      <c r="SLL125" s="751"/>
      <c r="SLM125" s="751"/>
      <c r="SLN125" s="751"/>
      <c r="SLO125" s="751"/>
      <c r="SLP125" s="751"/>
      <c r="SLQ125" s="751"/>
      <c r="SLR125" s="751"/>
      <c r="SLS125" s="751"/>
      <c r="SLT125" s="751"/>
      <c r="SLU125" s="751"/>
      <c r="SLV125" s="751"/>
      <c r="SLW125" s="751"/>
      <c r="SLX125" s="751"/>
      <c r="SLY125" s="751"/>
      <c r="SLZ125" s="751"/>
      <c r="SMA125" s="751"/>
      <c r="SMB125" s="751"/>
      <c r="SMC125" s="751"/>
      <c r="SMD125" s="751"/>
      <c r="SME125" s="751"/>
      <c r="SMF125" s="751"/>
      <c r="SMG125" s="751"/>
      <c r="SMH125" s="751"/>
      <c r="SMI125" s="751"/>
      <c r="SMJ125" s="751"/>
      <c r="SMK125" s="751"/>
      <c r="SML125" s="751"/>
      <c r="SMM125" s="751"/>
      <c r="SMN125" s="751"/>
      <c r="SMO125" s="751"/>
      <c r="SMP125" s="751"/>
      <c r="SMQ125" s="751"/>
      <c r="SMR125" s="751"/>
      <c r="SMS125" s="751"/>
      <c r="SMT125" s="751"/>
      <c r="SMU125" s="751"/>
      <c r="SMV125" s="751"/>
      <c r="SMW125" s="751"/>
      <c r="SMX125" s="751"/>
      <c r="SMY125" s="751"/>
      <c r="SMZ125" s="751"/>
      <c r="SNA125" s="751"/>
      <c r="SNB125" s="751"/>
      <c r="SNC125" s="751"/>
      <c r="SND125" s="751"/>
      <c r="SNE125" s="751"/>
      <c r="SNF125" s="751"/>
      <c r="SNG125" s="751"/>
      <c r="SNH125" s="751"/>
      <c r="SNI125" s="751"/>
      <c r="SNJ125" s="751"/>
      <c r="SNK125" s="751"/>
      <c r="SNL125" s="751"/>
      <c r="SNM125" s="751"/>
      <c r="SNN125" s="751"/>
      <c r="SNO125" s="751"/>
      <c r="SNP125" s="751"/>
      <c r="SNQ125" s="751"/>
      <c r="SNR125" s="751"/>
      <c r="SNS125" s="751"/>
      <c r="SNT125" s="751"/>
      <c r="SNU125" s="751"/>
      <c r="SNV125" s="751"/>
      <c r="SNW125" s="751"/>
      <c r="SNX125" s="751"/>
      <c r="SNY125" s="751"/>
      <c r="SNZ125" s="751"/>
      <c r="SOA125" s="751"/>
      <c r="SOB125" s="751"/>
      <c r="SOC125" s="751"/>
      <c r="SOD125" s="751"/>
      <c r="SOE125" s="751"/>
      <c r="SOF125" s="751"/>
      <c r="SOG125" s="751"/>
      <c r="SOH125" s="751"/>
      <c r="SOI125" s="751"/>
      <c r="SOJ125" s="751"/>
      <c r="SOK125" s="751"/>
      <c r="SOL125" s="751"/>
      <c r="SOM125" s="751"/>
      <c r="SON125" s="751"/>
      <c r="SOO125" s="751"/>
      <c r="SOP125" s="751"/>
      <c r="SOQ125" s="751"/>
      <c r="SOR125" s="751"/>
      <c r="SOS125" s="751"/>
      <c r="SOT125" s="751"/>
      <c r="SOU125" s="751"/>
      <c r="SOV125" s="751"/>
      <c r="SOW125" s="751"/>
      <c r="SOX125" s="751"/>
      <c r="SOY125" s="751"/>
      <c r="SOZ125" s="751"/>
      <c r="SPA125" s="751"/>
      <c r="SPB125" s="751"/>
      <c r="SPC125" s="751"/>
      <c r="SPD125" s="751"/>
      <c r="SPE125" s="751"/>
      <c r="SPF125" s="751"/>
      <c r="SPG125" s="751"/>
      <c r="SPH125" s="751"/>
      <c r="SPI125" s="751"/>
      <c r="SPJ125" s="751"/>
      <c r="SPK125" s="751"/>
      <c r="SPL125" s="751"/>
      <c r="SPM125" s="751"/>
      <c r="SPN125" s="751"/>
      <c r="SPO125" s="751"/>
      <c r="SPP125" s="751"/>
      <c r="SPQ125" s="751"/>
      <c r="SPR125" s="751"/>
      <c r="SPS125" s="751"/>
      <c r="SPT125" s="751"/>
      <c r="SPU125" s="751"/>
      <c r="SPV125" s="751"/>
      <c r="SPW125" s="751"/>
      <c r="SPX125" s="751"/>
      <c r="SPY125" s="751"/>
      <c r="SPZ125" s="751"/>
      <c r="SQA125" s="751"/>
      <c r="SQB125" s="751"/>
      <c r="SQC125" s="751"/>
      <c r="SQD125" s="751"/>
      <c r="SQE125" s="751"/>
      <c r="SQF125" s="751"/>
      <c r="SQG125" s="751"/>
      <c r="SQH125" s="751"/>
      <c r="SQI125" s="751"/>
      <c r="SQJ125" s="751"/>
      <c r="SQK125" s="751"/>
      <c r="SQL125" s="751"/>
      <c r="SQM125" s="751"/>
      <c r="SQN125" s="751"/>
      <c r="SQO125" s="751"/>
      <c r="SQP125" s="751"/>
      <c r="SQQ125" s="751"/>
      <c r="SQR125" s="751"/>
      <c r="SQS125" s="751"/>
      <c r="SQT125" s="751"/>
      <c r="SQU125" s="751"/>
      <c r="SQV125" s="751"/>
      <c r="SQW125" s="751"/>
      <c r="SQX125" s="751"/>
      <c r="SQY125" s="751"/>
      <c r="SQZ125" s="751"/>
      <c r="SRA125" s="751"/>
      <c r="SRB125" s="751"/>
      <c r="SRC125" s="751"/>
      <c r="SRD125" s="751"/>
      <c r="SRE125" s="751"/>
      <c r="SRF125" s="751"/>
      <c r="SRG125" s="751"/>
      <c r="SRH125" s="751"/>
      <c r="SRI125" s="751"/>
      <c r="SRJ125" s="751"/>
      <c r="SRK125" s="751"/>
      <c r="SRL125" s="751"/>
      <c r="SRM125" s="751"/>
      <c r="SRN125" s="751"/>
      <c r="SRO125" s="751"/>
      <c r="SRP125" s="751"/>
      <c r="SRQ125" s="751"/>
      <c r="SRR125" s="751"/>
      <c r="SRS125" s="751"/>
      <c r="SRT125" s="751"/>
      <c r="SRU125" s="751"/>
      <c r="SRV125" s="751"/>
      <c r="SRW125" s="751"/>
      <c r="SRX125" s="751"/>
      <c r="SRY125" s="751"/>
      <c r="SRZ125" s="751"/>
      <c r="SSA125" s="751"/>
      <c r="SSB125" s="751"/>
      <c r="SSC125" s="751"/>
      <c r="SSD125" s="751"/>
      <c r="SSE125" s="751"/>
      <c r="SSF125" s="751"/>
      <c r="SSG125" s="751"/>
      <c r="SSH125" s="751"/>
      <c r="SSI125" s="751"/>
      <c r="SSJ125" s="751"/>
      <c r="SSK125" s="751"/>
      <c r="SSL125" s="751"/>
      <c r="SSM125" s="751"/>
      <c r="SSN125" s="751"/>
      <c r="SSO125" s="751"/>
      <c r="SSP125" s="751"/>
      <c r="SSQ125" s="751"/>
      <c r="SSR125" s="751"/>
      <c r="SSS125" s="751"/>
      <c r="SST125" s="751"/>
      <c r="SSU125" s="751"/>
      <c r="SSV125" s="751"/>
      <c r="SSW125" s="751"/>
      <c r="SSX125" s="751"/>
      <c r="SSY125" s="751"/>
      <c r="SSZ125" s="751"/>
      <c r="STA125" s="751"/>
      <c r="STB125" s="751"/>
      <c r="STC125" s="751"/>
      <c r="STD125" s="751"/>
      <c r="STE125" s="751"/>
      <c r="STF125" s="751"/>
      <c r="STG125" s="751"/>
      <c r="STH125" s="751"/>
      <c r="STI125" s="751"/>
      <c r="STJ125" s="751"/>
      <c r="STK125" s="751"/>
      <c r="STL125" s="751"/>
      <c r="STM125" s="751"/>
      <c r="STN125" s="751"/>
      <c r="STO125" s="751"/>
      <c r="STP125" s="751"/>
      <c r="STQ125" s="751"/>
      <c r="STR125" s="751"/>
      <c r="STS125" s="751"/>
      <c r="STT125" s="751"/>
      <c r="STU125" s="751"/>
      <c r="STV125" s="751"/>
      <c r="STW125" s="751"/>
      <c r="STX125" s="751"/>
      <c r="STY125" s="751"/>
      <c r="STZ125" s="751"/>
      <c r="SUA125" s="751"/>
      <c r="SUB125" s="751"/>
      <c r="SUC125" s="751"/>
      <c r="SUD125" s="751"/>
      <c r="SUE125" s="751"/>
      <c r="SUF125" s="751"/>
      <c r="SUG125" s="751"/>
      <c r="SUH125" s="751"/>
      <c r="SUI125" s="751"/>
      <c r="SUJ125" s="751"/>
      <c r="SUK125" s="751"/>
      <c r="SUL125" s="751"/>
      <c r="SUM125" s="751"/>
      <c r="SUN125" s="751"/>
      <c r="SUO125" s="751"/>
      <c r="SUP125" s="751"/>
      <c r="SUQ125" s="751"/>
      <c r="SUR125" s="751"/>
      <c r="SUS125" s="751"/>
      <c r="SUT125" s="751"/>
      <c r="SUU125" s="751"/>
      <c r="SUV125" s="751"/>
      <c r="SUW125" s="751"/>
      <c r="SUX125" s="751"/>
      <c r="SUY125" s="751"/>
      <c r="SUZ125" s="751"/>
      <c r="SVA125" s="751"/>
      <c r="SVB125" s="751"/>
      <c r="SVC125" s="751"/>
      <c r="SVD125" s="751"/>
      <c r="SVE125" s="751"/>
      <c r="SVF125" s="751"/>
      <c r="SVG125" s="751"/>
      <c r="SVH125" s="751"/>
      <c r="SVI125" s="751"/>
      <c r="SVJ125" s="751"/>
      <c r="SVK125" s="751"/>
      <c r="SVL125" s="751"/>
      <c r="SVM125" s="751"/>
      <c r="SVN125" s="751"/>
      <c r="SVO125" s="751"/>
      <c r="SVP125" s="751"/>
      <c r="SVQ125" s="751"/>
      <c r="SVR125" s="751"/>
      <c r="SVS125" s="751"/>
      <c r="SVT125" s="751"/>
      <c r="SVU125" s="751"/>
      <c r="SVV125" s="751"/>
      <c r="SVW125" s="751"/>
      <c r="SVX125" s="751"/>
      <c r="SVY125" s="751"/>
      <c r="SVZ125" s="751"/>
      <c r="SWA125" s="751"/>
      <c r="SWB125" s="751"/>
      <c r="SWC125" s="751"/>
      <c r="SWD125" s="751"/>
      <c r="SWE125" s="751"/>
      <c r="SWF125" s="751"/>
      <c r="SWG125" s="751"/>
      <c r="SWH125" s="751"/>
      <c r="SWI125" s="751"/>
      <c r="SWJ125" s="751"/>
      <c r="SWK125" s="751"/>
      <c r="SWL125" s="751"/>
      <c r="SWM125" s="751"/>
      <c r="SWN125" s="751"/>
      <c r="SWO125" s="751"/>
      <c r="SWP125" s="751"/>
      <c r="SWQ125" s="751"/>
      <c r="SWR125" s="751"/>
      <c r="SWS125" s="751"/>
      <c r="SWT125" s="751"/>
      <c r="SWU125" s="751"/>
      <c r="SWV125" s="751"/>
      <c r="SWW125" s="751"/>
      <c r="SWX125" s="751"/>
      <c r="SWY125" s="751"/>
      <c r="SWZ125" s="751"/>
      <c r="SXA125" s="751"/>
      <c r="SXB125" s="751"/>
      <c r="SXC125" s="751"/>
      <c r="SXD125" s="751"/>
      <c r="SXE125" s="751"/>
      <c r="SXF125" s="751"/>
      <c r="SXG125" s="751"/>
      <c r="SXH125" s="751"/>
      <c r="SXI125" s="751"/>
      <c r="SXJ125" s="751"/>
      <c r="SXK125" s="751"/>
      <c r="SXL125" s="751"/>
      <c r="SXM125" s="751"/>
      <c r="SXN125" s="751"/>
      <c r="SXO125" s="751"/>
      <c r="SXP125" s="751"/>
      <c r="SXQ125" s="751"/>
      <c r="SXR125" s="751"/>
      <c r="SXS125" s="751"/>
      <c r="SXT125" s="751"/>
      <c r="SXU125" s="751"/>
      <c r="SXV125" s="751"/>
      <c r="SXW125" s="751"/>
      <c r="SXX125" s="751"/>
      <c r="SXY125" s="751"/>
      <c r="SXZ125" s="751"/>
      <c r="SYA125" s="751"/>
      <c r="SYB125" s="751"/>
      <c r="SYC125" s="751"/>
      <c r="SYD125" s="751"/>
      <c r="SYE125" s="751"/>
      <c r="SYF125" s="751"/>
      <c r="SYG125" s="751"/>
      <c r="SYH125" s="751"/>
      <c r="SYI125" s="751"/>
      <c r="SYJ125" s="751"/>
      <c r="SYK125" s="751"/>
      <c r="SYL125" s="751"/>
      <c r="SYM125" s="751"/>
      <c r="SYN125" s="751"/>
      <c r="SYO125" s="751"/>
      <c r="SYP125" s="751"/>
      <c r="SYQ125" s="751"/>
      <c r="SYR125" s="751"/>
      <c r="SYS125" s="751"/>
      <c r="SYT125" s="751"/>
      <c r="SYU125" s="751"/>
      <c r="SYV125" s="751"/>
      <c r="SYW125" s="751"/>
      <c r="SYX125" s="751"/>
      <c r="SYY125" s="751"/>
      <c r="SYZ125" s="751"/>
      <c r="SZA125" s="751"/>
      <c r="SZB125" s="751"/>
      <c r="SZC125" s="751"/>
      <c r="SZD125" s="751"/>
      <c r="SZE125" s="751"/>
      <c r="SZF125" s="751"/>
      <c r="SZG125" s="751"/>
      <c r="SZH125" s="751"/>
      <c r="SZI125" s="751"/>
      <c r="SZJ125" s="751"/>
      <c r="SZK125" s="751"/>
      <c r="SZL125" s="751"/>
      <c r="SZM125" s="751"/>
      <c r="SZN125" s="751"/>
      <c r="SZO125" s="751"/>
      <c r="SZP125" s="751"/>
      <c r="SZQ125" s="751"/>
      <c r="SZR125" s="751"/>
      <c r="SZS125" s="751"/>
      <c r="SZT125" s="751"/>
      <c r="SZU125" s="751"/>
      <c r="SZV125" s="751"/>
      <c r="SZW125" s="751"/>
      <c r="SZX125" s="751"/>
      <c r="SZY125" s="751"/>
      <c r="SZZ125" s="751"/>
      <c r="TAA125" s="751"/>
      <c r="TAB125" s="751"/>
      <c r="TAC125" s="751"/>
      <c r="TAD125" s="751"/>
      <c r="TAE125" s="751"/>
      <c r="TAF125" s="751"/>
      <c r="TAG125" s="751"/>
      <c r="TAH125" s="751"/>
      <c r="TAI125" s="751"/>
      <c r="TAJ125" s="751"/>
      <c r="TAK125" s="751"/>
      <c r="TAL125" s="751"/>
      <c r="TAM125" s="751"/>
      <c r="TAN125" s="751"/>
      <c r="TAO125" s="751"/>
      <c r="TAP125" s="751"/>
      <c r="TAQ125" s="751"/>
      <c r="TAR125" s="751"/>
      <c r="TAS125" s="751"/>
      <c r="TAT125" s="751"/>
      <c r="TAU125" s="751"/>
      <c r="TAV125" s="751"/>
      <c r="TAW125" s="751"/>
      <c r="TAX125" s="751"/>
      <c r="TAY125" s="751"/>
      <c r="TAZ125" s="751"/>
      <c r="TBA125" s="751"/>
      <c r="TBB125" s="751"/>
      <c r="TBC125" s="751"/>
      <c r="TBD125" s="751"/>
      <c r="TBE125" s="751"/>
      <c r="TBF125" s="751"/>
      <c r="TBG125" s="751"/>
      <c r="TBH125" s="751"/>
      <c r="TBI125" s="751"/>
      <c r="TBJ125" s="751"/>
      <c r="TBK125" s="751"/>
      <c r="TBL125" s="751"/>
      <c r="TBM125" s="751"/>
      <c r="TBN125" s="751"/>
      <c r="TBO125" s="751"/>
      <c r="TBP125" s="751"/>
      <c r="TBQ125" s="751"/>
      <c r="TBR125" s="751"/>
      <c r="TBS125" s="751"/>
      <c r="TBT125" s="751"/>
      <c r="TBU125" s="751"/>
      <c r="TBV125" s="751"/>
      <c r="TBW125" s="751"/>
      <c r="TBX125" s="751"/>
      <c r="TBY125" s="751"/>
      <c r="TBZ125" s="751"/>
      <c r="TCA125" s="751"/>
      <c r="TCB125" s="751"/>
      <c r="TCC125" s="751"/>
      <c r="TCD125" s="751"/>
      <c r="TCE125" s="751"/>
      <c r="TCF125" s="751"/>
      <c r="TCG125" s="751"/>
      <c r="TCH125" s="751"/>
      <c r="TCI125" s="751"/>
      <c r="TCJ125" s="751"/>
      <c r="TCK125" s="751"/>
      <c r="TCL125" s="751"/>
      <c r="TCM125" s="751"/>
      <c r="TCN125" s="751"/>
      <c r="TCO125" s="751"/>
      <c r="TCP125" s="751"/>
      <c r="TCQ125" s="751"/>
      <c r="TCR125" s="751"/>
      <c r="TCS125" s="751"/>
      <c r="TCT125" s="751"/>
      <c r="TCU125" s="751"/>
      <c r="TCV125" s="751"/>
      <c r="TCW125" s="751"/>
      <c r="TCX125" s="751"/>
      <c r="TCY125" s="751"/>
      <c r="TCZ125" s="751"/>
      <c r="TDA125" s="751"/>
      <c r="TDB125" s="751"/>
      <c r="TDC125" s="751"/>
      <c r="TDD125" s="751"/>
      <c r="TDE125" s="751"/>
      <c r="TDF125" s="751"/>
      <c r="TDG125" s="751"/>
      <c r="TDH125" s="751"/>
      <c r="TDI125" s="751"/>
      <c r="TDJ125" s="751"/>
      <c r="TDK125" s="751"/>
      <c r="TDL125" s="751"/>
      <c r="TDM125" s="751"/>
      <c r="TDN125" s="751"/>
      <c r="TDO125" s="751"/>
      <c r="TDP125" s="751"/>
      <c r="TDQ125" s="751"/>
      <c r="TDR125" s="751"/>
      <c r="TDS125" s="751"/>
      <c r="TDT125" s="751"/>
      <c r="TDU125" s="751"/>
      <c r="TDV125" s="751"/>
      <c r="TDW125" s="751"/>
      <c r="TDX125" s="751"/>
      <c r="TDY125" s="751"/>
      <c r="TDZ125" s="751"/>
      <c r="TEA125" s="751"/>
      <c r="TEB125" s="751"/>
      <c r="TEC125" s="751"/>
      <c r="TED125" s="751"/>
      <c r="TEE125" s="751"/>
      <c r="TEF125" s="751"/>
      <c r="TEG125" s="751"/>
      <c r="TEH125" s="751"/>
      <c r="TEI125" s="751"/>
      <c r="TEJ125" s="751"/>
      <c r="TEK125" s="751"/>
      <c r="TEL125" s="751"/>
      <c r="TEM125" s="751"/>
      <c r="TEN125" s="751"/>
      <c r="TEO125" s="751"/>
      <c r="TEP125" s="751"/>
      <c r="TEQ125" s="751"/>
      <c r="TER125" s="751"/>
      <c r="TES125" s="751"/>
      <c r="TET125" s="751"/>
      <c r="TEU125" s="751"/>
      <c r="TEV125" s="751"/>
      <c r="TEW125" s="751"/>
      <c r="TEX125" s="751"/>
      <c r="TEY125" s="751"/>
      <c r="TEZ125" s="751"/>
      <c r="TFA125" s="751"/>
      <c r="TFB125" s="751"/>
      <c r="TFC125" s="751"/>
      <c r="TFD125" s="751"/>
      <c r="TFE125" s="751"/>
      <c r="TFF125" s="751"/>
      <c r="TFG125" s="751"/>
      <c r="TFH125" s="751"/>
      <c r="TFI125" s="751"/>
      <c r="TFJ125" s="751"/>
      <c r="TFK125" s="751"/>
      <c r="TFL125" s="751"/>
      <c r="TFM125" s="751"/>
      <c r="TFN125" s="751"/>
      <c r="TFO125" s="751"/>
      <c r="TFP125" s="751"/>
      <c r="TFQ125" s="751"/>
      <c r="TFR125" s="751"/>
      <c r="TFS125" s="751"/>
      <c r="TFT125" s="751"/>
      <c r="TFU125" s="751"/>
      <c r="TFV125" s="751"/>
      <c r="TFW125" s="751"/>
      <c r="TFX125" s="751"/>
      <c r="TFY125" s="751"/>
      <c r="TFZ125" s="751"/>
      <c r="TGA125" s="751"/>
      <c r="TGB125" s="751"/>
      <c r="TGC125" s="751"/>
      <c r="TGD125" s="751"/>
      <c r="TGE125" s="751"/>
      <c r="TGF125" s="751"/>
      <c r="TGG125" s="751"/>
      <c r="TGH125" s="751"/>
      <c r="TGI125" s="751"/>
      <c r="TGJ125" s="751"/>
      <c r="TGK125" s="751"/>
      <c r="TGL125" s="751"/>
      <c r="TGM125" s="751"/>
      <c r="TGN125" s="751"/>
      <c r="TGO125" s="751"/>
      <c r="TGP125" s="751"/>
      <c r="TGQ125" s="751"/>
      <c r="TGR125" s="751"/>
      <c r="TGS125" s="751"/>
      <c r="TGT125" s="751"/>
      <c r="TGU125" s="751"/>
      <c r="TGV125" s="751"/>
      <c r="TGW125" s="751"/>
      <c r="TGX125" s="751"/>
      <c r="TGY125" s="751"/>
      <c r="TGZ125" s="751"/>
      <c r="THA125" s="751"/>
      <c r="THB125" s="751"/>
      <c r="THC125" s="751"/>
      <c r="THD125" s="751"/>
      <c r="THE125" s="751"/>
      <c r="THF125" s="751"/>
      <c r="THG125" s="751"/>
      <c r="THH125" s="751"/>
      <c r="THI125" s="751"/>
      <c r="THJ125" s="751"/>
      <c r="THK125" s="751"/>
      <c r="THL125" s="751"/>
      <c r="THM125" s="751"/>
      <c r="THN125" s="751"/>
      <c r="THO125" s="751"/>
      <c r="THP125" s="751"/>
      <c r="THQ125" s="751"/>
      <c r="THR125" s="751"/>
      <c r="THS125" s="751"/>
      <c r="THT125" s="751"/>
      <c r="THU125" s="751"/>
      <c r="THV125" s="751"/>
      <c r="THW125" s="751"/>
      <c r="THX125" s="751"/>
      <c r="THY125" s="751"/>
      <c r="THZ125" s="751"/>
      <c r="TIA125" s="751"/>
      <c r="TIB125" s="751"/>
      <c r="TIC125" s="751"/>
      <c r="TID125" s="751"/>
      <c r="TIE125" s="751"/>
      <c r="TIF125" s="751"/>
      <c r="TIG125" s="751"/>
      <c r="TIH125" s="751"/>
      <c r="TII125" s="751"/>
      <c r="TIJ125" s="751"/>
      <c r="TIK125" s="751"/>
      <c r="TIL125" s="751"/>
      <c r="TIM125" s="751"/>
      <c r="TIN125" s="751"/>
      <c r="TIO125" s="751"/>
      <c r="TIP125" s="751"/>
      <c r="TIQ125" s="751"/>
      <c r="TIR125" s="751"/>
      <c r="TIS125" s="751"/>
      <c r="TIT125" s="751"/>
      <c r="TIU125" s="751"/>
      <c r="TIV125" s="751"/>
      <c r="TIW125" s="751"/>
      <c r="TIX125" s="751"/>
      <c r="TIY125" s="751"/>
      <c r="TIZ125" s="751"/>
      <c r="TJA125" s="751"/>
      <c r="TJB125" s="751"/>
      <c r="TJC125" s="751"/>
      <c r="TJD125" s="751"/>
      <c r="TJE125" s="751"/>
      <c r="TJF125" s="751"/>
      <c r="TJG125" s="751"/>
      <c r="TJH125" s="751"/>
      <c r="TJI125" s="751"/>
      <c r="TJJ125" s="751"/>
      <c r="TJK125" s="751"/>
      <c r="TJL125" s="751"/>
      <c r="TJM125" s="751"/>
      <c r="TJN125" s="751"/>
      <c r="TJO125" s="751"/>
      <c r="TJP125" s="751"/>
      <c r="TJQ125" s="751"/>
      <c r="TJR125" s="751"/>
      <c r="TJS125" s="751"/>
      <c r="TJT125" s="751"/>
      <c r="TJU125" s="751"/>
      <c r="TJV125" s="751"/>
      <c r="TJW125" s="751"/>
      <c r="TJX125" s="751"/>
      <c r="TJY125" s="751"/>
      <c r="TJZ125" s="751"/>
      <c r="TKA125" s="751"/>
      <c r="TKB125" s="751"/>
      <c r="TKC125" s="751"/>
      <c r="TKD125" s="751"/>
      <c r="TKE125" s="751"/>
      <c r="TKF125" s="751"/>
      <c r="TKG125" s="751"/>
      <c r="TKH125" s="751"/>
      <c r="TKI125" s="751"/>
      <c r="TKJ125" s="751"/>
      <c r="TKK125" s="751"/>
      <c r="TKL125" s="751"/>
      <c r="TKM125" s="751"/>
      <c r="TKN125" s="751"/>
      <c r="TKO125" s="751"/>
      <c r="TKP125" s="751"/>
      <c r="TKQ125" s="751"/>
      <c r="TKR125" s="751"/>
      <c r="TKS125" s="751"/>
      <c r="TKT125" s="751"/>
      <c r="TKU125" s="751"/>
      <c r="TKV125" s="751"/>
      <c r="TKW125" s="751"/>
      <c r="TKX125" s="751"/>
      <c r="TKY125" s="751"/>
      <c r="TKZ125" s="751"/>
      <c r="TLA125" s="751"/>
      <c r="TLB125" s="751"/>
      <c r="TLC125" s="751"/>
      <c r="TLD125" s="751"/>
      <c r="TLE125" s="751"/>
      <c r="TLF125" s="751"/>
      <c r="TLG125" s="751"/>
      <c r="TLH125" s="751"/>
      <c r="TLI125" s="751"/>
      <c r="TLJ125" s="751"/>
      <c r="TLK125" s="751"/>
      <c r="TLL125" s="751"/>
      <c r="TLM125" s="751"/>
      <c r="TLN125" s="751"/>
      <c r="TLO125" s="751"/>
      <c r="TLP125" s="751"/>
      <c r="TLQ125" s="751"/>
      <c r="TLR125" s="751"/>
      <c r="TLS125" s="751"/>
      <c r="TLT125" s="751"/>
      <c r="TLU125" s="751"/>
      <c r="TLV125" s="751"/>
      <c r="TLW125" s="751"/>
      <c r="TLX125" s="751"/>
      <c r="TLY125" s="751"/>
      <c r="TLZ125" s="751"/>
      <c r="TMA125" s="751"/>
      <c r="TMB125" s="751"/>
      <c r="TMC125" s="751"/>
      <c r="TMD125" s="751"/>
      <c r="TME125" s="751"/>
      <c r="TMF125" s="751"/>
      <c r="TMG125" s="751"/>
      <c r="TMH125" s="751"/>
      <c r="TMI125" s="751"/>
      <c r="TMJ125" s="751"/>
      <c r="TMK125" s="751"/>
      <c r="TML125" s="751"/>
      <c r="TMM125" s="751"/>
      <c r="TMN125" s="751"/>
      <c r="TMO125" s="751"/>
      <c r="TMP125" s="751"/>
      <c r="TMQ125" s="751"/>
      <c r="TMR125" s="751"/>
      <c r="TMS125" s="751"/>
      <c r="TMT125" s="751"/>
      <c r="TMU125" s="751"/>
      <c r="TMV125" s="751"/>
      <c r="TMW125" s="751"/>
      <c r="TMX125" s="751"/>
      <c r="TMY125" s="751"/>
      <c r="TMZ125" s="751"/>
      <c r="TNA125" s="751"/>
      <c r="TNB125" s="751"/>
      <c r="TNC125" s="751"/>
      <c r="TND125" s="751"/>
      <c r="TNE125" s="751"/>
      <c r="TNF125" s="751"/>
      <c r="TNG125" s="751"/>
      <c r="TNH125" s="751"/>
      <c r="TNI125" s="751"/>
      <c r="TNJ125" s="751"/>
      <c r="TNK125" s="751"/>
      <c r="TNL125" s="751"/>
      <c r="TNM125" s="751"/>
      <c r="TNN125" s="751"/>
      <c r="TNO125" s="751"/>
      <c r="TNP125" s="751"/>
      <c r="TNQ125" s="751"/>
      <c r="TNR125" s="751"/>
      <c r="TNS125" s="751"/>
      <c r="TNT125" s="751"/>
      <c r="TNU125" s="751"/>
      <c r="TNV125" s="751"/>
      <c r="TNW125" s="751"/>
      <c r="TNX125" s="751"/>
      <c r="TNY125" s="751"/>
      <c r="TNZ125" s="751"/>
      <c r="TOA125" s="751"/>
      <c r="TOB125" s="751"/>
      <c r="TOC125" s="751"/>
      <c r="TOD125" s="751"/>
      <c r="TOE125" s="751"/>
      <c r="TOF125" s="751"/>
      <c r="TOG125" s="751"/>
      <c r="TOH125" s="751"/>
      <c r="TOI125" s="751"/>
      <c r="TOJ125" s="751"/>
      <c r="TOK125" s="751"/>
      <c r="TOL125" s="751"/>
      <c r="TOM125" s="751"/>
      <c r="TON125" s="751"/>
      <c r="TOO125" s="751"/>
      <c r="TOP125" s="751"/>
      <c r="TOQ125" s="751"/>
      <c r="TOR125" s="751"/>
      <c r="TOS125" s="751"/>
      <c r="TOT125" s="751"/>
      <c r="TOU125" s="751"/>
      <c r="TOV125" s="751"/>
      <c r="TOW125" s="751"/>
      <c r="TOX125" s="751"/>
      <c r="TOY125" s="751"/>
      <c r="TOZ125" s="751"/>
      <c r="TPA125" s="751"/>
      <c r="TPB125" s="751"/>
      <c r="TPC125" s="751"/>
      <c r="TPD125" s="751"/>
      <c r="TPE125" s="751"/>
      <c r="TPF125" s="751"/>
      <c r="TPG125" s="751"/>
      <c r="TPH125" s="751"/>
      <c r="TPI125" s="751"/>
      <c r="TPJ125" s="751"/>
      <c r="TPK125" s="751"/>
      <c r="TPL125" s="751"/>
      <c r="TPM125" s="751"/>
      <c r="TPN125" s="751"/>
      <c r="TPO125" s="751"/>
      <c r="TPP125" s="751"/>
      <c r="TPQ125" s="751"/>
      <c r="TPR125" s="751"/>
      <c r="TPS125" s="751"/>
      <c r="TPT125" s="751"/>
      <c r="TPU125" s="751"/>
      <c r="TPV125" s="751"/>
      <c r="TPW125" s="751"/>
      <c r="TPX125" s="751"/>
      <c r="TPY125" s="751"/>
      <c r="TPZ125" s="751"/>
      <c r="TQA125" s="751"/>
      <c r="TQB125" s="751"/>
      <c r="TQC125" s="751"/>
      <c r="TQD125" s="751"/>
      <c r="TQE125" s="751"/>
      <c r="TQF125" s="751"/>
      <c r="TQG125" s="751"/>
      <c r="TQH125" s="751"/>
      <c r="TQI125" s="751"/>
      <c r="TQJ125" s="751"/>
      <c r="TQK125" s="751"/>
      <c r="TQL125" s="751"/>
      <c r="TQM125" s="751"/>
      <c r="TQN125" s="751"/>
      <c r="TQO125" s="751"/>
      <c r="TQP125" s="751"/>
      <c r="TQQ125" s="751"/>
      <c r="TQR125" s="751"/>
      <c r="TQS125" s="751"/>
      <c r="TQT125" s="751"/>
      <c r="TQU125" s="751"/>
      <c r="TQV125" s="751"/>
      <c r="TQW125" s="751"/>
      <c r="TQX125" s="751"/>
      <c r="TQY125" s="751"/>
      <c r="TQZ125" s="751"/>
      <c r="TRA125" s="751"/>
      <c r="TRB125" s="751"/>
      <c r="TRC125" s="751"/>
      <c r="TRD125" s="751"/>
      <c r="TRE125" s="751"/>
      <c r="TRF125" s="751"/>
      <c r="TRG125" s="751"/>
      <c r="TRH125" s="751"/>
      <c r="TRI125" s="751"/>
      <c r="TRJ125" s="751"/>
      <c r="TRK125" s="751"/>
      <c r="TRL125" s="751"/>
      <c r="TRM125" s="751"/>
      <c r="TRN125" s="751"/>
      <c r="TRO125" s="751"/>
      <c r="TRP125" s="751"/>
      <c r="TRQ125" s="751"/>
      <c r="TRR125" s="751"/>
      <c r="TRS125" s="751"/>
      <c r="TRT125" s="751"/>
      <c r="TRU125" s="751"/>
      <c r="TRV125" s="751"/>
      <c r="TRW125" s="751"/>
      <c r="TRX125" s="751"/>
      <c r="TRY125" s="751"/>
      <c r="TRZ125" s="751"/>
      <c r="TSA125" s="751"/>
      <c r="TSB125" s="751"/>
      <c r="TSC125" s="751"/>
      <c r="TSD125" s="751"/>
      <c r="TSE125" s="751"/>
      <c r="TSF125" s="751"/>
      <c r="TSG125" s="751"/>
      <c r="TSH125" s="751"/>
      <c r="TSI125" s="751"/>
      <c r="TSJ125" s="751"/>
      <c r="TSK125" s="751"/>
      <c r="TSL125" s="751"/>
      <c r="TSM125" s="751"/>
      <c r="TSN125" s="751"/>
      <c r="TSO125" s="751"/>
      <c r="TSP125" s="751"/>
      <c r="TSQ125" s="751"/>
      <c r="TSR125" s="751"/>
      <c r="TSS125" s="751"/>
      <c r="TST125" s="751"/>
      <c r="TSU125" s="751"/>
      <c r="TSV125" s="751"/>
      <c r="TSW125" s="751"/>
      <c r="TSX125" s="751"/>
      <c r="TSY125" s="751"/>
      <c r="TSZ125" s="751"/>
      <c r="TTA125" s="751"/>
      <c r="TTB125" s="751"/>
      <c r="TTC125" s="751"/>
      <c r="TTD125" s="751"/>
      <c r="TTE125" s="751"/>
      <c r="TTF125" s="751"/>
      <c r="TTG125" s="751"/>
      <c r="TTH125" s="751"/>
      <c r="TTI125" s="751"/>
      <c r="TTJ125" s="751"/>
      <c r="TTK125" s="751"/>
      <c r="TTL125" s="751"/>
      <c r="TTM125" s="751"/>
      <c r="TTN125" s="751"/>
      <c r="TTO125" s="751"/>
      <c r="TTP125" s="751"/>
      <c r="TTQ125" s="751"/>
      <c r="TTR125" s="751"/>
      <c r="TTS125" s="751"/>
      <c r="TTT125" s="751"/>
      <c r="TTU125" s="751"/>
      <c r="TTV125" s="751"/>
      <c r="TTW125" s="751"/>
      <c r="TTX125" s="751"/>
      <c r="TTY125" s="751"/>
      <c r="TTZ125" s="751"/>
      <c r="TUA125" s="751"/>
      <c r="TUB125" s="751"/>
      <c r="TUC125" s="751"/>
      <c r="TUD125" s="751"/>
      <c r="TUE125" s="751"/>
      <c r="TUF125" s="751"/>
      <c r="TUG125" s="751"/>
      <c r="TUH125" s="751"/>
      <c r="TUI125" s="751"/>
      <c r="TUJ125" s="751"/>
      <c r="TUK125" s="751"/>
      <c r="TUL125" s="751"/>
      <c r="TUM125" s="751"/>
      <c r="TUN125" s="751"/>
      <c r="TUO125" s="751"/>
      <c r="TUP125" s="751"/>
      <c r="TUQ125" s="751"/>
      <c r="TUR125" s="751"/>
      <c r="TUS125" s="751"/>
      <c r="TUT125" s="751"/>
      <c r="TUU125" s="751"/>
      <c r="TUV125" s="751"/>
      <c r="TUW125" s="751"/>
      <c r="TUX125" s="751"/>
      <c r="TUY125" s="751"/>
      <c r="TUZ125" s="751"/>
      <c r="TVA125" s="751"/>
      <c r="TVB125" s="751"/>
      <c r="TVC125" s="751"/>
      <c r="TVD125" s="751"/>
      <c r="TVE125" s="751"/>
      <c r="TVF125" s="751"/>
      <c r="TVG125" s="751"/>
      <c r="TVH125" s="751"/>
      <c r="TVI125" s="751"/>
      <c r="TVJ125" s="751"/>
      <c r="TVK125" s="751"/>
      <c r="TVL125" s="751"/>
      <c r="TVM125" s="751"/>
      <c r="TVN125" s="751"/>
      <c r="TVO125" s="751"/>
      <c r="TVP125" s="751"/>
      <c r="TVQ125" s="751"/>
      <c r="TVR125" s="751"/>
      <c r="TVS125" s="751"/>
      <c r="TVT125" s="751"/>
      <c r="TVU125" s="751"/>
      <c r="TVV125" s="751"/>
      <c r="TVW125" s="751"/>
      <c r="TVX125" s="751"/>
      <c r="TVY125" s="751"/>
      <c r="TVZ125" s="751"/>
      <c r="TWA125" s="751"/>
      <c r="TWB125" s="751"/>
      <c r="TWC125" s="751"/>
      <c r="TWD125" s="751"/>
      <c r="TWE125" s="751"/>
      <c r="TWF125" s="751"/>
      <c r="TWG125" s="751"/>
      <c r="TWH125" s="751"/>
      <c r="TWI125" s="751"/>
      <c r="TWJ125" s="751"/>
      <c r="TWK125" s="751"/>
      <c r="TWL125" s="751"/>
      <c r="TWM125" s="751"/>
      <c r="TWN125" s="751"/>
      <c r="TWO125" s="751"/>
      <c r="TWP125" s="751"/>
      <c r="TWQ125" s="751"/>
      <c r="TWR125" s="751"/>
      <c r="TWS125" s="751"/>
      <c r="TWT125" s="751"/>
      <c r="TWU125" s="751"/>
      <c r="TWV125" s="751"/>
      <c r="TWW125" s="751"/>
      <c r="TWX125" s="751"/>
      <c r="TWY125" s="751"/>
      <c r="TWZ125" s="751"/>
      <c r="TXA125" s="751"/>
      <c r="TXB125" s="751"/>
      <c r="TXC125" s="751"/>
      <c r="TXD125" s="751"/>
      <c r="TXE125" s="751"/>
      <c r="TXF125" s="751"/>
      <c r="TXG125" s="751"/>
      <c r="TXH125" s="751"/>
      <c r="TXI125" s="751"/>
      <c r="TXJ125" s="751"/>
      <c r="TXK125" s="751"/>
      <c r="TXL125" s="751"/>
      <c r="TXM125" s="751"/>
      <c r="TXN125" s="751"/>
      <c r="TXO125" s="751"/>
      <c r="TXP125" s="751"/>
      <c r="TXQ125" s="751"/>
      <c r="TXR125" s="751"/>
      <c r="TXS125" s="751"/>
      <c r="TXT125" s="751"/>
      <c r="TXU125" s="751"/>
      <c r="TXV125" s="751"/>
      <c r="TXW125" s="751"/>
      <c r="TXX125" s="751"/>
      <c r="TXY125" s="751"/>
      <c r="TXZ125" s="751"/>
      <c r="TYA125" s="751"/>
      <c r="TYB125" s="751"/>
      <c r="TYC125" s="751"/>
      <c r="TYD125" s="751"/>
      <c r="TYE125" s="751"/>
      <c r="TYF125" s="751"/>
      <c r="TYG125" s="751"/>
      <c r="TYH125" s="751"/>
      <c r="TYI125" s="751"/>
      <c r="TYJ125" s="751"/>
      <c r="TYK125" s="751"/>
      <c r="TYL125" s="751"/>
      <c r="TYM125" s="751"/>
      <c r="TYN125" s="751"/>
      <c r="TYO125" s="751"/>
      <c r="TYP125" s="751"/>
      <c r="TYQ125" s="751"/>
      <c r="TYR125" s="751"/>
      <c r="TYS125" s="751"/>
      <c r="TYT125" s="751"/>
      <c r="TYU125" s="751"/>
      <c r="TYV125" s="751"/>
      <c r="TYW125" s="751"/>
      <c r="TYX125" s="751"/>
      <c r="TYY125" s="751"/>
      <c r="TYZ125" s="751"/>
      <c r="TZA125" s="751"/>
      <c r="TZB125" s="751"/>
      <c r="TZC125" s="751"/>
      <c r="TZD125" s="751"/>
      <c r="TZE125" s="751"/>
      <c r="TZF125" s="751"/>
      <c r="TZG125" s="751"/>
      <c r="TZH125" s="751"/>
      <c r="TZI125" s="751"/>
      <c r="TZJ125" s="751"/>
      <c r="TZK125" s="751"/>
      <c r="TZL125" s="751"/>
      <c r="TZM125" s="751"/>
      <c r="TZN125" s="751"/>
      <c r="TZO125" s="751"/>
      <c r="TZP125" s="751"/>
      <c r="TZQ125" s="751"/>
      <c r="TZR125" s="751"/>
      <c r="TZS125" s="751"/>
      <c r="TZT125" s="751"/>
      <c r="TZU125" s="751"/>
      <c r="TZV125" s="751"/>
      <c r="TZW125" s="751"/>
      <c r="TZX125" s="751"/>
      <c r="TZY125" s="751"/>
      <c r="TZZ125" s="751"/>
      <c r="UAA125" s="751"/>
      <c r="UAB125" s="751"/>
      <c r="UAC125" s="751"/>
      <c r="UAD125" s="751"/>
      <c r="UAE125" s="751"/>
      <c r="UAF125" s="751"/>
      <c r="UAG125" s="751"/>
      <c r="UAH125" s="751"/>
      <c r="UAI125" s="751"/>
      <c r="UAJ125" s="751"/>
      <c r="UAK125" s="751"/>
      <c r="UAL125" s="751"/>
      <c r="UAM125" s="751"/>
      <c r="UAN125" s="751"/>
      <c r="UAO125" s="751"/>
      <c r="UAP125" s="751"/>
      <c r="UAQ125" s="751"/>
      <c r="UAR125" s="751"/>
      <c r="UAS125" s="751"/>
      <c r="UAT125" s="751"/>
      <c r="UAU125" s="751"/>
      <c r="UAV125" s="751"/>
      <c r="UAW125" s="751"/>
      <c r="UAX125" s="751"/>
      <c r="UAY125" s="751"/>
      <c r="UAZ125" s="751"/>
      <c r="UBA125" s="751"/>
      <c r="UBB125" s="751"/>
      <c r="UBC125" s="751"/>
      <c r="UBD125" s="751"/>
      <c r="UBE125" s="751"/>
      <c r="UBF125" s="751"/>
      <c r="UBG125" s="751"/>
      <c r="UBH125" s="751"/>
      <c r="UBI125" s="751"/>
      <c r="UBJ125" s="751"/>
      <c r="UBK125" s="751"/>
      <c r="UBL125" s="751"/>
      <c r="UBM125" s="751"/>
      <c r="UBN125" s="751"/>
      <c r="UBO125" s="751"/>
      <c r="UBP125" s="751"/>
      <c r="UBQ125" s="751"/>
      <c r="UBR125" s="751"/>
      <c r="UBS125" s="751"/>
      <c r="UBT125" s="751"/>
      <c r="UBU125" s="751"/>
      <c r="UBV125" s="751"/>
      <c r="UBW125" s="751"/>
      <c r="UBX125" s="751"/>
      <c r="UBY125" s="751"/>
      <c r="UBZ125" s="751"/>
      <c r="UCA125" s="751"/>
      <c r="UCB125" s="751"/>
      <c r="UCC125" s="751"/>
      <c r="UCD125" s="751"/>
      <c r="UCE125" s="751"/>
      <c r="UCF125" s="751"/>
      <c r="UCG125" s="751"/>
      <c r="UCH125" s="751"/>
      <c r="UCI125" s="751"/>
      <c r="UCJ125" s="751"/>
      <c r="UCK125" s="751"/>
      <c r="UCL125" s="751"/>
      <c r="UCM125" s="751"/>
      <c r="UCN125" s="751"/>
      <c r="UCO125" s="751"/>
      <c r="UCP125" s="751"/>
      <c r="UCQ125" s="751"/>
      <c r="UCR125" s="751"/>
      <c r="UCS125" s="751"/>
      <c r="UCT125" s="751"/>
      <c r="UCU125" s="751"/>
      <c r="UCV125" s="751"/>
      <c r="UCW125" s="751"/>
      <c r="UCX125" s="751"/>
      <c r="UCY125" s="751"/>
      <c r="UCZ125" s="751"/>
      <c r="UDA125" s="751"/>
      <c r="UDB125" s="751"/>
      <c r="UDC125" s="751"/>
      <c r="UDD125" s="751"/>
      <c r="UDE125" s="751"/>
      <c r="UDF125" s="751"/>
      <c r="UDG125" s="751"/>
      <c r="UDH125" s="751"/>
      <c r="UDI125" s="751"/>
      <c r="UDJ125" s="751"/>
      <c r="UDK125" s="751"/>
      <c r="UDL125" s="751"/>
      <c r="UDM125" s="751"/>
      <c r="UDN125" s="751"/>
      <c r="UDO125" s="751"/>
      <c r="UDP125" s="751"/>
      <c r="UDQ125" s="751"/>
      <c r="UDR125" s="751"/>
      <c r="UDS125" s="751"/>
      <c r="UDT125" s="751"/>
      <c r="UDU125" s="751"/>
      <c r="UDV125" s="751"/>
      <c r="UDW125" s="751"/>
      <c r="UDX125" s="751"/>
      <c r="UDY125" s="751"/>
      <c r="UDZ125" s="751"/>
      <c r="UEA125" s="751"/>
      <c r="UEB125" s="751"/>
      <c r="UEC125" s="751"/>
      <c r="UED125" s="751"/>
      <c r="UEE125" s="751"/>
      <c r="UEF125" s="751"/>
      <c r="UEG125" s="751"/>
      <c r="UEH125" s="751"/>
      <c r="UEI125" s="751"/>
      <c r="UEJ125" s="751"/>
      <c r="UEK125" s="751"/>
      <c r="UEL125" s="751"/>
      <c r="UEM125" s="751"/>
      <c r="UEN125" s="751"/>
      <c r="UEO125" s="751"/>
      <c r="UEP125" s="751"/>
      <c r="UEQ125" s="751"/>
      <c r="UER125" s="751"/>
      <c r="UES125" s="751"/>
      <c r="UET125" s="751"/>
      <c r="UEU125" s="751"/>
      <c r="UEV125" s="751"/>
      <c r="UEW125" s="751"/>
      <c r="UEX125" s="751"/>
      <c r="UEY125" s="751"/>
      <c r="UEZ125" s="751"/>
      <c r="UFA125" s="751"/>
      <c r="UFB125" s="751"/>
      <c r="UFC125" s="751"/>
      <c r="UFD125" s="751"/>
      <c r="UFE125" s="751"/>
      <c r="UFF125" s="751"/>
      <c r="UFG125" s="751"/>
      <c r="UFH125" s="751"/>
      <c r="UFI125" s="751"/>
      <c r="UFJ125" s="751"/>
      <c r="UFK125" s="751"/>
      <c r="UFL125" s="751"/>
      <c r="UFM125" s="751"/>
      <c r="UFN125" s="751"/>
      <c r="UFO125" s="751"/>
      <c r="UFP125" s="751"/>
      <c r="UFQ125" s="751"/>
      <c r="UFR125" s="751"/>
      <c r="UFS125" s="751"/>
      <c r="UFT125" s="751"/>
      <c r="UFU125" s="751"/>
      <c r="UFV125" s="751"/>
      <c r="UFW125" s="751"/>
      <c r="UFX125" s="751"/>
      <c r="UFY125" s="751"/>
      <c r="UFZ125" s="751"/>
      <c r="UGA125" s="751"/>
      <c r="UGB125" s="751"/>
      <c r="UGC125" s="751"/>
      <c r="UGD125" s="751"/>
      <c r="UGE125" s="751"/>
      <c r="UGF125" s="751"/>
      <c r="UGG125" s="751"/>
      <c r="UGH125" s="751"/>
      <c r="UGI125" s="751"/>
      <c r="UGJ125" s="751"/>
      <c r="UGK125" s="751"/>
      <c r="UGL125" s="751"/>
      <c r="UGM125" s="751"/>
      <c r="UGN125" s="751"/>
      <c r="UGO125" s="751"/>
      <c r="UGP125" s="751"/>
      <c r="UGQ125" s="751"/>
      <c r="UGR125" s="751"/>
      <c r="UGS125" s="751"/>
      <c r="UGT125" s="751"/>
      <c r="UGU125" s="751"/>
      <c r="UGV125" s="751"/>
      <c r="UGW125" s="751"/>
      <c r="UGX125" s="751"/>
      <c r="UGY125" s="751"/>
      <c r="UGZ125" s="751"/>
      <c r="UHA125" s="751"/>
      <c r="UHB125" s="751"/>
      <c r="UHC125" s="751"/>
      <c r="UHD125" s="751"/>
      <c r="UHE125" s="751"/>
      <c r="UHF125" s="751"/>
      <c r="UHG125" s="751"/>
      <c r="UHH125" s="751"/>
      <c r="UHI125" s="751"/>
      <c r="UHJ125" s="751"/>
      <c r="UHK125" s="751"/>
      <c r="UHL125" s="751"/>
      <c r="UHM125" s="751"/>
      <c r="UHN125" s="751"/>
      <c r="UHO125" s="751"/>
      <c r="UHP125" s="751"/>
      <c r="UHQ125" s="751"/>
      <c r="UHR125" s="751"/>
      <c r="UHS125" s="751"/>
      <c r="UHT125" s="751"/>
      <c r="UHU125" s="751"/>
      <c r="UHV125" s="751"/>
      <c r="UHW125" s="751"/>
      <c r="UHX125" s="751"/>
      <c r="UHY125" s="751"/>
      <c r="UHZ125" s="751"/>
      <c r="UIA125" s="751"/>
      <c r="UIB125" s="751"/>
      <c r="UIC125" s="751"/>
      <c r="UID125" s="751"/>
      <c r="UIE125" s="751"/>
      <c r="UIF125" s="751"/>
      <c r="UIG125" s="751"/>
      <c r="UIH125" s="751"/>
      <c r="UII125" s="751"/>
      <c r="UIJ125" s="751"/>
      <c r="UIK125" s="751"/>
      <c r="UIL125" s="751"/>
      <c r="UIM125" s="751"/>
      <c r="UIN125" s="751"/>
      <c r="UIO125" s="751"/>
      <c r="UIP125" s="751"/>
      <c r="UIQ125" s="751"/>
      <c r="UIR125" s="751"/>
      <c r="UIS125" s="751"/>
      <c r="UIT125" s="751"/>
      <c r="UIU125" s="751"/>
      <c r="UIV125" s="751"/>
      <c r="UIW125" s="751"/>
      <c r="UIX125" s="751"/>
      <c r="UIY125" s="751"/>
      <c r="UIZ125" s="751"/>
      <c r="UJA125" s="751"/>
      <c r="UJB125" s="751"/>
      <c r="UJC125" s="751"/>
      <c r="UJD125" s="751"/>
      <c r="UJE125" s="751"/>
      <c r="UJF125" s="751"/>
      <c r="UJG125" s="751"/>
      <c r="UJH125" s="751"/>
      <c r="UJI125" s="751"/>
      <c r="UJJ125" s="751"/>
      <c r="UJK125" s="751"/>
      <c r="UJL125" s="751"/>
      <c r="UJM125" s="751"/>
      <c r="UJN125" s="751"/>
      <c r="UJO125" s="751"/>
      <c r="UJP125" s="751"/>
      <c r="UJQ125" s="751"/>
      <c r="UJR125" s="751"/>
      <c r="UJS125" s="751"/>
      <c r="UJT125" s="751"/>
      <c r="UJU125" s="751"/>
      <c r="UJV125" s="751"/>
      <c r="UJW125" s="751"/>
      <c r="UJX125" s="751"/>
      <c r="UJY125" s="751"/>
      <c r="UJZ125" s="751"/>
      <c r="UKA125" s="751"/>
      <c r="UKB125" s="751"/>
      <c r="UKC125" s="751"/>
      <c r="UKD125" s="751"/>
      <c r="UKE125" s="751"/>
      <c r="UKF125" s="751"/>
      <c r="UKG125" s="751"/>
      <c r="UKH125" s="751"/>
      <c r="UKI125" s="751"/>
      <c r="UKJ125" s="751"/>
      <c r="UKK125" s="751"/>
      <c r="UKL125" s="751"/>
      <c r="UKM125" s="751"/>
      <c r="UKN125" s="751"/>
      <c r="UKO125" s="751"/>
      <c r="UKP125" s="751"/>
      <c r="UKQ125" s="751"/>
      <c r="UKR125" s="751"/>
      <c r="UKS125" s="751"/>
      <c r="UKT125" s="751"/>
      <c r="UKU125" s="751"/>
      <c r="UKV125" s="751"/>
      <c r="UKW125" s="751"/>
      <c r="UKX125" s="751"/>
      <c r="UKY125" s="751"/>
      <c r="UKZ125" s="751"/>
      <c r="ULA125" s="751"/>
      <c r="ULB125" s="751"/>
      <c r="ULC125" s="751"/>
      <c r="ULD125" s="751"/>
      <c r="ULE125" s="751"/>
      <c r="ULF125" s="751"/>
      <c r="ULG125" s="751"/>
      <c r="ULH125" s="751"/>
      <c r="ULI125" s="751"/>
      <c r="ULJ125" s="751"/>
      <c r="ULK125" s="751"/>
      <c r="ULL125" s="751"/>
      <c r="ULM125" s="751"/>
      <c r="ULN125" s="751"/>
      <c r="ULO125" s="751"/>
      <c r="ULP125" s="751"/>
      <c r="ULQ125" s="751"/>
      <c r="ULR125" s="751"/>
      <c r="ULS125" s="751"/>
      <c r="ULT125" s="751"/>
      <c r="ULU125" s="751"/>
      <c r="ULV125" s="751"/>
      <c r="ULW125" s="751"/>
      <c r="ULX125" s="751"/>
      <c r="ULY125" s="751"/>
      <c r="ULZ125" s="751"/>
      <c r="UMA125" s="751"/>
      <c r="UMB125" s="751"/>
      <c r="UMC125" s="751"/>
      <c r="UMD125" s="751"/>
      <c r="UME125" s="751"/>
      <c r="UMF125" s="751"/>
      <c r="UMG125" s="751"/>
      <c r="UMH125" s="751"/>
      <c r="UMI125" s="751"/>
      <c r="UMJ125" s="751"/>
      <c r="UMK125" s="751"/>
      <c r="UML125" s="751"/>
      <c r="UMM125" s="751"/>
      <c r="UMN125" s="751"/>
      <c r="UMO125" s="751"/>
      <c r="UMP125" s="751"/>
      <c r="UMQ125" s="751"/>
      <c r="UMR125" s="751"/>
      <c r="UMS125" s="751"/>
      <c r="UMT125" s="751"/>
      <c r="UMU125" s="751"/>
      <c r="UMV125" s="751"/>
      <c r="UMW125" s="751"/>
      <c r="UMX125" s="751"/>
      <c r="UMY125" s="751"/>
      <c r="UMZ125" s="751"/>
      <c r="UNA125" s="751"/>
      <c r="UNB125" s="751"/>
      <c r="UNC125" s="751"/>
      <c r="UND125" s="751"/>
      <c r="UNE125" s="751"/>
      <c r="UNF125" s="751"/>
      <c r="UNG125" s="751"/>
      <c r="UNH125" s="751"/>
      <c r="UNI125" s="751"/>
      <c r="UNJ125" s="751"/>
      <c r="UNK125" s="751"/>
      <c r="UNL125" s="751"/>
      <c r="UNM125" s="751"/>
      <c r="UNN125" s="751"/>
      <c r="UNO125" s="751"/>
      <c r="UNP125" s="751"/>
      <c r="UNQ125" s="751"/>
      <c r="UNR125" s="751"/>
      <c r="UNS125" s="751"/>
      <c r="UNT125" s="751"/>
      <c r="UNU125" s="751"/>
      <c r="UNV125" s="751"/>
      <c r="UNW125" s="751"/>
      <c r="UNX125" s="751"/>
      <c r="UNY125" s="751"/>
      <c r="UNZ125" s="751"/>
      <c r="UOA125" s="751"/>
      <c r="UOB125" s="751"/>
      <c r="UOC125" s="751"/>
      <c r="UOD125" s="751"/>
      <c r="UOE125" s="751"/>
      <c r="UOF125" s="751"/>
      <c r="UOG125" s="751"/>
      <c r="UOH125" s="751"/>
      <c r="UOI125" s="751"/>
      <c r="UOJ125" s="751"/>
      <c r="UOK125" s="751"/>
      <c r="UOL125" s="751"/>
      <c r="UOM125" s="751"/>
      <c r="UON125" s="751"/>
      <c r="UOO125" s="751"/>
      <c r="UOP125" s="751"/>
      <c r="UOQ125" s="751"/>
      <c r="UOR125" s="751"/>
      <c r="UOS125" s="751"/>
      <c r="UOT125" s="751"/>
      <c r="UOU125" s="751"/>
      <c r="UOV125" s="751"/>
      <c r="UOW125" s="751"/>
      <c r="UOX125" s="751"/>
      <c r="UOY125" s="751"/>
      <c r="UOZ125" s="751"/>
      <c r="UPA125" s="751"/>
      <c r="UPB125" s="751"/>
      <c r="UPC125" s="751"/>
      <c r="UPD125" s="751"/>
      <c r="UPE125" s="751"/>
      <c r="UPF125" s="751"/>
      <c r="UPG125" s="751"/>
      <c r="UPH125" s="751"/>
      <c r="UPI125" s="751"/>
      <c r="UPJ125" s="751"/>
      <c r="UPK125" s="751"/>
      <c r="UPL125" s="751"/>
      <c r="UPM125" s="751"/>
      <c r="UPN125" s="751"/>
      <c r="UPO125" s="751"/>
      <c r="UPP125" s="751"/>
      <c r="UPQ125" s="751"/>
      <c r="UPR125" s="751"/>
      <c r="UPS125" s="751"/>
      <c r="UPT125" s="751"/>
      <c r="UPU125" s="751"/>
      <c r="UPV125" s="751"/>
      <c r="UPW125" s="751"/>
      <c r="UPX125" s="751"/>
      <c r="UPY125" s="751"/>
      <c r="UPZ125" s="751"/>
      <c r="UQA125" s="751"/>
      <c r="UQB125" s="751"/>
      <c r="UQC125" s="751"/>
      <c r="UQD125" s="751"/>
      <c r="UQE125" s="751"/>
      <c r="UQF125" s="751"/>
      <c r="UQG125" s="751"/>
      <c r="UQH125" s="751"/>
      <c r="UQI125" s="751"/>
      <c r="UQJ125" s="751"/>
      <c r="UQK125" s="751"/>
      <c r="UQL125" s="751"/>
      <c r="UQM125" s="751"/>
      <c r="UQN125" s="751"/>
      <c r="UQO125" s="751"/>
      <c r="UQP125" s="751"/>
      <c r="UQQ125" s="751"/>
      <c r="UQR125" s="751"/>
      <c r="UQS125" s="751"/>
      <c r="UQT125" s="751"/>
      <c r="UQU125" s="751"/>
      <c r="UQV125" s="751"/>
      <c r="UQW125" s="751"/>
      <c r="UQX125" s="751"/>
      <c r="UQY125" s="751"/>
      <c r="UQZ125" s="751"/>
      <c r="URA125" s="751"/>
      <c r="URB125" s="751"/>
      <c r="URC125" s="751"/>
      <c r="URD125" s="751"/>
      <c r="URE125" s="751"/>
      <c r="URF125" s="751"/>
      <c r="URG125" s="751"/>
      <c r="URH125" s="751"/>
      <c r="URI125" s="751"/>
      <c r="URJ125" s="751"/>
      <c r="URK125" s="751"/>
      <c r="URL125" s="751"/>
      <c r="URM125" s="751"/>
      <c r="URN125" s="751"/>
      <c r="URO125" s="751"/>
      <c r="URP125" s="751"/>
      <c r="URQ125" s="751"/>
      <c r="URR125" s="751"/>
      <c r="URS125" s="751"/>
      <c r="URT125" s="751"/>
      <c r="URU125" s="751"/>
      <c r="URV125" s="751"/>
      <c r="URW125" s="751"/>
      <c r="URX125" s="751"/>
      <c r="URY125" s="751"/>
      <c r="URZ125" s="751"/>
      <c r="USA125" s="751"/>
      <c r="USB125" s="751"/>
      <c r="USC125" s="751"/>
      <c r="USD125" s="751"/>
      <c r="USE125" s="751"/>
      <c r="USF125" s="751"/>
      <c r="USG125" s="751"/>
      <c r="USH125" s="751"/>
      <c r="USI125" s="751"/>
      <c r="USJ125" s="751"/>
      <c r="USK125" s="751"/>
      <c r="USL125" s="751"/>
      <c r="USM125" s="751"/>
      <c r="USN125" s="751"/>
      <c r="USO125" s="751"/>
      <c r="USP125" s="751"/>
      <c r="USQ125" s="751"/>
      <c r="USR125" s="751"/>
      <c r="USS125" s="751"/>
      <c r="UST125" s="751"/>
      <c r="USU125" s="751"/>
      <c r="USV125" s="751"/>
      <c r="USW125" s="751"/>
      <c r="USX125" s="751"/>
      <c r="USY125" s="751"/>
      <c r="USZ125" s="751"/>
      <c r="UTA125" s="751"/>
      <c r="UTB125" s="751"/>
      <c r="UTC125" s="751"/>
      <c r="UTD125" s="751"/>
      <c r="UTE125" s="751"/>
      <c r="UTF125" s="751"/>
      <c r="UTG125" s="751"/>
      <c r="UTH125" s="751"/>
      <c r="UTI125" s="751"/>
      <c r="UTJ125" s="751"/>
      <c r="UTK125" s="751"/>
      <c r="UTL125" s="751"/>
      <c r="UTM125" s="751"/>
      <c r="UTN125" s="751"/>
      <c r="UTO125" s="751"/>
      <c r="UTP125" s="751"/>
      <c r="UTQ125" s="751"/>
      <c r="UTR125" s="751"/>
      <c r="UTS125" s="751"/>
      <c r="UTT125" s="751"/>
      <c r="UTU125" s="751"/>
      <c r="UTV125" s="751"/>
      <c r="UTW125" s="751"/>
      <c r="UTX125" s="751"/>
      <c r="UTY125" s="751"/>
      <c r="UTZ125" s="751"/>
      <c r="UUA125" s="751"/>
      <c r="UUB125" s="751"/>
      <c r="UUC125" s="751"/>
      <c r="UUD125" s="751"/>
      <c r="UUE125" s="751"/>
      <c r="UUF125" s="751"/>
      <c r="UUG125" s="751"/>
      <c r="UUH125" s="751"/>
      <c r="UUI125" s="751"/>
      <c r="UUJ125" s="751"/>
      <c r="UUK125" s="751"/>
      <c r="UUL125" s="751"/>
      <c r="UUM125" s="751"/>
      <c r="UUN125" s="751"/>
      <c r="UUO125" s="751"/>
      <c r="UUP125" s="751"/>
      <c r="UUQ125" s="751"/>
      <c r="UUR125" s="751"/>
      <c r="UUS125" s="751"/>
      <c r="UUT125" s="751"/>
      <c r="UUU125" s="751"/>
      <c r="UUV125" s="751"/>
      <c r="UUW125" s="751"/>
      <c r="UUX125" s="751"/>
      <c r="UUY125" s="751"/>
      <c r="UUZ125" s="751"/>
      <c r="UVA125" s="751"/>
      <c r="UVB125" s="751"/>
      <c r="UVC125" s="751"/>
      <c r="UVD125" s="751"/>
      <c r="UVE125" s="751"/>
      <c r="UVF125" s="751"/>
      <c r="UVG125" s="751"/>
      <c r="UVH125" s="751"/>
      <c r="UVI125" s="751"/>
      <c r="UVJ125" s="751"/>
      <c r="UVK125" s="751"/>
      <c r="UVL125" s="751"/>
      <c r="UVM125" s="751"/>
      <c r="UVN125" s="751"/>
      <c r="UVO125" s="751"/>
      <c r="UVP125" s="751"/>
      <c r="UVQ125" s="751"/>
      <c r="UVR125" s="751"/>
      <c r="UVS125" s="751"/>
      <c r="UVT125" s="751"/>
      <c r="UVU125" s="751"/>
      <c r="UVV125" s="751"/>
      <c r="UVW125" s="751"/>
      <c r="UVX125" s="751"/>
      <c r="UVY125" s="751"/>
      <c r="UVZ125" s="751"/>
      <c r="UWA125" s="751"/>
      <c r="UWB125" s="751"/>
      <c r="UWC125" s="751"/>
      <c r="UWD125" s="751"/>
      <c r="UWE125" s="751"/>
      <c r="UWF125" s="751"/>
      <c r="UWG125" s="751"/>
      <c r="UWH125" s="751"/>
      <c r="UWI125" s="751"/>
      <c r="UWJ125" s="751"/>
      <c r="UWK125" s="751"/>
      <c r="UWL125" s="751"/>
      <c r="UWM125" s="751"/>
      <c r="UWN125" s="751"/>
      <c r="UWO125" s="751"/>
      <c r="UWP125" s="751"/>
      <c r="UWQ125" s="751"/>
      <c r="UWR125" s="751"/>
      <c r="UWS125" s="751"/>
      <c r="UWT125" s="751"/>
      <c r="UWU125" s="751"/>
      <c r="UWV125" s="751"/>
      <c r="UWW125" s="751"/>
      <c r="UWX125" s="751"/>
      <c r="UWY125" s="751"/>
      <c r="UWZ125" s="751"/>
      <c r="UXA125" s="751"/>
      <c r="UXB125" s="751"/>
      <c r="UXC125" s="751"/>
      <c r="UXD125" s="751"/>
      <c r="UXE125" s="751"/>
      <c r="UXF125" s="751"/>
      <c r="UXG125" s="751"/>
      <c r="UXH125" s="751"/>
      <c r="UXI125" s="751"/>
      <c r="UXJ125" s="751"/>
      <c r="UXK125" s="751"/>
      <c r="UXL125" s="751"/>
      <c r="UXM125" s="751"/>
      <c r="UXN125" s="751"/>
      <c r="UXO125" s="751"/>
      <c r="UXP125" s="751"/>
      <c r="UXQ125" s="751"/>
      <c r="UXR125" s="751"/>
      <c r="UXS125" s="751"/>
      <c r="UXT125" s="751"/>
      <c r="UXU125" s="751"/>
      <c r="UXV125" s="751"/>
      <c r="UXW125" s="751"/>
      <c r="UXX125" s="751"/>
      <c r="UXY125" s="751"/>
      <c r="UXZ125" s="751"/>
      <c r="UYA125" s="751"/>
      <c r="UYB125" s="751"/>
      <c r="UYC125" s="751"/>
      <c r="UYD125" s="751"/>
      <c r="UYE125" s="751"/>
      <c r="UYF125" s="751"/>
      <c r="UYG125" s="751"/>
      <c r="UYH125" s="751"/>
      <c r="UYI125" s="751"/>
      <c r="UYJ125" s="751"/>
      <c r="UYK125" s="751"/>
      <c r="UYL125" s="751"/>
      <c r="UYM125" s="751"/>
      <c r="UYN125" s="751"/>
      <c r="UYO125" s="751"/>
      <c r="UYP125" s="751"/>
      <c r="UYQ125" s="751"/>
      <c r="UYR125" s="751"/>
      <c r="UYS125" s="751"/>
      <c r="UYT125" s="751"/>
      <c r="UYU125" s="751"/>
      <c r="UYV125" s="751"/>
      <c r="UYW125" s="751"/>
      <c r="UYX125" s="751"/>
      <c r="UYY125" s="751"/>
      <c r="UYZ125" s="751"/>
      <c r="UZA125" s="751"/>
      <c r="UZB125" s="751"/>
      <c r="UZC125" s="751"/>
      <c r="UZD125" s="751"/>
      <c r="UZE125" s="751"/>
      <c r="UZF125" s="751"/>
      <c r="UZG125" s="751"/>
      <c r="UZH125" s="751"/>
      <c r="UZI125" s="751"/>
      <c r="UZJ125" s="751"/>
      <c r="UZK125" s="751"/>
      <c r="UZL125" s="751"/>
      <c r="UZM125" s="751"/>
      <c r="UZN125" s="751"/>
      <c r="UZO125" s="751"/>
      <c r="UZP125" s="751"/>
      <c r="UZQ125" s="751"/>
      <c r="UZR125" s="751"/>
      <c r="UZS125" s="751"/>
      <c r="UZT125" s="751"/>
      <c r="UZU125" s="751"/>
      <c r="UZV125" s="751"/>
      <c r="UZW125" s="751"/>
      <c r="UZX125" s="751"/>
      <c r="UZY125" s="751"/>
      <c r="UZZ125" s="751"/>
      <c r="VAA125" s="751"/>
      <c r="VAB125" s="751"/>
      <c r="VAC125" s="751"/>
      <c r="VAD125" s="751"/>
      <c r="VAE125" s="751"/>
      <c r="VAF125" s="751"/>
      <c r="VAG125" s="751"/>
      <c r="VAH125" s="751"/>
      <c r="VAI125" s="751"/>
      <c r="VAJ125" s="751"/>
      <c r="VAK125" s="751"/>
      <c r="VAL125" s="751"/>
      <c r="VAM125" s="751"/>
      <c r="VAN125" s="751"/>
      <c r="VAO125" s="751"/>
      <c r="VAP125" s="751"/>
      <c r="VAQ125" s="751"/>
      <c r="VAR125" s="751"/>
      <c r="VAS125" s="751"/>
      <c r="VAT125" s="751"/>
      <c r="VAU125" s="751"/>
      <c r="VAV125" s="751"/>
      <c r="VAW125" s="751"/>
      <c r="VAX125" s="751"/>
      <c r="VAY125" s="751"/>
      <c r="VAZ125" s="751"/>
      <c r="VBA125" s="751"/>
      <c r="VBB125" s="751"/>
      <c r="VBC125" s="751"/>
      <c r="VBD125" s="751"/>
      <c r="VBE125" s="751"/>
      <c r="VBF125" s="751"/>
      <c r="VBG125" s="751"/>
      <c r="VBH125" s="751"/>
      <c r="VBI125" s="751"/>
      <c r="VBJ125" s="751"/>
      <c r="VBK125" s="751"/>
      <c r="VBL125" s="751"/>
      <c r="VBM125" s="751"/>
      <c r="VBN125" s="751"/>
      <c r="VBO125" s="751"/>
      <c r="VBP125" s="751"/>
      <c r="VBQ125" s="751"/>
      <c r="VBR125" s="751"/>
      <c r="VBS125" s="751"/>
      <c r="VBT125" s="751"/>
      <c r="VBU125" s="751"/>
      <c r="VBV125" s="751"/>
      <c r="VBW125" s="751"/>
      <c r="VBX125" s="751"/>
      <c r="VBY125" s="751"/>
      <c r="VBZ125" s="751"/>
      <c r="VCA125" s="751"/>
      <c r="VCB125" s="751"/>
      <c r="VCC125" s="751"/>
      <c r="VCD125" s="751"/>
      <c r="VCE125" s="751"/>
      <c r="VCF125" s="751"/>
      <c r="VCG125" s="751"/>
      <c r="VCH125" s="751"/>
      <c r="VCI125" s="751"/>
      <c r="VCJ125" s="751"/>
      <c r="VCK125" s="751"/>
      <c r="VCL125" s="751"/>
      <c r="VCM125" s="751"/>
      <c r="VCN125" s="751"/>
      <c r="VCO125" s="751"/>
      <c r="VCP125" s="751"/>
      <c r="VCQ125" s="751"/>
      <c r="VCR125" s="751"/>
      <c r="VCS125" s="751"/>
      <c r="VCT125" s="751"/>
      <c r="VCU125" s="751"/>
      <c r="VCV125" s="751"/>
      <c r="VCW125" s="751"/>
      <c r="VCX125" s="751"/>
      <c r="VCY125" s="751"/>
      <c r="VCZ125" s="751"/>
      <c r="VDA125" s="751"/>
      <c r="VDB125" s="751"/>
      <c r="VDC125" s="751"/>
      <c r="VDD125" s="751"/>
      <c r="VDE125" s="751"/>
      <c r="VDF125" s="751"/>
      <c r="VDG125" s="751"/>
      <c r="VDH125" s="751"/>
      <c r="VDI125" s="751"/>
      <c r="VDJ125" s="751"/>
      <c r="VDK125" s="751"/>
      <c r="VDL125" s="751"/>
      <c r="VDM125" s="751"/>
      <c r="VDN125" s="751"/>
      <c r="VDO125" s="751"/>
      <c r="VDP125" s="751"/>
      <c r="VDQ125" s="751"/>
      <c r="VDR125" s="751"/>
      <c r="VDS125" s="751"/>
      <c r="VDT125" s="751"/>
      <c r="VDU125" s="751"/>
      <c r="VDV125" s="751"/>
      <c r="VDW125" s="751"/>
      <c r="VDX125" s="751"/>
      <c r="VDY125" s="751"/>
      <c r="VDZ125" s="751"/>
      <c r="VEA125" s="751"/>
      <c r="VEB125" s="751"/>
      <c r="VEC125" s="751"/>
      <c r="VED125" s="751"/>
      <c r="VEE125" s="751"/>
      <c r="VEF125" s="751"/>
      <c r="VEG125" s="751"/>
      <c r="VEH125" s="751"/>
      <c r="VEI125" s="751"/>
      <c r="VEJ125" s="751"/>
      <c r="VEK125" s="751"/>
      <c r="VEL125" s="751"/>
      <c r="VEM125" s="751"/>
      <c r="VEN125" s="751"/>
      <c r="VEO125" s="751"/>
      <c r="VEP125" s="751"/>
      <c r="VEQ125" s="751"/>
      <c r="VER125" s="751"/>
      <c r="VES125" s="751"/>
      <c r="VET125" s="751"/>
      <c r="VEU125" s="751"/>
      <c r="VEV125" s="751"/>
      <c r="VEW125" s="751"/>
      <c r="VEX125" s="751"/>
      <c r="VEY125" s="751"/>
      <c r="VEZ125" s="751"/>
      <c r="VFA125" s="751"/>
      <c r="VFB125" s="751"/>
      <c r="VFC125" s="751"/>
      <c r="VFD125" s="751"/>
      <c r="VFE125" s="751"/>
      <c r="VFF125" s="751"/>
      <c r="VFG125" s="751"/>
      <c r="VFH125" s="751"/>
      <c r="VFI125" s="751"/>
      <c r="VFJ125" s="751"/>
      <c r="VFK125" s="751"/>
      <c r="VFL125" s="751"/>
      <c r="VFM125" s="751"/>
      <c r="VFN125" s="751"/>
      <c r="VFO125" s="751"/>
      <c r="VFP125" s="751"/>
      <c r="VFQ125" s="751"/>
      <c r="VFR125" s="751"/>
      <c r="VFS125" s="751"/>
      <c r="VFT125" s="751"/>
      <c r="VFU125" s="751"/>
      <c r="VFV125" s="751"/>
      <c r="VFW125" s="751"/>
      <c r="VFX125" s="751"/>
      <c r="VFY125" s="751"/>
      <c r="VFZ125" s="751"/>
      <c r="VGA125" s="751"/>
      <c r="VGB125" s="751"/>
      <c r="VGC125" s="751"/>
      <c r="VGD125" s="751"/>
      <c r="VGE125" s="751"/>
      <c r="VGF125" s="751"/>
      <c r="VGG125" s="751"/>
      <c r="VGH125" s="751"/>
      <c r="VGI125" s="751"/>
      <c r="VGJ125" s="751"/>
      <c r="VGK125" s="751"/>
      <c r="VGL125" s="751"/>
      <c r="VGM125" s="751"/>
      <c r="VGN125" s="751"/>
      <c r="VGO125" s="751"/>
      <c r="VGP125" s="751"/>
      <c r="VGQ125" s="751"/>
      <c r="VGR125" s="751"/>
      <c r="VGS125" s="751"/>
      <c r="VGT125" s="751"/>
      <c r="VGU125" s="751"/>
      <c r="VGV125" s="751"/>
      <c r="VGW125" s="751"/>
      <c r="VGX125" s="751"/>
      <c r="VGY125" s="751"/>
      <c r="VGZ125" s="751"/>
      <c r="VHA125" s="751"/>
      <c r="VHB125" s="751"/>
      <c r="VHC125" s="751"/>
      <c r="VHD125" s="751"/>
      <c r="VHE125" s="751"/>
      <c r="VHF125" s="751"/>
      <c r="VHG125" s="751"/>
      <c r="VHH125" s="751"/>
      <c r="VHI125" s="751"/>
      <c r="VHJ125" s="751"/>
      <c r="VHK125" s="751"/>
      <c r="VHL125" s="751"/>
      <c r="VHM125" s="751"/>
      <c r="VHN125" s="751"/>
      <c r="VHO125" s="751"/>
      <c r="VHP125" s="751"/>
      <c r="VHQ125" s="751"/>
      <c r="VHR125" s="751"/>
      <c r="VHS125" s="751"/>
      <c r="VHT125" s="751"/>
      <c r="VHU125" s="751"/>
      <c r="VHV125" s="751"/>
      <c r="VHW125" s="751"/>
      <c r="VHX125" s="751"/>
      <c r="VHY125" s="751"/>
      <c r="VHZ125" s="751"/>
      <c r="VIA125" s="751"/>
      <c r="VIB125" s="751"/>
      <c r="VIC125" s="751"/>
      <c r="VID125" s="751"/>
      <c r="VIE125" s="751"/>
      <c r="VIF125" s="751"/>
      <c r="VIG125" s="751"/>
      <c r="VIH125" s="751"/>
      <c r="VII125" s="751"/>
      <c r="VIJ125" s="751"/>
      <c r="VIK125" s="751"/>
      <c r="VIL125" s="751"/>
      <c r="VIM125" s="751"/>
      <c r="VIN125" s="751"/>
      <c r="VIO125" s="751"/>
      <c r="VIP125" s="751"/>
      <c r="VIQ125" s="751"/>
      <c r="VIR125" s="751"/>
      <c r="VIS125" s="751"/>
      <c r="VIT125" s="751"/>
      <c r="VIU125" s="751"/>
      <c r="VIV125" s="751"/>
      <c r="VIW125" s="751"/>
      <c r="VIX125" s="751"/>
      <c r="VIY125" s="751"/>
      <c r="VIZ125" s="751"/>
      <c r="VJA125" s="751"/>
      <c r="VJB125" s="751"/>
      <c r="VJC125" s="751"/>
      <c r="VJD125" s="751"/>
      <c r="VJE125" s="751"/>
      <c r="VJF125" s="751"/>
      <c r="VJG125" s="751"/>
      <c r="VJH125" s="751"/>
      <c r="VJI125" s="751"/>
      <c r="VJJ125" s="751"/>
      <c r="VJK125" s="751"/>
      <c r="VJL125" s="751"/>
      <c r="VJM125" s="751"/>
      <c r="VJN125" s="751"/>
      <c r="VJO125" s="751"/>
      <c r="VJP125" s="751"/>
      <c r="VJQ125" s="751"/>
      <c r="VJR125" s="751"/>
      <c r="VJS125" s="751"/>
      <c r="VJT125" s="751"/>
      <c r="VJU125" s="751"/>
      <c r="VJV125" s="751"/>
      <c r="VJW125" s="751"/>
      <c r="VJX125" s="751"/>
      <c r="VJY125" s="751"/>
      <c r="VJZ125" s="751"/>
      <c r="VKA125" s="751"/>
      <c r="VKB125" s="751"/>
      <c r="VKC125" s="751"/>
      <c r="VKD125" s="751"/>
      <c r="VKE125" s="751"/>
      <c r="VKF125" s="751"/>
      <c r="VKG125" s="751"/>
      <c r="VKH125" s="751"/>
      <c r="VKI125" s="751"/>
      <c r="VKJ125" s="751"/>
      <c r="VKK125" s="751"/>
      <c r="VKL125" s="751"/>
      <c r="VKM125" s="751"/>
      <c r="VKN125" s="751"/>
      <c r="VKO125" s="751"/>
      <c r="VKP125" s="751"/>
      <c r="VKQ125" s="751"/>
      <c r="VKR125" s="751"/>
      <c r="VKS125" s="751"/>
      <c r="VKT125" s="751"/>
      <c r="VKU125" s="751"/>
      <c r="VKV125" s="751"/>
      <c r="VKW125" s="751"/>
      <c r="VKX125" s="751"/>
      <c r="VKY125" s="751"/>
      <c r="VKZ125" s="751"/>
      <c r="VLA125" s="751"/>
      <c r="VLB125" s="751"/>
      <c r="VLC125" s="751"/>
      <c r="VLD125" s="751"/>
      <c r="VLE125" s="751"/>
      <c r="VLF125" s="751"/>
      <c r="VLG125" s="751"/>
      <c r="VLH125" s="751"/>
      <c r="VLI125" s="751"/>
      <c r="VLJ125" s="751"/>
      <c r="VLK125" s="751"/>
      <c r="VLL125" s="751"/>
      <c r="VLM125" s="751"/>
      <c r="VLN125" s="751"/>
      <c r="VLO125" s="751"/>
      <c r="VLP125" s="751"/>
      <c r="VLQ125" s="751"/>
      <c r="VLR125" s="751"/>
      <c r="VLS125" s="751"/>
      <c r="VLT125" s="751"/>
      <c r="VLU125" s="751"/>
      <c r="VLV125" s="751"/>
      <c r="VLW125" s="751"/>
      <c r="VLX125" s="751"/>
      <c r="VLY125" s="751"/>
      <c r="VLZ125" s="751"/>
      <c r="VMA125" s="751"/>
      <c r="VMB125" s="751"/>
      <c r="VMC125" s="751"/>
      <c r="VMD125" s="751"/>
      <c r="VME125" s="751"/>
      <c r="VMF125" s="751"/>
      <c r="VMG125" s="751"/>
      <c r="VMH125" s="751"/>
      <c r="VMI125" s="751"/>
      <c r="VMJ125" s="751"/>
      <c r="VMK125" s="751"/>
      <c r="VML125" s="751"/>
      <c r="VMM125" s="751"/>
      <c r="VMN125" s="751"/>
      <c r="VMO125" s="751"/>
      <c r="VMP125" s="751"/>
      <c r="VMQ125" s="751"/>
      <c r="VMR125" s="751"/>
      <c r="VMS125" s="751"/>
      <c r="VMT125" s="751"/>
      <c r="VMU125" s="751"/>
      <c r="VMV125" s="751"/>
      <c r="VMW125" s="751"/>
      <c r="VMX125" s="751"/>
      <c r="VMY125" s="751"/>
      <c r="VMZ125" s="751"/>
      <c r="VNA125" s="751"/>
      <c r="VNB125" s="751"/>
      <c r="VNC125" s="751"/>
      <c r="VND125" s="751"/>
      <c r="VNE125" s="751"/>
      <c r="VNF125" s="751"/>
      <c r="VNG125" s="751"/>
      <c r="VNH125" s="751"/>
      <c r="VNI125" s="751"/>
      <c r="VNJ125" s="751"/>
      <c r="VNK125" s="751"/>
      <c r="VNL125" s="751"/>
      <c r="VNM125" s="751"/>
      <c r="VNN125" s="751"/>
      <c r="VNO125" s="751"/>
      <c r="VNP125" s="751"/>
      <c r="VNQ125" s="751"/>
      <c r="VNR125" s="751"/>
      <c r="VNS125" s="751"/>
      <c r="VNT125" s="751"/>
      <c r="VNU125" s="751"/>
      <c r="VNV125" s="751"/>
      <c r="VNW125" s="751"/>
      <c r="VNX125" s="751"/>
      <c r="VNY125" s="751"/>
      <c r="VNZ125" s="751"/>
      <c r="VOA125" s="751"/>
      <c r="VOB125" s="751"/>
      <c r="VOC125" s="751"/>
      <c r="VOD125" s="751"/>
      <c r="VOE125" s="751"/>
      <c r="VOF125" s="751"/>
      <c r="VOG125" s="751"/>
      <c r="VOH125" s="751"/>
      <c r="VOI125" s="751"/>
      <c r="VOJ125" s="751"/>
      <c r="VOK125" s="751"/>
      <c r="VOL125" s="751"/>
      <c r="VOM125" s="751"/>
      <c r="VON125" s="751"/>
      <c r="VOO125" s="751"/>
      <c r="VOP125" s="751"/>
      <c r="VOQ125" s="751"/>
      <c r="VOR125" s="751"/>
      <c r="VOS125" s="751"/>
      <c r="VOT125" s="751"/>
      <c r="VOU125" s="751"/>
      <c r="VOV125" s="751"/>
      <c r="VOW125" s="751"/>
      <c r="VOX125" s="751"/>
      <c r="VOY125" s="751"/>
      <c r="VOZ125" s="751"/>
      <c r="VPA125" s="751"/>
      <c r="VPB125" s="751"/>
      <c r="VPC125" s="751"/>
      <c r="VPD125" s="751"/>
      <c r="VPE125" s="751"/>
      <c r="VPF125" s="751"/>
      <c r="VPG125" s="751"/>
      <c r="VPH125" s="751"/>
      <c r="VPI125" s="751"/>
      <c r="VPJ125" s="751"/>
      <c r="VPK125" s="751"/>
      <c r="VPL125" s="751"/>
      <c r="VPM125" s="751"/>
      <c r="VPN125" s="751"/>
      <c r="VPO125" s="751"/>
      <c r="VPP125" s="751"/>
      <c r="VPQ125" s="751"/>
      <c r="VPR125" s="751"/>
      <c r="VPS125" s="751"/>
      <c r="VPT125" s="751"/>
      <c r="VPU125" s="751"/>
      <c r="VPV125" s="751"/>
      <c r="VPW125" s="751"/>
      <c r="VPX125" s="751"/>
      <c r="VPY125" s="751"/>
      <c r="VPZ125" s="751"/>
      <c r="VQA125" s="751"/>
      <c r="VQB125" s="751"/>
      <c r="VQC125" s="751"/>
      <c r="VQD125" s="751"/>
      <c r="VQE125" s="751"/>
      <c r="VQF125" s="751"/>
      <c r="VQG125" s="751"/>
      <c r="VQH125" s="751"/>
      <c r="VQI125" s="751"/>
      <c r="VQJ125" s="751"/>
      <c r="VQK125" s="751"/>
      <c r="VQL125" s="751"/>
      <c r="VQM125" s="751"/>
      <c r="VQN125" s="751"/>
      <c r="VQO125" s="751"/>
      <c r="VQP125" s="751"/>
      <c r="VQQ125" s="751"/>
      <c r="VQR125" s="751"/>
      <c r="VQS125" s="751"/>
      <c r="VQT125" s="751"/>
      <c r="VQU125" s="751"/>
      <c r="VQV125" s="751"/>
      <c r="VQW125" s="751"/>
      <c r="VQX125" s="751"/>
      <c r="VQY125" s="751"/>
      <c r="VQZ125" s="751"/>
      <c r="VRA125" s="751"/>
      <c r="VRB125" s="751"/>
      <c r="VRC125" s="751"/>
      <c r="VRD125" s="751"/>
      <c r="VRE125" s="751"/>
      <c r="VRF125" s="751"/>
      <c r="VRG125" s="751"/>
      <c r="VRH125" s="751"/>
      <c r="VRI125" s="751"/>
      <c r="VRJ125" s="751"/>
      <c r="VRK125" s="751"/>
      <c r="VRL125" s="751"/>
      <c r="VRM125" s="751"/>
      <c r="VRN125" s="751"/>
      <c r="VRO125" s="751"/>
      <c r="VRP125" s="751"/>
      <c r="VRQ125" s="751"/>
      <c r="VRR125" s="751"/>
      <c r="VRS125" s="751"/>
      <c r="VRT125" s="751"/>
      <c r="VRU125" s="751"/>
      <c r="VRV125" s="751"/>
      <c r="VRW125" s="751"/>
      <c r="VRX125" s="751"/>
      <c r="VRY125" s="751"/>
      <c r="VRZ125" s="751"/>
      <c r="VSA125" s="751"/>
      <c r="VSB125" s="751"/>
      <c r="VSC125" s="751"/>
      <c r="VSD125" s="751"/>
      <c r="VSE125" s="751"/>
      <c r="VSF125" s="751"/>
      <c r="VSG125" s="751"/>
      <c r="VSH125" s="751"/>
      <c r="VSI125" s="751"/>
      <c r="VSJ125" s="751"/>
      <c r="VSK125" s="751"/>
      <c r="VSL125" s="751"/>
      <c r="VSM125" s="751"/>
      <c r="VSN125" s="751"/>
      <c r="VSO125" s="751"/>
      <c r="VSP125" s="751"/>
      <c r="VSQ125" s="751"/>
      <c r="VSR125" s="751"/>
      <c r="VSS125" s="751"/>
      <c r="VST125" s="751"/>
      <c r="VSU125" s="751"/>
      <c r="VSV125" s="751"/>
      <c r="VSW125" s="751"/>
      <c r="VSX125" s="751"/>
      <c r="VSY125" s="751"/>
      <c r="VSZ125" s="751"/>
      <c r="VTA125" s="751"/>
      <c r="VTB125" s="751"/>
      <c r="VTC125" s="751"/>
      <c r="VTD125" s="751"/>
      <c r="VTE125" s="751"/>
      <c r="VTF125" s="751"/>
      <c r="VTG125" s="751"/>
      <c r="VTH125" s="751"/>
      <c r="VTI125" s="751"/>
      <c r="VTJ125" s="751"/>
      <c r="VTK125" s="751"/>
      <c r="VTL125" s="751"/>
      <c r="VTM125" s="751"/>
      <c r="VTN125" s="751"/>
      <c r="VTO125" s="751"/>
      <c r="VTP125" s="751"/>
      <c r="VTQ125" s="751"/>
      <c r="VTR125" s="751"/>
      <c r="VTS125" s="751"/>
      <c r="VTT125" s="751"/>
      <c r="VTU125" s="751"/>
      <c r="VTV125" s="751"/>
      <c r="VTW125" s="751"/>
      <c r="VTX125" s="751"/>
      <c r="VTY125" s="751"/>
      <c r="VTZ125" s="751"/>
      <c r="VUA125" s="751"/>
      <c r="VUB125" s="751"/>
      <c r="VUC125" s="751"/>
      <c r="VUD125" s="751"/>
      <c r="VUE125" s="751"/>
      <c r="VUF125" s="751"/>
      <c r="VUG125" s="751"/>
      <c r="VUH125" s="751"/>
      <c r="VUI125" s="751"/>
      <c r="VUJ125" s="751"/>
      <c r="VUK125" s="751"/>
      <c r="VUL125" s="751"/>
      <c r="VUM125" s="751"/>
      <c r="VUN125" s="751"/>
      <c r="VUO125" s="751"/>
      <c r="VUP125" s="751"/>
      <c r="VUQ125" s="751"/>
      <c r="VUR125" s="751"/>
      <c r="VUS125" s="751"/>
      <c r="VUT125" s="751"/>
      <c r="VUU125" s="751"/>
      <c r="VUV125" s="751"/>
      <c r="VUW125" s="751"/>
      <c r="VUX125" s="751"/>
      <c r="VUY125" s="751"/>
      <c r="VUZ125" s="751"/>
      <c r="VVA125" s="751"/>
      <c r="VVB125" s="751"/>
      <c r="VVC125" s="751"/>
      <c r="VVD125" s="751"/>
      <c r="VVE125" s="751"/>
      <c r="VVF125" s="751"/>
      <c r="VVG125" s="751"/>
      <c r="VVH125" s="751"/>
      <c r="VVI125" s="751"/>
      <c r="VVJ125" s="751"/>
      <c r="VVK125" s="751"/>
      <c r="VVL125" s="751"/>
      <c r="VVM125" s="751"/>
      <c r="VVN125" s="751"/>
      <c r="VVO125" s="751"/>
      <c r="VVP125" s="751"/>
      <c r="VVQ125" s="751"/>
      <c r="VVR125" s="751"/>
      <c r="VVS125" s="751"/>
      <c r="VVT125" s="751"/>
      <c r="VVU125" s="751"/>
      <c r="VVV125" s="751"/>
      <c r="VVW125" s="751"/>
      <c r="VVX125" s="751"/>
      <c r="VVY125" s="751"/>
      <c r="VVZ125" s="751"/>
      <c r="VWA125" s="751"/>
      <c r="VWB125" s="751"/>
      <c r="VWC125" s="751"/>
      <c r="VWD125" s="751"/>
      <c r="VWE125" s="751"/>
      <c r="VWF125" s="751"/>
      <c r="VWG125" s="751"/>
      <c r="VWH125" s="751"/>
      <c r="VWI125" s="751"/>
      <c r="VWJ125" s="751"/>
      <c r="VWK125" s="751"/>
      <c r="VWL125" s="751"/>
      <c r="VWM125" s="751"/>
      <c r="VWN125" s="751"/>
      <c r="VWO125" s="751"/>
      <c r="VWP125" s="751"/>
      <c r="VWQ125" s="751"/>
      <c r="VWR125" s="751"/>
      <c r="VWS125" s="751"/>
      <c r="VWT125" s="751"/>
      <c r="VWU125" s="751"/>
      <c r="VWV125" s="751"/>
      <c r="VWW125" s="751"/>
      <c r="VWX125" s="751"/>
      <c r="VWY125" s="751"/>
      <c r="VWZ125" s="751"/>
      <c r="VXA125" s="751"/>
      <c r="VXB125" s="751"/>
      <c r="VXC125" s="751"/>
      <c r="VXD125" s="751"/>
      <c r="VXE125" s="751"/>
      <c r="VXF125" s="751"/>
      <c r="VXG125" s="751"/>
      <c r="VXH125" s="751"/>
      <c r="VXI125" s="751"/>
      <c r="VXJ125" s="751"/>
      <c r="VXK125" s="751"/>
      <c r="VXL125" s="751"/>
      <c r="VXM125" s="751"/>
      <c r="VXN125" s="751"/>
      <c r="VXO125" s="751"/>
      <c r="VXP125" s="751"/>
      <c r="VXQ125" s="751"/>
      <c r="VXR125" s="751"/>
      <c r="VXS125" s="751"/>
      <c r="VXT125" s="751"/>
      <c r="VXU125" s="751"/>
      <c r="VXV125" s="751"/>
      <c r="VXW125" s="751"/>
      <c r="VXX125" s="751"/>
      <c r="VXY125" s="751"/>
      <c r="VXZ125" s="751"/>
      <c r="VYA125" s="751"/>
      <c r="VYB125" s="751"/>
      <c r="VYC125" s="751"/>
      <c r="VYD125" s="751"/>
      <c r="VYE125" s="751"/>
      <c r="VYF125" s="751"/>
      <c r="VYG125" s="751"/>
      <c r="VYH125" s="751"/>
      <c r="VYI125" s="751"/>
      <c r="VYJ125" s="751"/>
      <c r="VYK125" s="751"/>
      <c r="VYL125" s="751"/>
      <c r="VYM125" s="751"/>
      <c r="VYN125" s="751"/>
      <c r="VYO125" s="751"/>
      <c r="VYP125" s="751"/>
      <c r="VYQ125" s="751"/>
      <c r="VYR125" s="751"/>
      <c r="VYS125" s="751"/>
      <c r="VYT125" s="751"/>
      <c r="VYU125" s="751"/>
      <c r="VYV125" s="751"/>
      <c r="VYW125" s="751"/>
      <c r="VYX125" s="751"/>
      <c r="VYY125" s="751"/>
      <c r="VYZ125" s="751"/>
      <c r="VZA125" s="751"/>
      <c r="VZB125" s="751"/>
      <c r="VZC125" s="751"/>
      <c r="VZD125" s="751"/>
      <c r="VZE125" s="751"/>
      <c r="VZF125" s="751"/>
      <c r="VZG125" s="751"/>
      <c r="VZH125" s="751"/>
      <c r="VZI125" s="751"/>
      <c r="VZJ125" s="751"/>
      <c r="VZK125" s="751"/>
      <c r="VZL125" s="751"/>
      <c r="VZM125" s="751"/>
      <c r="VZN125" s="751"/>
      <c r="VZO125" s="751"/>
      <c r="VZP125" s="751"/>
      <c r="VZQ125" s="751"/>
      <c r="VZR125" s="751"/>
      <c r="VZS125" s="751"/>
      <c r="VZT125" s="751"/>
      <c r="VZU125" s="751"/>
      <c r="VZV125" s="751"/>
      <c r="VZW125" s="751"/>
      <c r="VZX125" s="751"/>
      <c r="VZY125" s="751"/>
      <c r="VZZ125" s="751"/>
      <c r="WAA125" s="751"/>
      <c r="WAB125" s="751"/>
      <c r="WAC125" s="751"/>
      <c r="WAD125" s="751"/>
      <c r="WAE125" s="751"/>
      <c r="WAF125" s="751"/>
      <c r="WAG125" s="751"/>
      <c r="WAH125" s="751"/>
      <c r="WAI125" s="751"/>
      <c r="WAJ125" s="751"/>
      <c r="WAK125" s="751"/>
      <c r="WAL125" s="751"/>
      <c r="WAM125" s="751"/>
      <c r="WAN125" s="751"/>
      <c r="WAO125" s="751"/>
      <c r="WAP125" s="751"/>
      <c r="WAQ125" s="751"/>
      <c r="WAR125" s="751"/>
      <c r="WAS125" s="751"/>
      <c r="WAT125" s="751"/>
      <c r="WAU125" s="751"/>
      <c r="WAV125" s="751"/>
      <c r="WAW125" s="751"/>
      <c r="WAX125" s="751"/>
      <c r="WAY125" s="751"/>
      <c r="WAZ125" s="751"/>
      <c r="WBA125" s="751"/>
      <c r="WBB125" s="751"/>
      <c r="WBC125" s="751"/>
      <c r="WBD125" s="751"/>
      <c r="WBE125" s="751"/>
      <c r="WBF125" s="751"/>
      <c r="WBG125" s="751"/>
      <c r="WBH125" s="751"/>
      <c r="WBI125" s="751"/>
      <c r="WBJ125" s="751"/>
      <c r="WBK125" s="751"/>
      <c r="WBL125" s="751"/>
      <c r="WBM125" s="751"/>
      <c r="WBN125" s="751"/>
      <c r="WBO125" s="751"/>
      <c r="WBP125" s="751"/>
      <c r="WBQ125" s="751"/>
      <c r="WBR125" s="751"/>
      <c r="WBS125" s="751"/>
      <c r="WBT125" s="751"/>
      <c r="WBU125" s="751"/>
      <c r="WBV125" s="751"/>
      <c r="WBW125" s="751"/>
      <c r="WBX125" s="751"/>
      <c r="WBY125" s="751"/>
      <c r="WBZ125" s="751"/>
      <c r="WCA125" s="751"/>
      <c r="WCB125" s="751"/>
      <c r="WCC125" s="751"/>
      <c r="WCD125" s="751"/>
      <c r="WCE125" s="751"/>
      <c r="WCF125" s="751"/>
      <c r="WCG125" s="751"/>
      <c r="WCH125" s="751"/>
      <c r="WCI125" s="751"/>
      <c r="WCJ125" s="751"/>
      <c r="WCK125" s="751"/>
      <c r="WCL125" s="751"/>
      <c r="WCM125" s="751"/>
      <c r="WCN125" s="751"/>
      <c r="WCO125" s="751"/>
      <c r="WCP125" s="751"/>
      <c r="WCQ125" s="751"/>
      <c r="WCR125" s="751"/>
      <c r="WCS125" s="751"/>
      <c r="WCT125" s="751"/>
      <c r="WCU125" s="751"/>
      <c r="WCV125" s="751"/>
      <c r="WCW125" s="751"/>
      <c r="WCX125" s="751"/>
      <c r="WCY125" s="751"/>
      <c r="WCZ125" s="751"/>
      <c r="WDA125" s="751"/>
      <c r="WDB125" s="751"/>
      <c r="WDC125" s="751"/>
      <c r="WDD125" s="751"/>
      <c r="WDE125" s="751"/>
      <c r="WDF125" s="751"/>
      <c r="WDG125" s="751"/>
      <c r="WDH125" s="751"/>
      <c r="WDI125" s="751"/>
      <c r="WDJ125" s="751"/>
      <c r="WDK125" s="751"/>
      <c r="WDL125" s="751"/>
      <c r="WDM125" s="751"/>
      <c r="WDN125" s="751"/>
      <c r="WDO125" s="751"/>
      <c r="WDP125" s="751"/>
      <c r="WDQ125" s="751"/>
      <c r="WDR125" s="751"/>
      <c r="WDS125" s="751"/>
      <c r="WDT125" s="751"/>
      <c r="WDU125" s="751"/>
      <c r="WDV125" s="751"/>
      <c r="WDW125" s="751"/>
      <c r="WDX125" s="751"/>
      <c r="WDY125" s="751"/>
      <c r="WDZ125" s="751"/>
      <c r="WEA125" s="751"/>
      <c r="WEB125" s="751"/>
      <c r="WEC125" s="751"/>
      <c r="WED125" s="751"/>
      <c r="WEE125" s="751"/>
      <c r="WEF125" s="751"/>
      <c r="WEG125" s="751"/>
      <c r="WEH125" s="751"/>
      <c r="WEI125" s="751"/>
      <c r="WEJ125" s="751"/>
      <c r="WEK125" s="751"/>
      <c r="WEL125" s="751"/>
      <c r="WEM125" s="751"/>
      <c r="WEN125" s="751"/>
      <c r="WEO125" s="751"/>
      <c r="WEP125" s="751"/>
      <c r="WEQ125" s="751"/>
      <c r="WER125" s="751"/>
      <c r="WES125" s="751"/>
      <c r="WET125" s="751"/>
      <c r="WEU125" s="751"/>
      <c r="WEV125" s="751"/>
      <c r="WEW125" s="751"/>
      <c r="WEX125" s="751"/>
      <c r="WEY125" s="751"/>
      <c r="WEZ125" s="751"/>
      <c r="WFA125" s="751"/>
      <c r="WFB125" s="751"/>
      <c r="WFC125" s="751"/>
      <c r="WFD125" s="751"/>
      <c r="WFE125" s="751"/>
      <c r="WFF125" s="751"/>
      <c r="WFG125" s="751"/>
      <c r="WFH125" s="751"/>
      <c r="WFI125" s="751"/>
      <c r="WFJ125" s="751"/>
      <c r="WFK125" s="751"/>
      <c r="WFL125" s="751"/>
      <c r="WFM125" s="751"/>
      <c r="WFN125" s="751"/>
      <c r="WFO125" s="751"/>
      <c r="WFP125" s="751"/>
      <c r="WFQ125" s="751"/>
      <c r="WFR125" s="751"/>
      <c r="WFS125" s="751"/>
      <c r="WFT125" s="751"/>
      <c r="WFU125" s="751"/>
      <c r="WFV125" s="751"/>
      <c r="WFW125" s="751"/>
      <c r="WFX125" s="751"/>
      <c r="WFY125" s="751"/>
      <c r="WFZ125" s="751"/>
      <c r="WGA125" s="751"/>
      <c r="WGB125" s="751"/>
      <c r="WGC125" s="751"/>
      <c r="WGD125" s="751"/>
      <c r="WGE125" s="751"/>
      <c r="WGF125" s="751"/>
      <c r="WGG125" s="751"/>
      <c r="WGH125" s="751"/>
      <c r="WGI125" s="751"/>
      <c r="WGJ125" s="751"/>
      <c r="WGK125" s="751"/>
      <c r="WGL125" s="751"/>
      <c r="WGM125" s="751"/>
      <c r="WGN125" s="751"/>
      <c r="WGO125" s="751"/>
      <c r="WGP125" s="751"/>
      <c r="WGQ125" s="751"/>
      <c r="WGR125" s="751"/>
      <c r="WGS125" s="751"/>
      <c r="WGT125" s="751"/>
      <c r="WGU125" s="751"/>
      <c r="WGV125" s="751"/>
      <c r="WGW125" s="751"/>
      <c r="WGX125" s="751"/>
      <c r="WGY125" s="751"/>
      <c r="WGZ125" s="751"/>
      <c r="WHA125" s="751"/>
      <c r="WHB125" s="751"/>
      <c r="WHC125" s="751"/>
      <c r="WHD125" s="751"/>
      <c r="WHE125" s="751"/>
      <c r="WHF125" s="751"/>
      <c r="WHG125" s="751"/>
      <c r="WHH125" s="751"/>
      <c r="WHI125" s="751"/>
      <c r="WHJ125" s="751"/>
      <c r="WHK125" s="751"/>
      <c r="WHL125" s="751"/>
      <c r="WHM125" s="751"/>
      <c r="WHN125" s="751"/>
      <c r="WHO125" s="751"/>
      <c r="WHP125" s="751"/>
      <c r="WHQ125" s="751"/>
      <c r="WHR125" s="751"/>
      <c r="WHS125" s="751"/>
      <c r="WHT125" s="751"/>
      <c r="WHU125" s="751"/>
      <c r="WHV125" s="751"/>
      <c r="WHW125" s="751"/>
      <c r="WHX125" s="751"/>
      <c r="WHY125" s="751"/>
      <c r="WHZ125" s="751"/>
      <c r="WIA125" s="751"/>
      <c r="WIB125" s="751"/>
      <c r="WIC125" s="751"/>
      <c r="WID125" s="751"/>
      <c r="WIE125" s="751"/>
      <c r="WIF125" s="751"/>
      <c r="WIG125" s="751"/>
      <c r="WIH125" s="751"/>
      <c r="WII125" s="751"/>
      <c r="WIJ125" s="751"/>
      <c r="WIK125" s="751"/>
      <c r="WIL125" s="751"/>
      <c r="WIM125" s="751"/>
      <c r="WIN125" s="751"/>
      <c r="WIO125" s="751"/>
      <c r="WIP125" s="751"/>
      <c r="WIQ125" s="751"/>
      <c r="WIR125" s="751"/>
      <c r="WIS125" s="751"/>
      <c r="WIT125" s="751"/>
      <c r="WIU125" s="751"/>
      <c r="WIV125" s="751"/>
      <c r="WIW125" s="751"/>
      <c r="WIX125" s="751"/>
      <c r="WIY125" s="751"/>
      <c r="WIZ125" s="751"/>
      <c r="WJA125" s="751"/>
      <c r="WJB125" s="751"/>
      <c r="WJC125" s="751"/>
      <c r="WJD125" s="751"/>
      <c r="WJE125" s="751"/>
      <c r="WJF125" s="751"/>
      <c r="WJG125" s="751"/>
      <c r="WJH125" s="751"/>
      <c r="WJI125" s="751"/>
      <c r="WJJ125" s="751"/>
      <c r="WJK125" s="751"/>
      <c r="WJL125" s="751"/>
      <c r="WJM125" s="751"/>
      <c r="WJN125" s="751"/>
      <c r="WJO125" s="751"/>
      <c r="WJP125" s="751"/>
      <c r="WJQ125" s="751"/>
      <c r="WJR125" s="751"/>
      <c r="WJS125" s="751"/>
      <c r="WJT125" s="751"/>
      <c r="WJU125" s="751"/>
      <c r="WJV125" s="751"/>
      <c r="WJW125" s="751"/>
      <c r="WJX125" s="751"/>
      <c r="WJY125" s="751"/>
      <c r="WJZ125" s="751"/>
      <c r="WKA125" s="751"/>
      <c r="WKB125" s="751"/>
      <c r="WKC125" s="751"/>
      <c r="WKD125" s="751"/>
      <c r="WKE125" s="751"/>
      <c r="WKF125" s="751"/>
      <c r="WKG125" s="751"/>
      <c r="WKH125" s="751"/>
      <c r="WKI125" s="751"/>
      <c r="WKJ125" s="751"/>
      <c r="WKK125" s="751"/>
      <c r="WKL125" s="751"/>
      <c r="WKM125" s="751"/>
      <c r="WKN125" s="751"/>
      <c r="WKO125" s="751"/>
      <c r="WKP125" s="751"/>
      <c r="WKQ125" s="751"/>
      <c r="WKR125" s="751"/>
      <c r="WKS125" s="751"/>
      <c r="WKT125" s="751"/>
      <c r="WKU125" s="751"/>
      <c r="WKV125" s="751"/>
      <c r="WKW125" s="751"/>
      <c r="WKX125" s="751"/>
      <c r="WKY125" s="751"/>
      <c r="WKZ125" s="751"/>
      <c r="WLA125" s="751"/>
      <c r="WLB125" s="751"/>
      <c r="WLC125" s="751"/>
      <c r="WLD125" s="751"/>
      <c r="WLE125" s="751"/>
      <c r="WLF125" s="751"/>
      <c r="WLG125" s="751"/>
      <c r="WLH125" s="751"/>
      <c r="WLI125" s="751"/>
      <c r="WLJ125" s="751"/>
      <c r="WLK125" s="751"/>
      <c r="WLL125" s="751"/>
      <c r="WLM125" s="751"/>
      <c r="WLN125" s="751"/>
      <c r="WLO125" s="751"/>
      <c r="WLP125" s="751"/>
      <c r="WLQ125" s="751"/>
      <c r="WLR125" s="751"/>
      <c r="WLS125" s="751"/>
      <c r="WLT125" s="751"/>
      <c r="WLU125" s="751"/>
      <c r="WLV125" s="751"/>
      <c r="WLW125" s="751"/>
      <c r="WLX125" s="751"/>
      <c r="WLY125" s="751"/>
      <c r="WLZ125" s="751"/>
      <c r="WMA125" s="751"/>
      <c r="WMB125" s="751"/>
      <c r="WMC125" s="751"/>
      <c r="WMD125" s="751"/>
      <c r="WME125" s="751"/>
      <c r="WMF125" s="751"/>
      <c r="WMG125" s="751"/>
      <c r="WMH125" s="751"/>
      <c r="WMI125" s="751"/>
      <c r="WMJ125" s="751"/>
      <c r="WMK125" s="751"/>
      <c r="WML125" s="751"/>
      <c r="WMM125" s="751"/>
      <c r="WMN125" s="751"/>
      <c r="WMO125" s="751"/>
      <c r="WMP125" s="751"/>
      <c r="WMQ125" s="751"/>
      <c r="WMR125" s="751"/>
      <c r="WMS125" s="751"/>
      <c r="WMT125" s="751"/>
      <c r="WMU125" s="751"/>
      <c r="WMV125" s="751"/>
      <c r="WMW125" s="751"/>
      <c r="WMX125" s="751"/>
      <c r="WMY125" s="751"/>
      <c r="WMZ125" s="751"/>
      <c r="WNA125" s="751"/>
      <c r="WNB125" s="751"/>
      <c r="WNC125" s="751"/>
      <c r="WND125" s="751"/>
      <c r="WNE125" s="751"/>
      <c r="WNF125" s="751"/>
      <c r="WNG125" s="751"/>
      <c r="WNH125" s="751"/>
      <c r="WNI125" s="751"/>
      <c r="WNJ125" s="751"/>
      <c r="WNK125" s="751"/>
      <c r="WNL125" s="751"/>
      <c r="WNM125" s="751"/>
      <c r="WNN125" s="751"/>
      <c r="WNO125" s="751"/>
      <c r="WNP125" s="751"/>
      <c r="WNQ125" s="751"/>
      <c r="WNR125" s="751"/>
      <c r="WNS125" s="751"/>
      <c r="WNT125" s="751"/>
      <c r="WNU125" s="751"/>
      <c r="WNV125" s="751"/>
      <c r="WNW125" s="751"/>
      <c r="WNX125" s="751"/>
      <c r="WNY125" s="751"/>
      <c r="WNZ125" s="751"/>
      <c r="WOA125" s="751"/>
      <c r="WOB125" s="751"/>
      <c r="WOC125" s="751"/>
      <c r="WOD125" s="751"/>
      <c r="WOE125" s="751"/>
      <c r="WOF125" s="751"/>
      <c r="WOG125" s="751"/>
      <c r="WOH125" s="751"/>
      <c r="WOI125" s="751"/>
      <c r="WOJ125" s="751"/>
      <c r="WOK125" s="751"/>
      <c r="WOL125" s="751"/>
      <c r="WOM125" s="751"/>
      <c r="WON125" s="751"/>
      <c r="WOO125" s="751"/>
      <c r="WOP125" s="751"/>
      <c r="WOQ125" s="751"/>
      <c r="WOR125" s="751"/>
      <c r="WOS125" s="751"/>
      <c r="WOT125" s="751"/>
      <c r="WOU125" s="751"/>
      <c r="WOV125" s="751"/>
      <c r="WOW125" s="751"/>
      <c r="WOX125" s="751"/>
      <c r="WOY125" s="751"/>
      <c r="WOZ125" s="751"/>
      <c r="WPA125" s="751"/>
      <c r="WPB125" s="751"/>
      <c r="WPC125" s="751"/>
      <c r="WPD125" s="751"/>
      <c r="WPE125" s="751"/>
      <c r="WPF125" s="751"/>
      <c r="WPG125" s="751"/>
      <c r="WPH125" s="751"/>
      <c r="WPI125" s="751"/>
      <c r="WPJ125" s="751"/>
      <c r="WPK125" s="751"/>
      <c r="WPL125" s="751"/>
      <c r="WPM125" s="751"/>
      <c r="WPN125" s="751"/>
      <c r="WPO125" s="751"/>
      <c r="WPP125" s="751"/>
      <c r="WPQ125" s="751"/>
      <c r="WPR125" s="751"/>
      <c r="WPS125" s="751"/>
      <c r="WPT125" s="751"/>
      <c r="WPU125" s="751"/>
      <c r="WPV125" s="751"/>
      <c r="WPW125" s="751"/>
      <c r="WPX125" s="751"/>
      <c r="WPY125" s="751"/>
      <c r="WPZ125" s="751"/>
      <c r="WQA125" s="751"/>
      <c r="WQB125" s="751"/>
      <c r="WQC125" s="751"/>
      <c r="WQD125" s="751"/>
      <c r="WQE125" s="751"/>
      <c r="WQF125" s="751"/>
      <c r="WQG125" s="751"/>
      <c r="WQH125" s="751"/>
      <c r="WQI125" s="751"/>
      <c r="WQJ125" s="751"/>
      <c r="WQK125" s="751"/>
      <c r="WQL125" s="751"/>
      <c r="WQM125" s="751"/>
      <c r="WQN125" s="751"/>
      <c r="WQO125" s="751"/>
      <c r="WQP125" s="751"/>
      <c r="WQQ125" s="751"/>
      <c r="WQR125" s="751"/>
      <c r="WQS125" s="751"/>
      <c r="WQT125" s="751"/>
      <c r="WQU125" s="751"/>
      <c r="WQV125" s="751"/>
      <c r="WQW125" s="751"/>
      <c r="WQX125" s="751"/>
      <c r="WQY125" s="751"/>
      <c r="WQZ125" s="751"/>
      <c r="WRA125" s="751"/>
      <c r="WRB125" s="751"/>
      <c r="WRC125" s="751"/>
      <c r="WRD125" s="751"/>
      <c r="WRE125" s="751"/>
      <c r="WRF125" s="751"/>
      <c r="WRG125" s="751"/>
      <c r="WRH125" s="751"/>
      <c r="WRI125" s="751"/>
      <c r="WRJ125" s="751"/>
      <c r="WRK125" s="751"/>
      <c r="WRL125" s="751"/>
      <c r="WRM125" s="751"/>
      <c r="WRN125" s="751"/>
      <c r="WRO125" s="751"/>
      <c r="WRP125" s="751"/>
      <c r="WRQ125" s="751"/>
      <c r="WRR125" s="751"/>
      <c r="WRS125" s="751"/>
      <c r="WRT125" s="751"/>
      <c r="WRU125" s="751"/>
      <c r="WRV125" s="751"/>
      <c r="WRW125" s="751"/>
      <c r="WRX125" s="751"/>
      <c r="WRY125" s="751"/>
      <c r="WRZ125" s="751"/>
      <c r="WSA125" s="751"/>
      <c r="WSB125" s="751"/>
      <c r="WSC125" s="751"/>
      <c r="WSD125" s="751"/>
      <c r="WSE125" s="751"/>
      <c r="WSF125" s="751"/>
      <c r="WSG125" s="751"/>
      <c r="WSH125" s="751"/>
      <c r="WSI125" s="751"/>
      <c r="WSJ125" s="751"/>
      <c r="WSK125" s="751"/>
      <c r="WSL125" s="751"/>
      <c r="WSM125" s="751"/>
      <c r="WSN125" s="751"/>
      <c r="WSO125" s="751"/>
      <c r="WSP125" s="751"/>
      <c r="WSQ125" s="751"/>
      <c r="WSR125" s="751"/>
      <c r="WSS125" s="751"/>
      <c r="WST125" s="751"/>
      <c r="WSU125" s="751"/>
      <c r="WSV125" s="751"/>
      <c r="WSW125" s="751"/>
      <c r="WSX125" s="751"/>
      <c r="WSY125" s="751"/>
      <c r="WSZ125" s="751"/>
      <c r="WTA125" s="751"/>
      <c r="WTB125" s="751"/>
      <c r="WTC125" s="751"/>
      <c r="WTD125" s="751"/>
      <c r="WTE125" s="751"/>
      <c r="WTF125" s="751"/>
      <c r="WTG125" s="751"/>
      <c r="WTH125" s="751"/>
      <c r="WTI125" s="751"/>
      <c r="WTJ125" s="751"/>
      <c r="WTK125" s="751"/>
      <c r="WTL125" s="751"/>
      <c r="WTM125" s="751"/>
      <c r="WTN125" s="751"/>
      <c r="WTO125" s="751"/>
      <c r="WTP125" s="751"/>
      <c r="WTQ125" s="751"/>
      <c r="WTR125" s="751"/>
      <c r="WTS125" s="751"/>
      <c r="WTT125" s="751"/>
      <c r="WTU125" s="751"/>
      <c r="WTV125" s="751"/>
      <c r="WTW125" s="751"/>
      <c r="WTX125" s="751"/>
      <c r="WTY125" s="751"/>
      <c r="WTZ125" s="751"/>
      <c r="WUA125" s="751"/>
      <c r="WUB125" s="751"/>
      <c r="WUC125" s="751"/>
      <c r="WUD125" s="751"/>
      <c r="WUE125" s="751"/>
      <c r="WUF125" s="751"/>
      <c r="WUG125" s="751"/>
      <c r="WUH125" s="751"/>
      <c r="WUI125" s="751"/>
      <c r="WUJ125" s="751"/>
      <c r="WUK125" s="751"/>
      <c r="WUL125" s="751"/>
      <c r="WUM125" s="751"/>
      <c r="WUN125" s="751"/>
      <c r="WUO125" s="751"/>
      <c r="WUP125" s="751"/>
      <c r="WUQ125" s="751"/>
      <c r="WUR125" s="751"/>
      <c r="WUS125" s="751"/>
      <c r="WUT125" s="751"/>
      <c r="WUU125" s="751"/>
      <c r="WUV125" s="751"/>
      <c r="WUW125" s="751"/>
      <c r="WUX125" s="751"/>
      <c r="WUY125" s="751"/>
      <c r="WUZ125" s="751"/>
      <c r="WVA125" s="751"/>
      <c r="WVB125" s="751"/>
      <c r="WVC125" s="751"/>
      <c r="WVD125" s="751"/>
      <c r="WVE125" s="751"/>
      <c r="WVF125" s="751"/>
      <c r="WVG125" s="751"/>
      <c r="WVH125" s="751"/>
      <c r="WVI125" s="751"/>
      <c r="WVJ125" s="751"/>
      <c r="WVK125" s="751"/>
      <c r="WVL125" s="751"/>
      <c r="WVM125" s="751"/>
      <c r="WVN125" s="751"/>
      <c r="WVO125" s="751"/>
      <c r="WVP125" s="751"/>
      <c r="WVQ125" s="751"/>
      <c r="WVR125" s="751"/>
      <c r="WVS125" s="751"/>
    </row>
    <row r="126" spans="1:16139">
      <c r="A126" s="751" t="s">
        <v>1099</v>
      </c>
      <c r="B126" s="751" t="s">
        <v>1105</v>
      </c>
      <c r="C126" s="751" t="s">
        <v>1106</v>
      </c>
      <c r="D126" s="751" t="s">
        <v>1102</v>
      </c>
      <c r="E126" s="751" t="s">
        <v>792</v>
      </c>
      <c r="F126" s="751" t="s">
        <v>793</v>
      </c>
      <c r="G126" s="751" t="s">
        <v>1103</v>
      </c>
      <c r="H126" s="751">
        <v>51675</v>
      </c>
      <c r="I126" s="751" t="s">
        <v>1104</v>
      </c>
      <c r="J126" s="751">
        <v>18</v>
      </c>
      <c r="K126" s="751"/>
      <c r="L126" s="751"/>
      <c r="M126" s="751"/>
      <c r="N126" s="751"/>
      <c r="O126" s="751"/>
      <c r="P126" s="751"/>
      <c r="Q126" s="751"/>
      <c r="R126" s="751"/>
      <c r="S126" s="751"/>
      <c r="T126" s="751"/>
      <c r="U126" s="751"/>
      <c r="V126" s="751"/>
      <c r="W126" s="751"/>
      <c r="X126" s="751"/>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c r="BJ126" s="751"/>
      <c r="BK126" s="751"/>
      <c r="BL126" s="751"/>
      <c r="BM126" s="751"/>
      <c r="BN126" s="751"/>
      <c r="BO126" s="751"/>
      <c r="BP126" s="751"/>
      <c r="BQ126" s="751"/>
      <c r="BR126" s="751"/>
      <c r="BS126" s="751"/>
      <c r="BT126" s="751"/>
      <c r="BU126" s="751"/>
      <c r="BV126" s="751"/>
      <c r="BW126" s="751"/>
      <c r="BX126" s="751"/>
      <c r="BY126" s="751"/>
      <c r="BZ126" s="751"/>
      <c r="CA126" s="751"/>
      <c r="CB126" s="751"/>
      <c r="CC126" s="751"/>
      <c r="CD126" s="751"/>
      <c r="CE126" s="751"/>
      <c r="CF126" s="751"/>
      <c r="CG126" s="751"/>
      <c r="CH126" s="751"/>
      <c r="CI126" s="751"/>
      <c r="CJ126" s="751"/>
      <c r="CK126" s="751"/>
      <c r="CL126" s="751"/>
      <c r="CM126" s="751"/>
      <c r="CN126" s="751"/>
      <c r="CO126" s="751"/>
      <c r="CP126" s="751"/>
      <c r="CQ126" s="751"/>
      <c r="CR126" s="751"/>
      <c r="CS126" s="751"/>
      <c r="CT126" s="751"/>
      <c r="CU126" s="751"/>
      <c r="CV126" s="751"/>
      <c r="CW126" s="751"/>
      <c r="CX126" s="751"/>
      <c r="CY126" s="751"/>
      <c r="CZ126" s="751"/>
      <c r="DA126" s="751"/>
      <c r="DB126" s="751"/>
      <c r="DC126" s="751"/>
      <c r="DD126" s="751"/>
      <c r="DE126" s="751"/>
      <c r="DF126" s="751"/>
      <c r="DG126" s="751"/>
      <c r="DH126" s="751"/>
      <c r="DI126" s="751"/>
      <c r="DJ126" s="751"/>
      <c r="DK126" s="751"/>
      <c r="DL126" s="751"/>
      <c r="DM126" s="751"/>
      <c r="DN126" s="751"/>
      <c r="DO126" s="751"/>
      <c r="DP126" s="751"/>
      <c r="DQ126" s="751"/>
      <c r="DR126" s="751"/>
      <c r="DS126" s="751"/>
      <c r="DT126" s="751"/>
      <c r="DU126" s="751"/>
      <c r="DV126" s="751"/>
      <c r="DW126" s="751"/>
      <c r="DX126" s="751"/>
      <c r="DY126" s="751"/>
      <c r="DZ126" s="751"/>
      <c r="EA126" s="751"/>
      <c r="EB126" s="751"/>
      <c r="EC126" s="751"/>
      <c r="ED126" s="751"/>
      <c r="EE126" s="751"/>
      <c r="EF126" s="751"/>
      <c r="EG126" s="751"/>
      <c r="EH126" s="751"/>
      <c r="EI126" s="751"/>
      <c r="EJ126" s="751"/>
      <c r="EK126" s="751"/>
      <c r="EL126" s="751"/>
      <c r="EM126" s="751"/>
      <c r="EN126" s="751"/>
      <c r="EO126" s="751"/>
      <c r="EP126" s="751"/>
      <c r="EQ126" s="751"/>
      <c r="ER126" s="751"/>
      <c r="ES126" s="751"/>
      <c r="ET126" s="751"/>
      <c r="EU126" s="751"/>
      <c r="EV126" s="751"/>
      <c r="EW126" s="751"/>
      <c r="EX126" s="751"/>
      <c r="EY126" s="751"/>
      <c r="EZ126" s="751"/>
      <c r="FA126" s="751"/>
      <c r="FB126" s="751"/>
      <c r="FC126" s="751"/>
      <c r="FD126" s="751"/>
      <c r="FE126" s="751"/>
      <c r="FF126" s="751"/>
      <c r="FG126" s="751"/>
      <c r="FH126" s="751"/>
      <c r="FI126" s="751"/>
      <c r="FJ126" s="751"/>
      <c r="FK126" s="751"/>
      <c r="FL126" s="751"/>
      <c r="FM126" s="751"/>
      <c r="FN126" s="751"/>
      <c r="FO126" s="751"/>
      <c r="FP126" s="751"/>
      <c r="FQ126" s="751"/>
      <c r="FR126" s="751"/>
      <c r="FS126" s="751"/>
      <c r="FT126" s="751"/>
      <c r="FU126" s="751"/>
      <c r="FV126" s="751"/>
      <c r="FW126" s="751"/>
      <c r="FX126" s="751"/>
      <c r="FY126" s="751"/>
      <c r="FZ126" s="751"/>
      <c r="GA126" s="751"/>
      <c r="GB126" s="751"/>
      <c r="GC126" s="751"/>
      <c r="GD126" s="751"/>
      <c r="GE126" s="751"/>
      <c r="GF126" s="751"/>
      <c r="GG126" s="751"/>
      <c r="GH126" s="751"/>
      <c r="GI126" s="751"/>
      <c r="GJ126" s="751"/>
      <c r="GK126" s="751"/>
      <c r="GL126" s="751"/>
      <c r="GM126" s="751"/>
      <c r="GN126" s="751"/>
      <c r="GO126" s="751"/>
      <c r="GP126" s="751"/>
      <c r="GQ126" s="751"/>
      <c r="GR126" s="751"/>
      <c r="GS126" s="751"/>
      <c r="GT126" s="751"/>
      <c r="GU126" s="751"/>
      <c r="GV126" s="751"/>
      <c r="GW126" s="751"/>
      <c r="GX126" s="751"/>
      <c r="GY126" s="751"/>
      <c r="GZ126" s="751"/>
      <c r="HA126" s="751"/>
      <c r="HB126" s="751"/>
      <c r="HC126" s="751"/>
      <c r="HD126" s="751"/>
      <c r="HE126" s="751"/>
      <c r="HF126" s="751"/>
      <c r="HG126" s="751"/>
      <c r="HH126" s="751"/>
      <c r="HI126" s="751"/>
      <c r="HJ126" s="751"/>
      <c r="HK126" s="751"/>
      <c r="HL126" s="751"/>
      <c r="HM126" s="751"/>
      <c r="HN126" s="751"/>
      <c r="HO126" s="751"/>
      <c r="HP126" s="751"/>
      <c r="HQ126" s="751"/>
      <c r="HR126" s="751"/>
      <c r="HS126" s="751"/>
      <c r="HT126" s="751"/>
      <c r="HU126" s="751"/>
      <c r="HV126" s="751"/>
      <c r="HW126" s="751"/>
      <c r="HX126" s="751"/>
      <c r="HY126" s="751"/>
      <c r="HZ126" s="751"/>
      <c r="IA126" s="751"/>
      <c r="IB126" s="751"/>
      <c r="IC126" s="751"/>
      <c r="ID126" s="751"/>
      <c r="IE126" s="751"/>
      <c r="IF126" s="751"/>
      <c r="IG126" s="751"/>
      <c r="IH126" s="751"/>
      <c r="II126" s="751"/>
      <c r="IJ126" s="751"/>
      <c r="IK126" s="751"/>
      <c r="IL126" s="751"/>
      <c r="IM126" s="751"/>
      <c r="IN126" s="751"/>
      <c r="IO126" s="751"/>
      <c r="IP126" s="751"/>
      <c r="IQ126" s="751"/>
      <c r="IR126" s="751"/>
      <c r="IS126" s="751"/>
      <c r="IT126" s="751"/>
      <c r="IU126" s="751"/>
      <c r="IV126" s="751"/>
      <c r="IW126" s="751"/>
      <c r="IX126" s="751"/>
      <c r="IY126" s="751"/>
      <c r="IZ126" s="751"/>
      <c r="JA126" s="751"/>
      <c r="JB126" s="751"/>
      <c r="JC126" s="751"/>
      <c r="JD126" s="751"/>
      <c r="JE126" s="751"/>
      <c r="JF126" s="751"/>
      <c r="JG126" s="751"/>
      <c r="JH126" s="751"/>
      <c r="JI126" s="751"/>
      <c r="JJ126" s="751"/>
      <c r="JK126" s="751"/>
      <c r="JL126" s="751"/>
      <c r="JM126" s="751"/>
      <c r="JN126" s="751"/>
      <c r="JO126" s="751"/>
      <c r="JP126" s="751"/>
      <c r="JQ126" s="751"/>
      <c r="JR126" s="751"/>
      <c r="JS126" s="751"/>
      <c r="JT126" s="751"/>
      <c r="JU126" s="751"/>
      <c r="JV126" s="751"/>
      <c r="JW126" s="751"/>
      <c r="JX126" s="751"/>
      <c r="JY126" s="751"/>
      <c r="JZ126" s="751"/>
      <c r="KA126" s="751"/>
      <c r="KB126" s="751"/>
      <c r="KC126" s="751"/>
      <c r="KD126" s="751"/>
      <c r="KE126" s="751"/>
      <c r="KF126" s="751"/>
      <c r="KG126" s="751"/>
      <c r="KH126" s="751"/>
      <c r="KI126" s="751"/>
      <c r="KJ126" s="751"/>
      <c r="KK126" s="751"/>
      <c r="KL126" s="751"/>
      <c r="KM126" s="751"/>
      <c r="KN126" s="751"/>
      <c r="KO126" s="751"/>
      <c r="KP126" s="751"/>
      <c r="KQ126" s="751"/>
      <c r="KR126" s="751"/>
      <c r="KS126" s="751"/>
      <c r="KT126" s="751"/>
      <c r="KU126" s="751"/>
      <c r="KV126" s="751"/>
      <c r="KW126" s="751"/>
      <c r="KX126" s="751"/>
      <c r="KY126" s="751"/>
      <c r="KZ126" s="751"/>
      <c r="LA126" s="751"/>
      <c r="LB126" s="751"/>
      <c r="LC126" s="751"/>
      <c r="LD126" s="751"/>
      <c r="LE126" s="751"/>
      <c r="LF126" s="751"/>
      <c r="LG126" s="751"/>
      <c r="LH126" s="751"/>
      <c r="LI126" s="751"/>
      <c r="LJ126" s="751"/>
      <c r="LK126" s="751"/>
      <c r="LL126" s="751"/>
      <c r="LM126" s="751"/>
      <c r="LN126" s="751"/>
      <c r="LO126" s="751"/>
      <c r="LP126" s="751"/>
      <c r="LQ126" s="751"/>
      <c r="LR126" s="751"/>
      <c r="LS126" s="751"/>
      <c r="LT126" s="751"/>
      <c r="LU126" s="751"/>
      <c r="LV126" s="751"/>
      <c r="LW126" s="751"/>
      <c r="LX126" s="751"/>
      <c r="LY126" s="751"/>
      <c r="LZ126" s="751"/>
      <c r="MA126" s="751"/>
      <c r="MB126" s="751"/>
      <c r="MC126" s="751"/>
      <c r="MD126" s="751"/>
      <c r="ME126" s="751"/>
      <c r="MF126" s="751"/>
      <c r="MG126" s="751"/>
      <c r="MH126" s="751"/>
      <c r="MI126" s="751"/>
      <c r="MJ126" s="751"/>
      <c r="MK126" s="751"/>
      <c r="ML126" s="751"/>
      <c r="MM126" s="751"/>
      <c r="MN126" s="751"/>
      <c r="MO126" s="751"/>
      <c r="MP126" s="751"/>
      <c r="MQ126" s="751"/>
      <c r="MR126" s="751"/>
      <c r="MS126" s="751"/>
      <c r="MT126" s="751"/>
      <c r="MU126" s="751"/>
      <c r="MV126" s="751"/>
      <c r="MW126" s="751"/>
      <c r="MX126" s="751"/>
      <c r="MY126" s="751"/>
      <c r="MZ126" s="751"/>
      <c r="NA126" s="751"/>
      <c r="NB126" s="751"/>
      <c r="NC126" s="751"/>
      <c r="ND126" s="751"/>
      <c r="NE126" s="751"/>
      <c r="NF126" s="751"/>
      <c r="NG126" s="751"/>
      <c r="NH126" s="751"/>
      <c r="NI126" s="751"/>
      <c r="NJ126" s="751"/>
      <c r="NK126" s="751"/>
      <c r="NL126" s="751"/>
      <c r="NM126" s="751"/>
      <c r="NN126" s="751"/>
      <c r="NO126" s="751"/>
      <c r="NP126" s="751"/>
      <c r="NQ126" s="751"/>
      <c r="NR126" s="751"/>
      <c r="NS126" s="751"/>
      <c r="NT126" s="751"/>
      <c r="NU126" s="751"/>
      <c r="NV126" s="751"/>
      <c r="NW126" s="751"/>
      <c r="NX126" s="751"/>
      <c r="NY126" s="751"/>
      <c r="NZ126" s="751"/>
      <c r="OA126" s="751"/>
      <c r="OB126" s="751"/>
      <c r="OC126" s="751"/>
      <c r="OD126" s="751"/>
      <c r="OE126" s="751"/>
      <c r="OF126" s="751"/>
      <c r="OG126" s="751"/>
      <c r="OH126" s="751"/>
      <c r="OI126" s="751"/>
      <c r="OJ126" s="751"/>
      <c r="OK126" s="751"/>
      <c r="OL126" s="751"/>
      <c r="OM126" s="751"/>
      <c r="ON126" s="751"/>
      <c r="OO126" s="751"/>
      <c r="OP126" s="751"/>
      <c r="OQ126" s="751"/>
      <c r="OR126" s="751"/>
      <c r="OS126" s="751"/>
      <c r="OT126" s="751"/>
      <c r="OU126" s="751"/>
      <c r="OV126" s="751"/>
      <c r="OW126" s="751"/>
      <c r="OX126" s="751"/>
      <c r="OY126" s="751"/>
      <c r="OZ126" s="751"/>
      <c r="PA126" s="751"/>
      <c r="PB126" s="751"/>
      <c r="PC126" s="751"/>
      <c r="PD126" s="751"/>
      <c r="PE126" s="751"/>
      <c r="PF126" s="751"/>
      <c r="PG126" s="751"/>
      <c r="PH126" s="751"/>
      <c r="PI126" s="751"/>
      <c r="PJ126" s="751"/>
      <c r="PK126" s="751"/>
      <c r="PL126" s="751"/>
      <c r="PM126" s="751"/>
      <c r="PN126" s="751"/>
      <c r="PO126" s="751"/>
      <c r="PP126" s="751"/>
      <c r="PQ126" s="751"/>
      <c r="PR126" s="751"/>
      <c r="PS126" s="751"/>
      <c r="PT126" s="751"/>
      <c r="PU126" s="751"/>
      <c r="PV126" s="751"/>
      <c r="PW126" s="751"/>
      <c r="PX126" s="751"/>
      <c r="PY126" s="751"/>
      <c r="PZ126" s="751"/>
      <c r="QA126" s="751"/>
      <c r="QB126" s="751"/>
      <c r="QC126" s="751"/>
      <c r="QD126" s="751"/>
      <c r="QE126" s="751"/>
      <c r="QF126" s="751"/>
      <c r="QG126" s="751"/>
      <c r="QH126" s="751"/>
      <c r="QI126" s="751"/>
      <c r="QJ126" s="751"/>
      <c r="QK126" s="751"/>
      <c r="QL126" s="751"/>
      <c r="QM126" s="751"/>
      <c r="QN126" s="751"/>
      <c r="QO126" s="751"/>
      <c r="QP126" s="751"/>
      <c r="QQ126" s="751"/>
      <c r="QR126" s="751"/>
      <c r="QS126" s="751"/>
      <c r="QT126" s="751"/>
      <c r="QU126" s="751"/>
      <c r="QV126" s="751"/>
      <c r="QW126" s="751"/>
      <c r="QX126" s="751"/>
      <c r="QY126" s="751"/>
      <c r="QZ126" s="751"/>
      <c r="RA126" s="751"/>
      <c r="RB126" s="751"/>
      <c r="RC126" s="751"/>
      <c r="RD126" s="751"/>
      <c r="RE126" s="751"/>
      <c r="RF126" s="751"/>
      <c r="RG126" s="751"/>
      <c r="RH126" s="751"/>
      <c r="RI126" s="751"/>
      <c r="RJ126" s="751"/>
      <c r="RK126" s="751"/>
      <c r="RL126" s="751"/>
      <c r="RM126" s="751"/>
      <c r="RN126" s="751"/>
      <c r="RO126" s="751"/>
      <c r="RP126" s="751"/>
      <c r="RQ126" s="751"/>
      <c r="RR126" s="751"/>
      <c r="RS126" s="751"/>
      <c r="RT126" s="751"/>
      <c r="RU126" s="751"/>
      <c r="RV126" s="751"/>
      <c r="RW126" s="751"/>
      <c r="RX126" s="751"/>
      <c r="RY126" s="751"/>
      <c r="RZ126" s="751"/>
      <c r="SA126" s="751"/>
      <c r="SB126" s="751"/>
      <c r="SC126" s="751"/>
      <c r="SD126" s="751"/>
      <c r="SE126" s="751"/>
      <c r="SF126" s="751"/>
      <c r="SG126" s="751"/>
      <c r="SH126" s="751"/>
      <c r="SI126" s="751"/>
      <c r="SJ126" s="751"/>
      <c r="SK126" s="751"/>
      <c r="SL126" s="751"/>
      <c r="SM126" s="751"/>
      <c r="SN126" s="751"/>
      <c r="SO126" s="751"/>
      <c r="SP126" s="751"/>
      <c r="SQ126" s="751"/>
      <c r="SR126" s="751"/>
      <c r="SS126" s="751"/>
      <c r="ST126" s="751"/>
      <c r="SU126" s="751"/>
      <c r="SV126" s="751"/>
      <c r="SW126" s="751"/>
      <c r="SX126" s="751"/>
      <c r="SY126" s="751"/>
      <c r="SZ126" s="751"/>
      <c r="TA126" s="751"/>
      <c r="TB126" s="751"/>
      <c r="TC126" s="751"/>
      <c r="TD126" s="751"/>
      <c r="TE126" s="751"/>
      <c r="TF126" s="751"/>
      <c r="TG126" s="751"/>
      <c r="TH126" s="751"/>
      <c r="TI126" s="751"/>
      <c r="TJ126" s="751"/>
      <c r="TK126" s="751"/>
      <c r="TL126" s="751"/>
      <c r="TM126" s="751"/>
      <c r="TN126" s="751"/>
      <c r="TO126" s="751"/>
      <c r="TP126" s="751"/>
      <c r="TQ126" s="751"/>
      <c r="TR126" s="751"/>
      <c r="TS126" s="751"/>
      <c r="TT126" s="751"/>
      <c r="TU126" s="751"/>
      <c r="TV126" s="751"/>
      <c r="TW126" s="751"/>
      <c r="TX126" s="751"/>
      <c r="TY126" s="751"/>
      <c r="TZ126" s="751"/>
      <c r="UA126" s="751"/>
      <c r="UB126" s="751"/>
      <c r="UC126" s="751"/>
      <c r="UD126" s="751"/>
      <c r="UE126" s="751"/>
      <c r="UF126" s="751"/>
      <c r="UG126" s="751"/>
      <c r="UH126" s="751"/>
      <c r="UI126" s="751"/>
      <c r="UJ126" s="751"/>
      <c r="UK126" s="751"/>
      <c r="UL126" s="751"/>
      <c r="UM126" s="751"/>
      <c r="UN126" s="751"/>
      <c r="UO126" s="751"/>
      <c r="UP126" s="751"/>
      <c r="UQ126" s="751"/>
      <c r="UR126" s="751"/>
      <c r="US126" s="751"/>
      <c r="UT126" s="751"/>
      <c r="UU126" s="751"/>
      <c r="UV126" s="751"/>
      <c r="UW126" s="751"/>
      <c r="UX126" s="751"/>
      <c r="UY126" s="751"/>
      <c r="UZ126" s="751"/>
      <c r="VA126" s="751"/>
      <c r="VB126" s="751"/>
      <c r="VC126" s="751"/>
      <c r="VD126" s="751"/>
      <c r="VE126" s="751"/>
      <c r="VF126" s="751"/>
      <c r="VG126" s="751"/>
      <c r="VH126" s="751"/>
      <c r="VI126" s="751"/>
      <c r="VJ126" s="751"/>
      <c r="VK126" s="751"/>
      <c r="VL126" s="751"/>
      <c r="VM126" s="751"/>
      <c r="VN126" s="751"/>
      <c r="VO126" s="751"/>
      <c r="VP126" s="751"/>
      <c r="VQ126" s="751"/>
      <c r="VR126" s="751"/>
      <c r="VS126" s="751"/>
      <c r="VT126" s="751"/>
      <c r="VU126" s="751"/>
      <c r="VV126" s="751"/>
      <c r="VW126" s="751"/>
      <c r="VX126" s="751"/>
      <c r="VY126" s="751"/>
      <c r="VZ126" s="751"/>
      <c r="WA126" s="751"/>
      <c r="WB126" s="751"/>
      <c r="WC126" s="751"/>
      <c r="WD126" s="751"/>
      <c r="WE126" s="751"/>
      <c r="WF126" s="751"/>
      <c r="WG126" s="751"/>
      <c r="WH126" s="751"/>
      <c r="WI126" s="751"/>
      <c r="WJ126" s="751"/>
      <c r="WK126" s="751"/>
      <c r="WL126" s="751"/>
      <c r="WM126" s="751"/>
      <c r="WN126" s="751"/>
      <c r="WO126" s="751"/>
      <c r="WP126" s="751"/>
      <c r="WQ126" s="751"/>
      <c r="WR126" s="751"/>
      <c r="WS126" s="751"/>
      <c r="WT126" s="751"/>
      <c r="WU126" s="751"/>
      <c r="WV126" s="751"/>
      <c r="WW126" s="751"/>
      <c r="WX126" s="751"/>
      <c r="WY126" s="751"/>
      <c r="WZ126" s="751"/>
      <c r="XA126" s="751"/>
      <c r="XB126" s="751"/>
      <c r="XC126" s="751"/>
      <c r="XD126" s="751"/>
      <c r="XE126" s="751"/>
      <c r="XF126" s="751"/>
      <c r="XG126" s="751"/>
      <c r="XH126" s="751"/>
      <c r="XI126" s="751"/>
      <c r="XJ126" s="751"/>
      <c r="XK126" s="751"/>
      <c r="XL126" s="751"/>
      <c r="XM126" s="751"/>
      <c r="XN126" s="751"/>
      <c r="XO126" s="751"/>
      <c r="XP126" s="751"/>
      <c r="XQ126" s="751"/>
      <c r="XR126" s="751"/>
      <c r="XS126" s="751"/>
      <c r="XT126" s="751"/>
      <c r="XU126" s="751"/>
      <c r="XV126" s="751"/>
      <c r="XW126" s="751"/>
      <c r="XX126" s="751"/>
      <c r="XY126" s="751"/>
      <c r="XZ126" s="751"/>
      <c r="YA126" s="751"/>
      <c r="YB126" s="751"/>
      <c r="YC126" s="751"/>
      <c r="YD126" s="751"/>
      <c r="YE126" s="751"/>
      <c r="YF126" s="751"/>
      <c r="YG126" s="751"/>
      <c r="YH126" s="751"/>
      <c r="YI126" s="751"/>
      <c r="YJ126" s="751"/>
      <c r="YK126" s="751"/>
      <c r="YL126" s="751"/>
      <c r="YM126" s="751"/>
      <c r="YN126" s="751"/>
      <c r="YO126" s="751"/>
      <c r="YP126" s="751"/>
      <c r="YQ126" s="751"/>
      <c r="YR126" s="751"/>
      <c r="YS126" s="751"/>
      <c r="YT126" s="751"/>
      <c r="YU126" s="751"/>
      <c r="YV126" s="751"/>
      <c r="YW126" s="751"/>
      <c r="YX126" s="751"/>
      <c r="YY126" s="751"/>
      <c r="YZ126" s="751"/>
      <c r="ZA126" s="751"/>
      <c r="ZB126" s="751"/>
      <c r="ZC126" s="751"/>
      <c r="ZD126" s="751"/>
      <c r="ZE126" s="751"/>
      <c r="ZF126" s="751"/>
      <c r="ZG126" s="751"/>
      <c r="ZH126" s="751"/>
      <c r="ZI126" s="751"/>
      <c r="ZJ126" s="751"/>
      <c r="ZK126" s="751"/>
      <c r="ZL126" s="751"/>
      <c r="ZM126" s="751"/>
      <c r="ZN126" s="751"/>
      <c r="ZO126" s="751"/>
      <c r="ZP126" s="751"/>
      <c r="ZQ126" s="751"/>
      <c r="ZR126" s="751"/>
      <c r="ZS126" s="751"/>
      <c r="ZT126" s="751"/>
      <c r="ZU126" s="751"/>
      <c r="ZV126" s="751"/>
      <c r="ZW126" s="751"/>
      <c r="ZX126" s="751"/>
      <c r="ZY126" s="751"/>
      <c r="ZZ126" s="751"/>
      <c r="AAA126" s="751"/>
      <c r="AAB126" s="751"/>
      <c r="AAC126" s="751"/>
      <c r="AAD126" s="751"/>
      <c r="AAE126" s="751"/>
      <c r="AAF126" s="751"/>
      <c r="AAG126" s="751"/>
      <c r="AAH126" s="751"/>
      <c r="AAI126" s="751"/>
      <c r="AAJ126" s="751"/>
      <c r="AAK126" s="751"/>
      <c r="AAL126" s="751"/>
      <c r="AAM126" s="751"/>
      <c r="AAN126" s="751"/>
      <c r="AAO126" s="751"/>
      <c r="AAP126" s="751"/>
      <c r="AAQ126" s="751"/>
      <c r="AAR126" s="751"/>
      <c r="AAS126" s="751"/>
      <c r="AAT126" s="751"/>
      <c r="AAU126" s="751"/>
      <c r="AAV126" s="751"/>
      <c r="AAW126" s="751"/>
      <c r="AAX126" s="751"/>
      <c r="AAY126" s="751"/>
      <c r="AAZ126" s="751"/>
      <c r="ABA126" s="751"/>
      <c r="ABB126" s="751"/>
      <c r="ABC126" s="751"/>
      <c r="ABD126" s="751"/>
      <c r="ABE126" s="751"/>
      <c r="ABF126" s="751"/>
      <c r="ABG126" s="751"/>
      <c r="ABH126" s="751"/>
      <c r="ABI126" s="751"/>
      <c r="ABJ126" s="751"/>
      <c r="ABK126" s="751"/>
      <c r="ABL126" s="751"/>
      <c r="ABM126" s="751"/>
      <c r="ABN126" s="751"/>
      <c r="ABO126" s="751"/>
      <c r="ABP126" s="751"/>
      <c r="ABQ126" s="751"/>
      <c r="ABR126" s="751"/>
      <c r="ABS126" s="751"/>
      <c r="ABT126" s="751"/>
      <c r="ABU126" s="751"/>
      <c r="ABV126" s="751"/>
      <c r="ABW126" s="751"/>
      <c r="ABX126" s="751"/>
      <c r="ABY126" s="751"/>
      <c r="ABZ126" s="751"/>
      <c r="ACA126" s="751"/>
      <c r="ACB126" s="751"/>
      <c r="ACC126" s="751"/>
      <c r="ACD126" s="751"/>
      <c r="ACE126" s="751"/>
      <c r="ACF126" s="751"/>
      <c r="ACG126" s="751"/>
      <c r="ACH126" s="751"/>
      <c r="ACI126" s="751"/>
      <c r="ACJ126" s="751"/>
      <c r="ACK126" s="751"/>
      <c r="ACL126" s="751"/>
      <c r="ACM126" s="751"/>
      <c r="ACN126" s="751"/>
      <c r="ACO126" s="751"/>
      <c r="ACP126" s="751"/>
      <c r="ACQ126" s="751"/>
      <c r="ACR126" s="751"/>
      <c r="ACS126" s="751"/>
      <c r="ACT126" s="751"/>
      <c r="ACU126" s="751"/>
      <c r="ACV126" s="751"/>
      <c r="ACW126" s="751"/>
      <c r="ACX126" s="751"/>
      <c r="ACY126" s="751"/>
      <c r="ACZ126" s="751"/>
      <c r="ADA126" s="751"/>
      <c r="ADB126" s="751"/>
      <c r="ADC126" s="751"/>
      <c r="ADD126" s="751"/>
      <c r="ADE126" s="751"/>
      <c r="ADF126" s="751"/>
      <c r="ADG126" s="751"/>
      <c r="ADH126" s="751"/>
      <c r="ADI126" s="751"/>
      <c r="ADJ126" s="751"/>
      <c r="ADK126" s="751"/>
      <c r="ADL126" s="751"/>
      <c r="ADM126" s="751"/>
      <c r="ADN126" s="751"/>
      <c r="ADO126" s="751"/>
      <c r="ADP126" s="751"/>
      <c r="ADQ126" s="751"/>
      <c r="ADR126" s="751"/>
      <c r="ADS126" s="751"/>
      <c r="ADT126" s="751"/>
      <c r="ADU126" s="751"/>
      <c r="ADV126" s="751"/>
      <c r="ADW126" s="751"/>
      <c r="ADX126" s="751"/>
      <c r="ADY126" s="751"/>
      <c r="ADZ126" s="751"/>
      <c r="AEA126" s="751"/>
      <c r="AEB126" s="751"/>
      <c r="AEC126" s="751"/>
      <c r="AED126" s="751"/>
      <c r="AEE126" s="751"/>
      <c r="AEF126" s="751"/>
      <c r="AEG126" s="751"/>
      <c r="AEH126" s="751"/>
      <c r="AEI126" s="751"/>
      <c r="AEJ126" s="751"/>
      <c r="AEK126" s="751"/>
      <c r="AEL126" s="751"/>
      <c r="AEM126" s="751"/>
      <c r="AEN126" s="751"/>
      <c r="AEO126" s="751"/>
      <c r="AEP126" s="751"/>
      <c r="AEQ126" s="751"/>
      <c r="AER126" s="751"/>
      <c r="AES126" s="751"/>
      <c r="AET126" s="751"/>
      <c r="AEU126" s="751"/>
      <c r="AEV126" s="751"/>
      <c r="AEW126" s="751"/>
      <c r="AEX126" s="751"/>
      <c r="AEY126" s="751"/>
      <c r="AEZ126" s="751"/>
      <c r="AFA126" s="751"/>
      <c r="AFB126" s="751"/>
      <c r="AFC126" s="751"/>
      <c r="AFD126" s="751"/>
      <c r="AFE126" s="751"/>
      <c r="AFF126" s="751"/>
      <c r="AFG126" s="751"/>
      <c r="AFH126" s="751"/>
      <c r="AFI126" s="751"/>
      <c r="AFJ126" s="751"/>
      <c r="AFK126" s="751"/>
      <c r="AFL126" s="751"/>
      <c r="AFM126" s="751"/>
      <c r="AFN126" s="751"/>
      <c r="AFO126" s="751"/>
      <c r="AFP126" s="751"/>
      <c r="AFQ126" s="751"/>
      <c r="AFR126" s="751"/>
      <c r="AFS126" s="751"/>
      <c r="AFT126" s="751"/>
      <c r="AFU126" s="751"/>
      <c r="AFV126" s="751"/>
      <c r="AFW126" s="751"/>
      <c r="AFX126" s="751"/>
      <c r="AFY126" s="751"/>
      <c r="AFZ126" s="751"/>
      <c r="AGA126" s="751"/>
      <c r="AGB126" s="751"/>
      <c r="AGC126" s="751"/>
      <c r="AGD126" s="751"/>
      <c r="AGE126" s="751"/>
      <c r="AGF126" s="751"/>
      <c r="AGG126" s="751"/>
      <c r="AGH126" s="751"/>
      <c r="AGI126" s="751"/>
      <c r="AGJ126" s="751"/>
      <c r="AGK126" s="751"/>
      <c r="AGL126" s="751"/>
      <c r="AGM126" s="751"/>
      <c r="AGN126" s="751"/>
      <c r="AGO126" s="751"/>
      <c r="AGP126" s="751"/>
      <c r="AGQ126" s="751"/>
      <c r="AGR126" s="751"/>
      <c r="AGS126" s="751"/>
      <c r="AGT126" s="751"/>
      <c r="AGU126" s="751"/>
      <c r="AGV126" s="751"/>
      <c r="AGW126" s="751"/>
      <c r="AGX126" s="751"/>
      <c r="AGY126" s="751"/>
      <c r="AGZ126" s="751"/>
      <c r="AHA126" s="751"/>
      <c r="AHB126" s="751"/>
      <c r="AHC126" s="751"/>
      <c r="AHD126" s="751"/>
      <c r="AHE126" s="751"/>
      <c r="AHF126" s="751"/>
      <c r="AHG126" s="751"/>
      <c r="AHH126" s="751"/>
      <c r="AHI126" s="751"/>
      <c r="AHJ126" s="751"/>
      <c r="AHK126" s="751"/>
      <c r="AHL126" s="751"/>
      <c r="AHM126" s="751"/>
      <c r="AHN126" s="751"/>
      <c r="AHO126" s="751"/>
      <c r="AHP126" s="751"/>
      <c r="AHQ126" s="751"/>
      <c r="AHR126" s="751"/>
      <c r="AHS126" s="751"/>
      <c r="AHT126" s="751"/>
      <c r="AHU126" s="751"/>
      <c r="AHV126" s="751"/>
      <c r="AHW126" s="751"/>
      <c r="AHX126" s="751"/>
      <c r="AHY126" s="751"/>
      <c r="AHZ126" s="751"/>
      <c r="AIA126" s="751"/>
      <c r="AIB126" s="751"/>
      <c r="AIC126" s="751"/>
      <c r="AID126" s="751"/>
      <c r="AIE126" s="751"/>
      <c r="AIF126" s="751"/>
      <c r="AIG126" s="751"/>
      <c r="AIH126" s="751"/>
      <c r="AII126" s="751"/>
      <c r="AIJ126" s="751"/>
      <c r="AIK126" s="751"/>
      <c r="AIL126" s="751"/>
      <c r="AIM126" s="751"/>
      <c r="AIN126" s="751"/>
      <c r="AIO126" s="751"/>
      <c r="AIP126" s="751"/>
      <c r="AIQ126" s="751"/>
      <c r="AIR126" s="751"/>
      <c r="AIS126" s="751"/>
      <c r="AIT126" s="751"/>
      <c r="AIU126" s="751"/>
      <c r="AIV126" s="751"/>
      <c r="AIW126" s="751"/>
      <c r="AIX126" s="751"/>
      <c r="AIY126" s="751"/>
      <c r="AIZ126" s="751"/>
      <c r="AJA126" s="751"/>
      <c r="AJB126" s="751"/>
      <c r="AJC126" s="751"/>
      <c r="AJD126" s="751"/>
      <c r="AJE126" s="751"/>
      <c r="AJF126" s="751"/>
      <c r="AJG126" s="751"/>
      <c r="AJH126" s="751"/>
      <c r="AJI126" s="751"/>
      <c r="AJJ126" s="751"/>
      <c r="AJK126" s="751"/>
      <c r="AJL126" s="751"/>
      <c r="AJM126" s="751"/>
      <c r="AJN126" s="751"/>
      <c r="AJO126" s="751"/>
      <c r="AJP126" s="751"/>
      <c r="AJQ126" s="751"/>
      <c r="AJR126" s="751"/>
      <c r="AJS126" s="751"/>
      <c r="AJT126" s="751"/>
      <c r="AJU126" s="751"/>
      <c r="AJV126" s="751"/>
      <c r="AJW126" s="751"/>
      <c r="AJX126" s="751"/>
      <c r="AJY126" s="751"/>
      <c r="AJZ126" s="751"/>
      <c r="AKA126" s="751"/>
      <c r="AKB126" s="751"/>
      <c r="AKC126" s="751"/>
      <c r="AKD126" s="751"/>
      <c r="AKE126" s="751"/>
      <c r="AKF126" s="751"/>
      <c r="AKG126" s="751"/>
      <c r="AKH126" s="751"/>
      <c r="AKI126" s="751"/>
      <c r="AKJ126" s="751"/>
      <c r="AKK126" s="751"/>
      <c r="AKL126" s="751"/>
      <c r="AKM126" s="751"/>
      <c r="AKN126" s="751"/>
      <c r="AKO126" s="751"/>
      <c r="AKP126" s="751"/>
      <c r="AKQ126" s="751"/>
      <c r="AKR126" s="751"/>
      <c r="AKS126" s="751"/>
      <c r="AKT126" s="751"/>
      <c r="AKU126" s="751"/>
      <c r="AKV126" s="751"/>
      <c r="AKW126" s="751"/>
      <c r="AKX126" s="751"/>
      <c r="AKY126" s="751"/>
      <c r="AKZ126" s="751"/>
      <c r="ALA126" s="751"/>
      <c r="ALB126" s="751"/>
      <c r="ALC126" s="751"/>
      <c r="ALD126" s="751"/>
      <c r="ALE126" s="751"/>
      <c r="ALF126" s="751"/>
      <c r="ALG126" s="751"/>
      <c r="ALH126" s="751"/>
      <c r="ALI126" s="751"/>
      <c r="ALJ126" s="751"/>
      <c r="ALK126" s="751"/>
      <c r="ALL126" s="751"/>
      <c r="ALM126" s="751"/>
      <c r="ALN126" s="751"/>
      <c r="ALO126" s="751"/>
      <c r="ALP126" s="751"/>
      <c r="ALQ126" s="751"/>
      <c r="ALR126" s="751"/>
      <c r="ALS126" s="751"/>
      <c r="ALT126" s="751"/>
      <c r="ALU126" s="751"/>
      <c r="ALV126" s="751"/>
      <c r="ALW126" s="751"/>
      <c r="ALX126" s="751"/>
      <c r="ALY126" s="751"/>
      <c r="ALZ126" s="751"/>
      <c r="AMA126" s="751"/>
      <c r="AMB126" s="751"/>
      <c r="AMC126" s="751"/>
      <c r="AMD126" s="751"/>
      <c r="AME126" s="751"/>
      <c r="AMF126" s="751"/>
      <c r="AMG126" s="751"/>
      <c r="AMH126" s="751"/>
      <c r="AMI126" s="751"/>
      <c r="AMJ126" s="751"/>
      <c r="AMK126" s="751"/>
      <c r="AML126" s="751"/>
      <c r="AMM126" s="751"/>
      <c r="AMN126" s="751"/>
      <c r="AMO126" s="751"/>
      <c r="AMP126" s="751"/>
      <c r="AMQ126" s="751"/>
      <c r="AMR126" s="751"/>
      <c r="AMS126" s="751"/>
      <c r="AMT126" s="751"/>
      <c r="AMU126" s="751"/>
      <c r="AMV126" s="751"/>
      <c r="AMW126" s="751"/>
      <c r="AMX126" s="751"/>
      <c r="AMY126" s="751"/>
      <c r="AMZ126" s="751"/>
      <c r="ANA126" s="751"/>
      <c r="ANB126" s="751"/>
      <c r="ANC126" s="751"/>
      <c r="AND126" s="751"/>
      <c r="ANE126" s="751"/>
      <c r="ANF126" s="751"/>
      <c r="ANG126" s="751"/>
      <c r="ANH126" s="751"/>
      <c r="ANI126" s="751"/>
      <c r="ANJ126" s="751"/>
      <c r="ANK126" s="751"/>
      <c r="ANL126" s="751"/>
      <c r="ANM126" s="751"/>
      <c r="ANN126" s="751"/>
      <c r="ANO126" s="751"/>
      <c r="ANP126" s="751"/>
      <c r="ANQ126" s="751"/>
      <c r="ANR126" s="751"/>
      <c r="ANS126" s="751"/>
      <c r="ANT126" s="751"/>
      <c r="ANU126" s="751"/>
      <c r="ANV126" s="751"/>
      <c r="ANW126" s="751"/>
      <c r="ANX126" s="751"/>
      <c r="ANY126" s="751"/>
      <c r="ANZ126" s="751"/>
      <c r="AOA126" s="751"/>
      <c r="AOB126" s="751"/>
      <c r="AOC126" s="751"/>
      <c r="AOD126" s="751"/>
      <c r="AOE126" s="751"/>
      <c r="AOF126" s="751"/>
      <c r="AOG126" s="751"/>
      <c r="AOH126" s="751"/>
      <c r="AOI126" s="751"/>
      <c r="AOJ126" s="751"/>
      <c r="AOK126" s="751"/>
      <c r="AOL126" s="751"/>
      <c r="AOM126" s="751"/>
      <c r="AON126" s="751"/>
      <c r="AOO126" s="751"/>
      <c r="AOP126" s="751"/>
      <c r="AOQ126" s="751"/>
      <c r="AOR126" s="751"/>
      <c r="AOS126" s="751"/>
      <c r="AOT126" s="751"/>
      <c r="AOU126" s="751"/>
      <c r="AOV126" s="751"/>
      <c r="AOW126" s="751"/>
      <c r="AOX126" s="751"/>
      <c r="AOY126" s="751"/>
      <c r="AOZ126" s="751"/>
      <c r="APA126" s="751"/>
      <c r="APB126" s="751"/>
      <c r="APC126" s="751"/>
      <c r="APD126" s="751"/>
      <c r="APE126" s="751"/>
      <c r="APF126" s="751"/>
      <c r="APG126" s="751"/>
      <c r="APH126" s="751"/>
      <c r="API126" s="751"/>
      <c r="APJ126" s="751"/>
      <c r="APK126" s="751"/>
      <c r="APL126" s="751"/>
      <c r="APM126" s="751"/>
      <c r="APN126" s="751"/>
      <c r="APO126" s="751"/>
      <c r="APP126" s="751"/>
      <c r="APQ126" s="751"/>
      <c r="APR126" s="751"/>
      <c r="APS126" s="751"/>
      <c r="APT126" s="751"/>
      <c r="APU126" s="751"/>
      <c r="APV126" s="751"/>
      <c r="APW126" s="751"/>
      <c r="APX126" s="751"/>
      <c r="APY126" s="751"/>
      <c r="APZ126" s="751"/>
      <c r="AQA126" s="751"/>
      <c r="AQB126" s="751"/>
      <c r="AQC126" s="751"/>
      <c r="AQD126" s="751"/>
      <c r="AQE126" s="751"/>
      <c r="AQF126" s="751"/>
      <c r="AQG126" s="751"/>
      <c r="AQH126" s="751"/>
      <c r="AQI126" s="751"/>
      <c r="AQJ126" s="751"/>
      <c r="AQK126" s="751"/>
      <c r="AQL126" s="751"/>
      <c r="AQM126" s="751"/>
      <c r="AQN126" s="751"/>
      <c r="AQO126" s="751"/>
      <c r="AQP126" s="751"/>
      <c r="AQQ126" s="751"/>
      <c r="AQR126" s="751"/>
      <c r="AQS126" s="751"/>
      <c r="AQT126" s="751"/>
      <c r="AQU126" s="751"/>
      <c r="AQV126" s="751"/>
      <c r="AQW126" s="751"/>
      <c r="AQX126" s="751"/>
      <c r="AQY126" s="751"/>
      <c r="AQZ126" s="751"/>
      <c r="ARA126" s="751"/>
      <c r="ARB126" s="751"/>
      <c r="ARC126" s="751"/>
      <c r="ARD126" s="751"/>
      <c r="ARE126" s="751"/>
      <c r="ARF126" s="751"/>
      <c r="ARG126" s="751"/>
      <c r="ARH126" s="751"/>
      <c r="ARI126" s="751"/>
      <c r="ARJ126" s="751"/>
      <c r="ARK126" s="751"/>
      <c r="ARL126" s="751"/>
      <c r="ARM126" s="751"/>
      <c r="ARN126" s="751"/>
      <c r="ARO126" s="751"/>
      <c r="ARP126" s="751"/>
      <c r="ARQ126" s="751"/>
      <c r="ARR126" s="751"/>
      <c r="ARS126" s="751"/>
      <c r="ART126" s="751"/>
      <c r="ARU126" s="751"/>
      <c r="ARV126" s="751"/>
      <c r="ARW126" s="751"/>
      <c r="ARX126" s="751"/>
      <c r="ARY126" s="751"/>
      <c r="ARZ126" s="751"/>
      <c r="ASA126" s="751"/>
      <c r="ASB126" s="751"/>
      <c r="ASC126" s="751"/>
      <c r="ASD126" s="751"/>
      <c r="ASE126" s="751"/>
      <c r="ASF126" s="751"/>
      <c r="ASG126" s="751"/>
      <c r="ASH126" s="751"/>
      <c r="ASI126" s="751"/>
      <c r="ASJ126" s="751"/>
      <c r="ASK126" s="751"/>
      <c r="ASL126" s="751"/>
      <c r="ASM126" s="751"/>
      <c r="ASN126" s="751"/>
      <c r="ASO126" s="751"/>
      <c r="ASP126" s="751"/>
      <c r="ASQ126" s="751"/>
      <c r="ASR126" s="751"/>
      <c r="ASS126" s="751"/>
      <c r="AST126" s="751"/>
      <c r="ASU126" s="751"/>
      <c r="ASV126" s="751"/>
      <c r="ASW126" s="751"/>
      <c r="ASX126" s="751"/>
      <c r="ASY126" s="751"/>
      <c r="ASZ126" s="751"/>
      <c r="ATA126" s="751"/>
      <c r="ATB126" s="751"/>
      <c r="ATC126" s="751"/>
      <c r="ATD126" s="751"/>
      <c r="ATE126" s="751"/>
      <c r="ATF126" s="751"/>
      <c r="ATG126" s="751"/>
      <c r="ATH126" s="751"/>
      <c r="ATI126" s="751"/>
      <c r="ATJ126" s="751"/>
      <c r="ATK126" s="751"/>
      <c r="ATL126" s="751"/>
      <c r="ATM126" s="751"/>
      <c r="ATN126" s="751"/>
      <c r="ATO126" s="751"/>
      <c r="ATP126" s="751"/>
      <c r="ATQ126" s="751"/>
      <c r="ATR126" s="751"/>
      <c r="ATS126" s="751"/>
      <c r="ATT126" s="751"/>
      <c r="ATU126" s="751"/>
      <c r="ATV126" s="751"/>
      <c r="ATW126" s="751"/>
      <c r="ATX126" s="751"/>
      <c r="ATY126" s="751"/>
      <c r="ATZ126" s="751"/>
      <c r="AUA126" s="751"/>
      <c r="AUB126" s="751"/>
      <c r="AUC126" s="751"/>
      <c r="AUD126" s="751"/>
      <c r="AUE126" s="751"/>
      <c r="AUF126" s="751"/>
      <c r="AUG126" s="751"/>
      <c r="AUH126" s="751"/>
      <c r="AUI126" s="751"/>
      <c r="AUJ126" s="751"/>
      <c r="AUK126" s="751"/>
      <c r="AUL126" s="751"/>
      <c r="AUM126" s="751"/>
      <c r="AUN126" s="751"/>
      <c r="AUO126" s="751"/>
      <c r="AUP126" s="751"/>
      <c r="AUQ126" s="751"/>
      <c r="AUR126" s="751"/>
      <c r="AUS126" s="751"/>
      <c r="AUT126" s="751"/>
      <c r="AUU126" s="751"/>
      <c r="AUV126" s="751"/>
      <c r="AUW126" s="751"/>
      <c r="AUX126" s="751"/>
      <c r="AUY126" s="751"/>
      <c r="AUZ126" s="751"/>
      <c r="AVA126" s="751"/>
      <c r="AVB126" s="751"/>
      <c r="AVC126" s="751"/>
      <c r="AVD126" s="751"/>
      <c r="AVE126" s="751"/>
      <c r="AVF126" s="751"/>
      <c r="AVG126" s="751"/>
      <c r="AVH126" s="751"/>
      <c r="AVI126" s="751"/>
      <c r="AVJ126" s="751"/>
      <c r="AVK126" s="751"/>
      <c r="AVL126" s="751"/>
      <c r="AVM126" s="751"/>
      <c r="AVN126" s="751"/>
      <c r="AVO126" s="751"/>
      <c r="AVP126" s="751"/>
      <c r="AVQ126" s="751"/>
      <c r="AVR126" s="751"/>
      <c r="AVS126" s="751"/>
      <c r="AVT126" s="751"/>
      <c r="AVU126" s="751"/>
      <c r="AVV126" s="751"/>
      <c r="AVW126" s="751"/>
      <c r="AVX126" s="751"/>
      <c r="AVY126" s="751"/>
      <c r="AVZ126" s="751"/>
      <c r="AWA126" s="751"/>
      <c r="AWB126" s="751"/>
      <c r="AWC126" s="751"/>
      <c r="AWD126" s="751"/>
      <c r="AWE126" s="751"/>
      <c r="AWF126" s="751"/>
      <c r="AWG126" s="751"/>
      <c r="AWH126" s="751"/>
      <c r="AWI126" s="751"/>
      <c r="AWJ126" s="751"/>
      <c r="AWK126" s="751"/>
      <c r="AWL126" s="751"/>
      <c r="AWM126" s="751"/>
      <c r="AWN126" s="751"/>
      <c r="AWO126" s="751"/>
      <c r="AWP126" s="751"/>
      <c r="AWQ126" s="751"/>
      <c r="AWR126" s="751"/>
      <c r="AWS126" s="751"/>
      <c r="AWT126" s="751"/>
      <c r="AWU126" s="751"/>
      <c r="AWV126" s="751"/>
      <c r="AWW126" s="751"/>
      <c r="AWX126" s="751"/>
      <c r="AWY126" s="751"/>
      <c r="AWZ126" s="751"/>
      <c r="AXA126" s="751"/>
      <c r="AXB126" s="751"/>
      <c r="AXC126" s="751"/>
      <c r="AXD126" s="751"/>
      <c r="AXE126" s="751"/>
      <c r="AXF126" s="751"/>
      <c r="AXG126" s="751"/>
      <c r="AXH126" s="751"/>
      <c r="AXI126" s="751"/>
      <c r="AXJ126" s="751"/>
      <c r="AXK126" s="751"/>
      <c r="AXL126" s="751"/>
      <c r="AXM126" s="751"/>
      <c r="AXN126" s="751"/>
      <c r="AXO126" s="751"/>
      <c r="AXP126" s="751"/>
      <c r="AXQ126" s="751"/>
      <c r="AXR126" s="751"/>
      <c r="AXS126" s="751"/>
      <c r="AXT126" s="751"/>
      <c r="AXU126" s="751"/>
      <c r="AXV126" s="751"/>
      <c r="AXW126" s="751"/>
      <c r="AXX126" s="751"/>
      <c r="AXY126" s="751"/>
      <c r="AXZ126" s="751"/>
      <c r="AYA126" s="751"/>
      <c r="AYB126" s="751"/>
      <c r="AYC126" s="751"/>
      <c r="AYD126" s="751"/>
      <c r="AYE126" s="751"/>
      <c r="AYF126" s="751"/>
      <c r="AYG126" s="751"/>
      <c r="AYH126" s="751"/>
      <c r="AYI126" s="751"/>
      <c r="AYJ126" s="751"/>
      <c r="AYK126" s="751"/>
      <c r="AYL126" s="751"/>
      <c r="AYM126" s="751"/>
      <c r="AYN126" s="751"/>
      <c r="AYO126" s="751"/>
      <c r="AYP126" s="751"/>
      <c r="AYQ126" s="751"/>
      <c r="AYR126" s="751"/>
      <c r="AYS126" s="751"/>
      <c r="AYT126" s="751"/>
      <c r="AYU126" s="751"/>
      <c r="AYV126" s="751"/>
      <c r="AYW126" s="751"/>
      <c r="AYX126" s="751"/>
      <c r="AYY126" s="751"/>
      <c r="AYZ126" s="751"/>
      <c r="AZA126" s="751"/>
      <c r="AZB126" s="751"/>
      <c r="AZC126" s="751"/>
      <c r="AZD126" s="751"/>
      <c r="AZE126" s="751"/>
      <c r="AZF126" s="751"/>
      <c r="AZG126" s="751"/>
      <c r="AZH126" s="751"/>
      <c r="AZI126" s="751"/>
      <c r="AZJ126" s="751"/>
      <c r="AZK126" s="751"/>
      <c r="AZL126" s="751"/>
      <c r="AZM126" s="751"/>
      <c r="AZN126" s="751"/>
      <c r="AZO126" s="751"/>
      <c r="AZP126" s="751"/>
      <c r="AZQ126" s="751"/>
      <c r="AZR126" s="751"/>
      <c r="AZS126" s="751"/>
      <c r="AZT126" s="751"/>
      <c r="AZU126" s="751"/>
      <c r="AZV126" s="751"/>
      <c r="AZW126" s="751"/>
      <c r="AZX126" s="751"/>
      <c r="AZY126" s="751"/>
      <c r="AZZ126" s="751"/>
      <c r="BAA126" s="751"/>
      <c r="BAB126" s="751"/>
      <c r="BAC126" s="751"/>
      <c r="BAD126" s="751"/>
      <c r="BAE126" s="751"/>
      <c r="BAF126" s="751"/>
      <c r="BAG126" s="751"/>
      <c r="BAH126" s="751"/>
      <c r="BAI126" s="751"/>
      <c r="BAJ126" s="751"/>
      <c r="BAK126" s="751"/>
      <c r="BAL126" s="751"/>
      <c r="BAM126" s="751"/>
      <c r="BAN126" s="751"/>
      <c r="BAO126" s="751"/>
      <c r="BAP126" s="751"/>
      <c r="BAQ126" s="751"/>
      <c r="BAR126" s="751"/>
      <c r="BAS126" s="751"/>
      <c r="BAT126" s="751"/>
      <c r="BAU126" s="751"/>
      <c r="BAV126" s="751"/>
      <c r="BAW126" s="751"/>
      <c r="BAX126" s="751"/>
      <c r="BAY126" s="751"/>
      <c r="BAZ126" s="751"/>
      <c r="BBA126" s="751"/>
      <c r="BBB126" s="751"/>
      <c r="BBC126" s="751"/>
      <c r="BBD126" s="751"/>
      <c r="BBE126" s="751"/>
      <c r="BBF126" s="751"/>
      <c r="BBG126" s="751"/>
      <c r="BBH126" s="751"/>
      <c r="BBI126" s="751"/>
      <c r="BBJ126" s="751"/>
      <c r="BBK126" s="751"/>
      <c r="BBL126" s="751"/>
      <c r="BBM126" s="751"/>
      <c r="BBN126" s="751"/>
      <c r="BBO126" s="751"/>
      <c r="BBP126" s="751"/>
      <c r="BBQ126" s="751"/>
      <c r="BBR126" s="751"/>
      <c r="BBS126" s="751"/>
      <c r="BBT126" s="751"/>
      <c r="BBU126" s="751"/>
      <c r="BBV126" s="751"/>
      <c r="BBW126" s="751"/>
      <c r="BBX126" s="751"/>
      <c r="BBY126" s="751"/>
      <c r="BBZ126" s="751"/>
      <c r="BCA126" s="751"/>
      <c r="BCB126" s="751"/>
      <c r="BCC126" s="751"/>
      <c r="BCD126" s="751"/>
      <c r="BCE126" s="751"/>
      <c r="BCF126" s="751"/>
      <c r="BCG126" s="751"/>
      <c r="BCH126" s="751"/>
      <c r="BCI126" s="751"/>
      <c r="BCJ126" s="751"/>
      <c r="BCK126" s="751"/>
      <c r="BCL126" s="751"/>
      <c r="BCM126" s="751"/>
      <c r="BCN126" s="751"/>
      <c r="BCO126" s="751"/>
      <c r="BCP126" s="751"/>
      <c r="BCQ126" s="751"/>
      <c r="BCR126" s="751"/>
      <c r="BCS126" s="751"/>
      <c r="BCT126" s="751"/>
      <c r="BCU126" s="751"/>
      <c r="BCV126" s="751"/>
      <c r="BCW126" s="751"/>
      <c r="BCX126" s="751"/>
      <c r="BCY126" s="751"/>
      <c r="BCZ126" s="751"/>
      <c r="BDA126" s="751"/>
      <c r="BDB126" s="751"/>
      <c r="BDC126" s="751"/>
      <c r="BDD126" s="751"/>
      <c r="BDE126" s="751"/>
      <c r="BDF126" s="751"/>
      <c r="BDG126" s="751"/>
      <c r="BDH126" s="751"/>
      <c r="BDI126" s="751"/>
      <c r="BDJ126" s="751"/>
      <c r="BDK126" s="751"/>
      <c r="BDL126" s="751"/>
      <c r="BDM126" s="751"/>
      <c r="BDN126" s="751"/>
      <c r="BDO126" s="751"/>
      <c r="BDP126" s="751"/>
      <c r="BDQ126" s="751"/>
      <c r="BDR126" s="751"/>
      <c r="BDS126" s="751"/>
      <c r="BDT126" s="751"/>
      <c r="BDU126" s="751"/>
      <c r="BDV126" s="751"/>
      <c r="BDW126" s="751"/>
      <c r="BDX126" s="751"/>
      <c r="BDY126" s="751"/>
      <c r="BDZ126" s="751"/>
      <c r="BEA126" s="751"/>
      <c r="BEB126" s="751"/>
      <c r="BEC126" s="751"/>
      <c r="BED126" s="751"/>
      <c r="BEE126" s="751"/>
      <c r="BEF126" s="751"/>
      <c r="BEG126" s="751"/>
      <c r="BEH126" s="751"/>
      <c r="BEI126" s="751"/>
      <c r="BEJ126" s="751"/>
      <c r="BEK126" s="751"/>
      <c r="BEL126" s="751"/>
      <c r="BEM126" s="751"/>
      <c r="BEN126" s="751"/>
      <c r="BEO126" s="751"/>
      <c r="BEP126" s="751"/>
      <c r="BEQ126" s="751"/>
      <c r="BER126" s="751"/>
      <c r="BES126" s="751"/>
      <c r="BET126" s="751"/>
      <c r="BEU126" s="751"/>
      <c r="BEV126" s="751"/>
      <c r="BEW126" s="751"/>
      <c r="BEX126" s="751"/>
      <c r="BEY126" s="751"/>
      <c r="BEZ126" s="751"/>
      <c r="BFA126" s="751"/>
      <c r="BFB126" s="751"/>
      <c r="BFC126" s="751"/>
      <c r="BFD126" s="751"/>
      <c r="BFE126" s="751"/>
      <c r="BFF126" s="751"/>
      <c r="BFG126" s="751"/>
      <c r="BFH126" s="751"/>
      <c r="BFI126" s="751"/>
      <c r="BFJ126" s="751"/>
      <c r="BFK126" s="751"/>
      <c r="BFL126" s="751"/>
      <c r="BFM126" s="751"/>
      <c r="BFN126" s="751"/>
      <c r="BFO126" s="751"/>
      <c r="BFP126" s="751"/>
      <c r="BFQ126" s="751"/>
      <c r="BFR126" s="751"/>
      <c r="BFS126" s="751"/>
      <c r="BFT126" s="751"/>
      <c r="BFU126" s="751"/>
      <c r="BFV126" s="751"/>
      <c r="BFW126" s="751"/>
      <c r="BFX126" s="751"/>
      <c r="BFY126" s="751"/>
      <c r="BFZ126" s="751"/>
      <c r="BGA126" s="751"/>
      <c r="BGB126" s="751"/>
      <c r="BGC126" s="751"/>
      <c r="BGD126" s="751"/>
      <c r="BGE126" s="751"/>
      <c r="BGF126" s="751"/>
      <c r="BGG126" s="751"/>
      <c r="BGH126" s="751"/>
      <c r="BGI126" s="751"/>
      <c r="BGJ126" s="751"/>
      <c r="BGK126" s="751"/>
      <c r="BGL126" s="751"/>
      <c r="BGM126" s="751"/>
      <c r="BGN126" s="751"/>
      <c r="BGO126" s="751"/>
      <c r="BGP126" s="751"/>
      <c r="BGQ126" s="751"/>
      <c r="BGR126" s="751"/>
      <c r="BGS126" s="751"/>
      <c r="BGT126" s="751"/>
      <c r="BGU126" s="751"/>
      <c r="BGV126" s="751"/>
      <c r="BGW126" s="751"/>
      <c r="BGX126" s="751"/>
      <c r="BGY126" s="751"/>
      <c r="BGZ126" s="751"/>
      <c r="BHA126" s="751"/>
      <c r="BHB126" s="751"/>
      <c r="BHC126" s="751"/>
      <c r="BHD126" s="751"/>
      <c r="BHE126" s="751"/>
      <c r="BHF126" s="751"/>
      <c r="BHG126" s="751"/>
      <c r="BHH126" s="751"/>
      <c r="BHI126" s="751"/>
      <c r="BHJ126" s="751"/>
      <c r="BHK126" s="751"/>
      <c r="BHL126" s="751"/>
      <c r="BHM126" s="751"/>
      <c r="BHN126" s="751"/>
      <c r="BHO126" s="751"/>
      <c r="BHP126" s="751"/>
      <c r="BHQ126" s="751"/>
      <c r="BHR126" s="751"/>
      <c r="BHS126" s="751"/>
      <c r="BHT126" s="751"/>
      <c r="BHU126" s="751"/>
      <c r="BHV126" s="751"/>
      <c r="BHW126" s="751"/>
      <c r="BHX126" s="751"/>
      <c r="BHY126" s="751"/>
      <c r="BHZ126" s="751"/>
      <c r="BIA126" s="751"/>
      <c r="BIB126" s="751"/>
      <c r="BIC126" s="751"/>
      <c r="BID126" s="751"/>
      <c r="BIE126" s="751"/>
      <c r="BIF126" s="751"/>
      <c r="BIG126" s="751"/>
      <c r="BIH126" s="751"/>
      <c r="BII126" s="751"/>
      <c r="BIJ126" s="751"/>
      <c r="BIK126" s="751"/>
      <c r="BIL126" s="751"/>
      <c r="BIM126" s="751"/>
      <c r="BIN126" s="751"/>
      <c r="BIO126" s="751"/>
      <c r="BIP126" s="751"/>
      <c r="BIQ126" s="751"/>
      <c r="BIR126" s="751"/>
      <c r="BIS126" s="751"/>
      <c r="BIT126" s="751"/>
      <c r="BIU126" s="751"/>
      <c r="BIV126" s="751"/>
      <c r="BIW126" s="751"/>
      <c r="BIX126" s="751"/>
      <c r="BIY126" s="751"/>
      <c r="BIZ126" s="751"/>
      <c r="BJA126" s="751"/>
      <c r="BJB126" s="751"/>
      <c r="BJC126" s="751"/>
      <c r="BJD126" s="751"/>
      <c r="BJE126" s="751"/>
      <c r="BJF126" s="751"/>
      <c r="BJG126" s="751"/>
      <c r="BJH126" s="751"/>
      <c r="BJI126" s="751"/>
      <c r="BJJ126" s="751"/>
      <c r="BJK126" s="751"/>
      <c r="BJL126" s="751"/>
      <c r="BJM126" s="751"/>
      <c r="BJN126" s="751"/>
      <c r="BJO126" s="751"/>
      <c r="BJP126" s="751"/>
      <c r="BJQ126" s="751"/>
      <c r="BJR126" s="751"/>
      <c r="BJS126" s="751"/>
      <c r="BJT126" s="751"/>
      <c r="BJU126" s="751"/>
      <c r="BJV126" s="751"/>
      <c r="BJW126" s="751"/>
      <c r="BJX126" s="751"/>
      <c r="BJY126" s="751"/>
      <c r="BJZ126" s="751"/>
      <c r="BKA126" s="751"/>
      <c r="BKB126" s="751"/>
      <c r="BKC126" s="751"/>
      <c r="BKD126" s="751"/>
      <c r="BKE126" s="751"/>
      <c r="BKF126" s="751"/>
      <c r="BKG126" s="751"/>
      <c r="BKH126" s="751"/>
      <c r="BKI126" s="751"/>
      <c r="BKJ126" s="751"/>
      <c r="BKK126" s="751"/>
      <c r="BKL126" s="751"/>
      <c r="BKM126" s="751"/>
      <c r="BKN126" s="751"/>
      <c r="BKO126" s="751"/>
      <c r="BKP126" s="751"/>
      <c r="BKQ126" s="751"/>
      <c r="BKR126" s="751"/>
      <c r="BKS126" s="751"/>
      <c r="BKT126" s="751"/>
      <c r="BKU126" s="751"/>
      <c r="BKV126" s="751"/>
      <c r="BKW126" s="751"/>
      <c r="BKX126" s="751"/>
      <c r="BKY126" s="751"/>
      <c r="BKZ126" s="751"/>
      <c r="BLA126" s="751"/>
      <c r="BLB126" s="751"/>
      <c r="BLC126" s="751"/>
      <c r="BLD126" s="751"/>
      <c r="BLE126" s="751"/>
      <c r="BLF126" s="751"/>
      <c r="BLG126" s="751"/>
      <c r="BLH126" s="751"/>
      <c r="BLI126" s="751"/>
      <c r="BLJ126" s="751"/>
      <c r="BLK126" s="751"/>
      <c r="BLL126" s="751"/>
      <c r="BLM126" s="751"/>
      <c r="BLN126" s="751"/>
      <c r="BLO126" s="751"/>
      <c r="BLP126" s="751"/>
      <c r="BLQ126" s="751"/>
      <c r="BLR126" s="751"/>
      <c r="BLS126" s="751"/>
      <c r="BLT126" s="751"/>
      <c r="BLU126" s="751"/>
      <c r="BLV126" s="751"/>
      <c r="BLW126" s="751"/>
      <c r="BLX126" s="751"/>
      <c r="BLY126" s="751"/>
      <c r="BLZ126" s="751"/>
      <c r="BMA126" s="751"/>
      <c r="BMB126" s="751"/>
      <c r="BMC126" s="751"/>
      <c r="BMD126" s="751"/>
      <c r="BME126" s="751"/>
      <c r="BMF126" s="751"/>
      <c r="BMG126" s="751"/>
      <c r="BMH126" s="751"/>
      <c r="BMI126" s="751"/>
      <c r="BMJ126" s="751"/>
      <c r="BMK126" s="751"/>
      <c r="BML126" s="751"/>
      <c r="BMM126" s="751"/>
      <c r="BMN126" s="751"/>
      <c r="BMO126" s="751"/>
      <c r="BMP126" s="751"/>
      <c r="BMQ126" s="751"/>
      <c r="BMR126" s="751"/>
      <c r="BMS126" s="751"/>
      <c r="BMT126" s="751"/>
      <c r="BMU126" s="751"/>
      <c r="BMV126" s="751"/>
      <c r="BMW126" s="751"/>
      <c r="BMX126" s="751"/>
      <c r="BMY126" s="751"/>
      <c r="BMZ126" s="751"/>
      <c r="BNA126" s="751"/>
      <c r="BNB126" s="751"/>
      <c r="BNC126" s="751"/>
      <c r="BND126" s="751"/>
      <c r="BNE126" s="751"/>
      <c r="BNF126" s="751"/>
      <c r="BNG126" s="751"/>
      <c r="BNH126" s="751"/>
      <c r="BNI126" s="751"/>
      <c r="BNJ126" s="751"/>
      <c r="BNK126" s="751"/>
      <c r="BNL126" s="751"/>
      <c r="BNM126" s="751"/>
      <c r="BNN126" s="751"/>
      <c r="BNO126" s="751"/>
      <c r="BNP126" s="751"/>
      <c r="BNQ126" s="751"/>
      <c r="BNR126" s="751"/>
      <c r="BNS126" s="751"/>
      <c r="BNT126" s="751"/>
      <c r="BNU126" s="751"/>
      <c r="BNV126" s="751"/>
      <c r="BNW126" s="751"/>
      <c r="BNX126" s="751"/>
      <c r="BNY126" s="751"/>
      <c r="BNZ126" s="751"/>
      <c r="BOA126" s="751"/>
      <c r="BOB126" s="751"/>
      <c r="BOC126" s="751"/>
      <c r="BOD126" s="751"/>
      <c r="BOE126" s="751"/>
      <c r="BOF126" s="751"/>
      <c r="BOG126" s="751"/>
      <c r="BOH126" s="751"/>
      <c r="BOI126" s="751"/>
      <c r="BOJ126" s="751"/>
      <c r="BOK126" s="751"/>
      <c r="BOL126" s="751"/>
      <c r="BOM126" s="751"/>
      <c r="BON126" s="751"/>
      <c r="BOO126" s="751"/>
      <c r="BOP126" s="751"/>
      <c r="BOQ126" s="751"/>
      <c r="BOR126" s="751"/>
      <c r="BOS126" s="751"/>
      <c r="BOT126" s="751"/>
      <c r="BOU126" s="751"/>
      <c r="BOV126" s="751"/>
      <c r="BOW126" s="751"/>
      <c r="BOX126" s="751"/>
      <c r="BOY126" s="751"/>
      <c r="BOZ126" s="751"/>
      <c r="BPA126" s="751"/>
      <c r="BPB126" s="751"/>
      <c r="BPC126" s="751"/>
      <c r="BPD126" s="751"/>
      <c r="BPE126" s="751"/>
      <c r="BPF126" s="751"/>
      <c r="BPG126" s="751"/>
      <c r="BPH126" s="751"/>
      <c r="BPI126" s="751"/>
      <c r="BPJ126" s="751"/>
      <c r="BPK126" s="751"/>
      <c r="BPL126" s="751"/>
      <c r="BPM126" s="751"/>
      <c r="BPN126" s="751"/>
      <c r="BPO126" s="751"/>
      <c r="BPP126" s="751"/>
      <c r="BPQ126" s="751"/>
      <c r="BPR126" s="751"/>
      <c r="BPS126" s="751"/>
      <c r="BPT126" s="751"/>
      <c r="BPU126" s="751"/>
      <c r="BPV126" s="751"/>
      <c r="BPW126" s="751"/>
      <c r="BPX126" s="751"/>
      <c r="BPY126" s="751"/>
      <c r="BPZ126" s="751"/>
      <c r="BQA126" s="751"/>
      <c r="BQB126" s="751"/>
      <c r="BQC126" s="751"/>
      <c r="BQD126" s="751"/>
      <c r="BQE126" s="751"/>
      <c r="BQF126" s="751"/>
      <c r="BQG126" s="751"/>
      <c r="BQH126" s="751"/>
      <c r="BQI126" s="751"/>
      <c r="BQJ126" s="751"/>
      <c r="BQK126" s="751"/>
      <c r="BQL126" s="751"/>
      <c r="BQM126" s="751"/>
      <c r="BQN126" s="751"/>
      <c r="BQO126" s="751"/>
      <c r="BQP126" s="751"/>
      <c r="BQQ126" s="751"/>
      <c r="BQR126" s="751"/>
      <c r="BQS126" s="751"/>
      <c r="BQT126" s="751"/>
      <c r="BQU126" s="751"/>
      <c r="BQV126" s="751"/>
      <c r="BQW126" s="751"/>
      <c r="BQX126" s="751"/>
      <c r="BQY126" s="751"/>
      <c r="BQZ126" s="751"/>
      <c r="BRA126" s="751"/>
      <c r="BRB126" s="751"/>
      <c r="BRC126" s="751"/>
      <c r="BRD126" s="751"/>
      <c r="BRE126" s="751"/>
      <c r="BRF126" s="751"/>
      <c r="BRG126" s="751"/>
      <c r="BRH126" s="751"/>
      <c r="BRI126" s="751"/>
      <c r="BRJ126" s="751"/>
      <c r="BRK126" s="751"/>
      <c r="BRL126" s="751"/>
      <c r="BRM126" s="751"/>
      <c r="BRN126" s="751"/>
      <c r="BRO126" s="751"/>
      <c r="BRP126" s="751"/>
      <c r="BRQ126" s="751"/>
      <c r="BRR126" s="751"/>
      <c r="BRS126" s="751"/>
      <c r="BRT126" s="751"/>
      <c r="BRU126" s="751"/>
      <c r="BRV126" s="751"/>
      <c r="BRW126" s="751"/>
      <c r="BRX126" s="751"/>
      <c r="BRY126" s="751"/>
      <c r="BRZ126" s="751"/>
      <c r="BSA126" s="751"/>
      <c r="BSB126" s="751"/>
      <c r="BSC126" s="751"/>
      <c r="BSD126" s="751"/>
      <c r="BSE126" s="751"/>
      <c r="BSF126" s="751"/>
      <c r="BSG126" s="751"/>
      <c r="BSH126" s="751"/>
      <c r="BSI126" s="751"/>
      <c r="BSJ126" s="751"/>
      <c r="BSK126" s="751"/>
      <c r="BSL126" s="751"/>
      <c r="BSM126" s="751"/>
      <c r="BSN126" s="751"/>
      <c r="BSO126" s="751"/>
      <c r="BSP126" s="751"/>
      <c r="BSQ126" s="751"/>
      <c r="BSR126" s="751"/>
      <c r="BSS126" s="751"/>
      <c r="BST126" s="751"/>
      <c r="BSU126" s="751"/>
      <c r="BSV126" s="751"/>
      <c r="BSW126" s="751"/>
      <c r="BSX126" s="751"/>
      <c r="BSY126" s="751"/>
      <c r="BSZ126" s="751"/>
      <c r="BTA126" s="751"/>
      <c r="BTB126" s="751"/>
      <c r="BTC126" s="751"/>
      <c r="BTD126" s="751"/>
      <c r="BTE126" s="751"/>
      <c r="BTF126" s="751"/>
      <c r="BTG126" s="751"/>
      <c r="BTH126" s="751"/>
      <c r="BTI126" s="751"/>
      <c r="BTJ126" s="751"/>
      <c r="BTK126" s="751"/>
      <c r="BTL126" s="751"/>
      <c r="BTM126" s="751"/>
      <c r="BTN126" s="751"/>
      <c r="BTO126" s="751"/>
      <c r="BTP126" s="751"/>
      <c r="BTQ126" s="751"/>
      <c r="BTR126" s="751"/>
      <c r="BTS126" s="751"/>
      <c r="BTT126" s="751"/>
      <c r="BTU126" s="751"/>
      <c r="BTV126" s="751"/>
      <c r="BTW126" s="751"/>
      <c r="BTX126" s="751"/>
      <c r="BTY126" s="751"/>
      <c r="BTZ126" s="751"/>
      <c r="BUA126" s="751"/>
      <c r="BUB126" s="751"/>
      <c r="BUC126" s="751"/>
      <c r="BUD126" s="751"/>
      <c r="BUE126" s="751"/>
      <c r="BUF126" s="751"/>
      <c r="BUG126" s="751"/>
      <c r="BUH126" s="751"/>
      <c r="BUI126" s="751"/>
      <c r="BUJ126" s="751"/>
      <c r="BUK126" s="751"/>
      <c r="BUL126" s="751"/>
      <c r="BUM126" s="751"/>
      <c r="BUN126" s="751"/>
      <c r="BUO126" s="751"/>
      <c r="BUP126" s="751"/>
      <c r="BUQ126" s="751"/>
      <c r="BUR126" s="751"/>
      <c r="BUS126" s="751"/>
      <c r="BUT126" s="751"/>
      <c r="BUU126" s="751"/>
      <c r="BUV126" s="751"/>
      <c r="BUW126" s="751"/>
      <c r="BUX126" s="751"/>
      <c r="BUY126" s="751"/>
      <c r="BUZ126" s="751"/>
      <c r="BVA126" s="751"/>
      <c r="BVB126" s="751"/>
      <c r="BVC126" s="751"/>
      <c r="BVD126" s="751"/>
      <c r="BVE126" s="751"/>
      <c r="BVF126" s="751"/>
      <c r="BVG126" s="751"/>
      <c r="BVH126" s="751"/>
      <c r="BVI126" s="751"/>
      <c r="BVJ126" s="751"/>
      <c r="BVK126" s="751"/>
      <c r="BVL126" s="751"/>
      <c r="BVM126" s="751"/>
      <c r="BVN126" s="751"/>
      <c r="BVO126" s="751"/>
      <c r="BVP126" s="751"/>
      <c r="BVQ126" s="751"/>
      <c r="BVR126" s="751"/>
      <c r="BVS126" s="751"/>
      <c r="BVT126" s="751"/>
      <c r="BVU126" s="751"/>
      <c r="BVV126" s="751"/>
      <c r="BVW126" s="751"/>
      <c r="BVX126" s="751"/>
      <c r="BVY126" s="751"/>
      <c r="BVZ126" s="751"/>
      <c r="BWA126" s="751"/>
      <c r="BWB126" s="751"/>
      <c r="BWC126" s="751"/>
      <c r="BWD126" s="751"/>
      <c r="BWE126" s="751"/>
      <c r="BWF126" s="751"/>
      <c r="BWG126" s="751"/>
      <c r="BWH126" s="751"/>
      <c r="BWI126" s="751"/>
      <c r="BWJ126" s="751"/>
      <c r="BWK126" s="751"/>
      <c r="BWL126" s="751"/>
      <c r="BWM126" s="751"/>
      <c r="BWN126" s="751"/>
      <c r="BWO126" s="751"/>
      <c r="BWP126" s="751"/>
      <c r="BWQ126" s="751"/>
      <c r="BWR126" s="751"/>
      <c r="BWS126" s="751"/>
      <c r="BWT126" s="751"/>
      <c r="BWU126" s="751"/>
      <c r="BWV126" s="751"/>
      <c r="BWW126" s="751"/>
      <c r="BWX126" s="751"/>
      <c r="BWY126" s="751"/>
      <c r="BWZ126" s="751"/>
      <c r="BXA126" s="751"/>
      <c r="BXB126" s="751"/>
      <c r="BXC126" s="751"/>
      <c r="BXD126" s="751"/>
      <c r="BXE126" s="751"/>
      <c r="BXF126" s="751"/>
      <c r="BXG126" s="751"/>
      <c r="BXH126" s="751"/>
      <c r="BXI126" s="751"/>
      <c r="BXJ126" s="751"/>
      <c r="BXK126" s="751"/>
      <c r="BXL126" s="751"/>
      <c r="BXM126" s="751"/>
      <c r="BXN126" s="751"/>
      <c r="BXO126" s="751"/>
      <c r="BXP126" s="751"/>
      <c r="BXQ126" s="751"/>
      <c r="BXR126" s="751"/>
      <c r="BXS126" s="751"/>
      <c r="BXT126" s="751"/>
      <c r="BXU126" s="751"/>
      <c r="BXV126" s="751"/>
      <c r="BXW126" s="751"/>
      <c r="BXX126" s="751"/>
      <c r="BXY126" s="751"/>
      <c r="BXZ126" s="751"/>
      <c r="BYA126" s="751"/>
      <c r="BYB126" s="751"/>
      <c r="BYC126" s="751"/>
      <c r="BYD126" s="751"/>
      <c r="BYE126" s="751"/>
      <c r="BYF126" s="751"/>
      <c r="BYG126" s="751"/>
      <c r="BYH126" s="751"/>
      <c r="BYI126" s="751"/>
      <c r="BYJ126" s="751"/>
      <c r="BYK126" s="751"/>
      <c r="BYL126" s="751"/>
      <c r="BYM126" s="751"/>
      <c r="BYN126" s="751"/>
      <c r="BYO126" s="751"/>
      <c r="BYP126" s="751"/>
      <c r="BYQ126" s="751"/>
      <c r="BYR126" s="751"/>
      <c r="BYS126" s="751"/>
      <c r="BYT126" s="751"/>
      <c r="BYU126" s="751"/>
      <c r="BYV126" s="751"/>
      <c r="BYW126" s="751"/>
      <c r="BYX126" s="751"/>
      <c r="BYY126" s="751"/>
      <c r="BYZ126" s="751"/>
      <c r="BZA126" s="751"/>
      <c r="BZB126" s="751"/>
      <c r="BZC126" s="751"/>
      <c r="BZD126" s="751"/>
      <c r="BZE126" s="751"/>
      <c r="BZF126" s="751"/>
      <c r="BZG126" s="751"/>
      <c r="BZH126" s="751"/>
      <c r="BZI126" s="751"/>
      <c r="BZJ126" s="751"/>
      <c r="BZK126" s="751"/>
      <c r="BZL126" s="751"/>
      <c r="BZM126" s="751"/>
      <c r="BZN126" s="751"/>
      <c r="BZO126" s="751"/>
      <c r="BZP126" s="751"/>
      <c r="BZQ126" s="751"/>
      <c r="BZR126" s="751"/>
      <c r="BZS126" s="751"/>
      <c r="BZT126" s="751"/>
      <c r="BZU126" s="751"/>
      <c r="BZV126" s="751"/>
      <c r="BZW126" s="751"/>
      <c r="BZX126" s="751"/>
      <c r="BZY126" s="751"/>
      <c r="BZZ126" s="751"/>
      <c r="CAA126" s="751"/>
      <c r="CAB126" s="751"/>
      <c r="CAC126" s="751"/>
      <c r="CAD126" s="751"/>
      <c r="CAE126" s="751"/>
      <c r="CAF126" s="751"/>
      <c r="CAG126" s="751"/>
      <c r="CAH126" s="751"/>
      <c r="CAI126" s="751"/>
      <c r="CAJ126" s="751"/>
      <c r="CAK126" s="751"/>
      <c r="CAL126" s="751"/>
      <c r="CAM126" s="751"/>
      <c r="CAN126" s="751"/>
      <c r="CAO126" s="751"/>
      <c r="CAP126" s="751"/>
      <c r="CAQ126" s="751"/>
      <c r="CAR126" s="751"/>
      <c r="CAS126" s="751"/>
      <c r="CAT126" s="751"/>
      <c r="CAU126" s="751"/>
      <c r="CAV126" s="751"/>
      <c r="CAW126" s="751"/>
      <c r="CAX126" s="751"/>
      <c r="CAY126" s="751"/>
      <c r="CAZ126" s="751"/>
      <c r="CBA126" s="751"/>
      <c r="CBB126" s="751"/>
      <c r="CBC126" s="751"/>
      <c r="CBD126" s="751"/>
      <c r="CBE126" s="751"/>
      <c r="CBF126" s="751"/>
      <c r="CBG126" s="751"/>
      <c r="CBH126" s="751"/>
      <c r="CBI126" s="751"/>
      <c r="CBJ126" s="751"/>
      <c r="CBK126" s="751"/>
      <c r="CBL126" s="751"/>
      <c r="CBM126" s="751"/>
      <c r="CBN126" s="751"/>
      <c r="CBO126" s="751"/>
      <c r="CBP126" s="751"/>
      <c r="CBQ126" s="751"/>
      <c r="CBR126" s="751"/>
      <c r="CBS126" s="751"/>
      <c r="CBT126" s="751"/>
      <c r="CBU126" s="751"/>
      <c r="CBV126" s="751"/>
      <c r="CBW126" s="751"/>
      <c r="CBX126" s="751"/>
      <c r="CBY126" s="751"/>
      <c r="CBZ126" s="751"/>
      <c r="CCA126" s="751"/>
      <c r="CCB126" s="751"/>
      <c r="CCC126" s="751"/>
      <c r="CCD126" s="751"/>
      <c r="CCE126" s="751"/>
      <c r="CCF126" s="751"/>
      <c r="CCG126" s="751"/>
      <c r="CCH126" s="751"/>
      <c r="CCI126" s="751"/>
      <c r="CCJ126" s="751"/>
      <c r="CCK126" s="751"/>
      <c r="CCL126" s="751"/>
      <c r="CCM126" s="751"/>
      <c r="CCN126" s="751"/>
      <c r="CCO126" s="751"/>
      <c r="CCP126" s="751"/>
      <c r="CCQ126" s="751"/>
      <c r="CCR126" s="751"/>
      <c r="CCS126" s="751"/>
      <c r="CCT126" s="751"/>
      <c r="CCU126" s="751"/>
      <c r="CCV126" s="751"/>
      <c r="CCW126" s="751"/>
      <c r="CCX126" s="751"/>
      <c r="CCY126" s="751"/>
      <c r="CCZ126" s="751"/>
      <c r="CDA126" s="751"/>
      <c r="CDB126" s="751"/>
      <c r="CDC126" s="751"/>
      <c r="CDD126" s="751"/>
      <c r="CDE126" s="751"/>
      <c r="CDF126" s="751"/>
      <c r="CDG126" s="751"/>
      <c r="CDH126" s="751"/>
      <c r="CDI126" s="751"/>
      <c r="CDJ126" s="751"/>
      <c r="CDK126" s="751"/>
      <c r="CDL126" s="751"/>
      <c r="CDM126" s="751"/>
      <c r="CDN126" s="751"/>
      <c r="CDO126" s="751"/>
      <c r="CDP126" s="751"/>
      <c r="CDQ126" s="751"/>
      <c r="CDR126" s="751"/>
      <c r="CDS126" s="751"/>
      <c r="CDT126" s="751"/>
      <c r="CDU126" s="751"/>
      <c r="CDV126" s="751"/>
      <c r="CDW126" s="751"/>
      <c r="CDX126" s="751"/>
      <c r="CDY126" s="751"/>
      <c r="CDZ126" s="751"/>
      <c r="CEA126" s="751"/>
      <c r="CEB126" s="751"/>
      <c r="CEC126" s="751"/>
      <c r="CED126" s="751"/>
      <c r="CEE126" s="751"/>
      <c r="CEF126" s="751"/>
      <c r="CEG126" s="751"/>
      <c r="CEH126" s="751"/>
      <c r="CEI126" s="751"/>
      <c r="CEJ126" s="751"/>
      <c r="CEK126" s="751"/>
      <c r="CEL126" s="751"/>
      <c r="CEM126" s="751"/>
      <c r="CEN126" s="751"/>
      <c r="CEO126" s="751"/>
      <c r="CEP126" s="751"/>
      <c r="CEQ126" s="751"/>
      <c r="CER126" s="751"/>
      <c r="CES126" s="751"/>
      <c r="CET126" s="751"/>
      <c r="CEU126" s="751"/>
      <c r="CEV126" s="751"/>
      <c r="CEW126" s="751"/>
      <c r="CEX126" s="751"/>
      <c r="CEY126" s="751"/>
      <c r="CEZ126" s="751"/>
      <c r="CFA126" s="751"/>
      <c r="CFB126" s="751"/>
      <c r="CFC126" s="751"/>
      <c r="CFD126" s="751"/>
      <c r="CFE126" s="751"/>
      <c r="CFF126" s="751"/>
      <c r="CFG126" s="751"/>
      <c r="CFH126" s="751"/>
      <c r="CFI126" s="751"/>
      <c r="CFJ126" s="751"/>
      <c r="CFK126" s="751"/>
      <c r="CFL126" s="751"/>
      <c r="CFM126" s="751"/>
      <c r="CFN126" s="751"/>
      <c r="CFO126" s="751"/>
      <c r="CFP126" s="751"/>
      <c r="CFQ126" s="751"/>
      <c r="CFR126" s="751"/>
      <c r="CFS126" s="751"/>
      <c r="CFT126" s="751"/>
      <c r="CFU126" s="751"/>
      <c r="CFV126" s="751"/>
      <c r="CFW126" s="751"/>
      <c r="CFX126" s="751"/>
      <c r="CFY126" s="751"/>
      <c r="CFZ126" s="751"/>
      <c r="CGA126" s="751"/>
      <c r="CGB126" s="751"/>
      <c r="CGC126" s="751"/>
      <c r="CGD126" s="751"/>
      <c r="CGE126" s="751"/>
      <c r="CGF126" s="751"/>
      <c r="CGG126" s="751"/>
      <c r="CGH126" s="751"/>
      <c r="CGI126" s="751"/>
      <c r="CGJ126" s="751"/>
      <c r="CGK126" s="751"/>
      <c r="CGL126" s="751"/>
      <c r="CGM126" s="751"/>
      <c r="CGN126" s="751"/>
      <c r="CGO126" s="751"/>
      <c r="CGP126" s="751"/>
      <c r="CGQ126" s="751"/>
      <c r="CGR126" s="751"/>
      <c r="CGS126" s="751"/>
      <c r="CGT126" s="751"/>
      <c r="CGU126" s="751"/>
      <c r="CGV126" s="751"/>
      <c r="CGW126" s="751"/>
      <c r="CGX126" s="751"/>
      <c r="CGY126" s="751"/>
      <c r="CGZ126" s="751"/>
      <c r="CHA126" s="751"/>
      <c r="CHB126" s="751"/>
      <c r="CHC126" s="751"/>
      <c r="CHD126" s="751"/>
      <c r="CHE126" s="751"/>
      <c r="CHF126" s="751"/>
      <c r="CHG126" s="751"/>
      <c r="CHH126" s="751"/>
      <c r="CHI126" s="751"/>
      <c r="CHJ126" s="751"/>
      <c r="CHK126" s="751"/>
      <c r="CHL126" s="751"/>
      <c r="CHM126" s="751"/>
      <c r="CHN126" s="751"/>
      <c r="CHO126" s="751"/>
      <c r="CHP126" s="751"/>
      <c r="CHQ126" s="751"/>
      <c r="CHR126" s="751"/>
      <c r="CHS126" s="751"/>
      <c r="CHT126" s="751"/>
      <c r="CHU126" s="751"/>
      <c r="CHV126" s="751"/>
      <c r="CHW126" s="751"/>
      <c r="CHX126" s="751"/>
      <c r="CHY126" s="751"/>
      <c r="CHZ126" s="751"/>
      <c r="CIA126" s="751"/>
      <c r="CIB126" s="751"/>
      <c r="CIC126" s="751"/>
      <c r="CID126" s="751"/>
      <c r="CIE126" s="751"/>
      <c r="CIF126" s="751"/>
      <c r="CIG126" s="751"/>
      <c r="CIH126" s="751"/>
      <c r="CII126" s="751"/>
      <c r="CIJ126" s="751"/>
      <c r="CIK126" s="751"/>
      <c r="CIL126" s="751"/>
      <c r="CIM126" s="751"/>
      <c r="CIN126" s="751"/>
      <c r="CIO126" s="751"/>
      <c r="CIP126" s="751"/>
      <c r="CIQ126" s="751"/>
      <c r="CIR126" s="751"/>
      <c r="CIS126" s="751"/>
      <c r="CIT126" s="751"/>
      <c r="CIU126" s="751"/>
      <c r="CIV126" s="751"/>
      <c r="CIW126" s="751"/>
      <c r="CIX126" s="751"/>
      <c r="CIY126" s="751"/>
      <c r="CIZ126" s="751"/>
      <c r="CJA126" s="751"/>
      <c r="CJB126" s="751"/>
      <c r="CJC126" s="751"/>
      <c r="CJD126" s="751"/>
      <c r="CJE126" s="751"/>
      <c r="CJF126" s="751"/>
      <c r="CJG126" s="751"/>
      <c r="CJH126" s="751"/>
      <c r="CJI126" s="751"/>
      <c r="CJJ126" s="751"/>
      <c r="CJK126" s="751"/>
      <c r="CJL126" s="751"/>
      <c r="CJM126" s="751"/>
      <c r="CJN126" s="751"/>
      <c r="CJO126" s="751"/>
      <c r="CJP126" s="751"/>
      <c r="CJQ126" s="751"/>
      <c r="CJR126" s="751"/>
      <c r="CJS126" s="751"/>
      <c r="CJT126" s="751"/>
      <c r="CJU126" s="751"/>
      <c r="CJV126" s="751"/>
      <c r="CJW126" s="751"/>
      <c r="CJX126" s="751"/>
      <c r="CJY126" s="751"/>
      <c r="CJZ126" s="751"/>
      <c r="CKA126" s="751"/>
      <c r="CKB126" s="751"/>
      <c r="CKC126" s="751"/>
      <c r="CKD126" s="751"/>
      <c r="CKE126" s="751"/>
      <c r="CKF126" s="751"/>
      <c r="CKG126" s="751"/>
      <c r="CKH126" s="751"/>
      <c r="CKI126" s="751"/>
      <c r="CKJ126" s="751"/>
      <c r="CKK126" s="751"/>
      <c r="CKL126" s="751"/>
      <c r="CKM126" s="751"/>
      <c r="CKN126" s="751"/>
      <c r="CKO126" s="751"/>
      <c r="CKP126" s="751"/>
      <c r="CKQ126" s="751"/>
      <c r="CKR126" s="751"/>
      <c r="CKS126" s="751"/>
      <c r="CKT126" s="751"/>
      <c r="CKU126" s="751"/>
      <c r="CKV126" s="751"/>
      <c r="CKW126" s="751"/>
      <c r="CKX126" s="751"/>
      <c r="CKY126" s="751"/>
      <c r="CKZ126" s="751"/>
      <c r="CLA126" s="751"/>
      <c r="CLB126" s="751"/>
      <c r="CLC126" s="751"/>
      <c r="CLD126" s="751"/>
      <c r="CLE126" s="751"/>
      <c r="CLF126" s="751"/>
      <c r="CLG126" s="751"/>
      <c r="CLH126" s="751"/>
      <c r="CLI126" s="751"/>
      <c r="CLJ126" s="751"/>
      <c r="CLK126" s="751"/>
      <c r="CLL126" s="751"/>
      <c r="CLM126" s="751"/>
      <c r="CLN126" s="751"/>
      <c r="CLO126" s="751"/>
      <c r="CLP126" s="751"/>
      <c r="CLQ126" s="751"/>
      <c r="CLR126" s="751"/>
      <c r="CLS126" s="751"/>
      <c r="CLT126" s="751"/>
      <c r="CLU126" s="751"/>
      <c r="CLV126" s="751"/>
      <c r="CLW126" s="751"/>
      <c r="CLX126" s="751"/>
      <c r="CLY126" s="751"/>
      <c r="CLZ126" s="751"/>
      <c r="CMA126" s="751"/>
      <c r="CMB126" s="751"/>
      <c r="CMC126" s="751"/>
      <c r="CMD126" s="751"/>
      <c r="CME126" s="751"/>
      <c r="CMF126" s="751"/>
      <c r="CMG126" s="751"/>
      <c r="CMH126" s="751"/>
      <c r="CMI126" s="751"/>
      <c r="CMJ126" s="751"/>
      <c r="CMK126" s="751"/>
      <c r="CML126" s="751"/>
      <c r="CMM126" s="751"/>
      <c r="CMN126" s="751"/>
      <c r="CMO126" s="751"/>
      <c r="CMP126" s="751"/>
      <c r="CMQ126" s="751"/>
      <c r="CMR126" s="751"/>
      <c r="CMS126" s="751"/>
      <c r="CMT126" s="751"/>
      <c r="CMU126" s="751"/>
      <c r="CMV126" s="751"/>
      <c r="CMW126" s="751"/>
      <c r="CMX126" s="751"/>
      <c r="CMY126" s="751"/>
      <c r="CMZ126" s="751"/>
      <c r="CNA126" s="751"/>
      <c r="CNB126" s="751"/>
      <c r="CNC126" s="751"/>
      <c r="CND126" s="751"/>
      <c r="CNE126" s="751"/>
      <c r="CNF126" s="751"/>
      <c r="CNG126" s="751"/>
      <c r="CNH126" s="751"/>
      <c r="CNI126" s="751"/>
      <c r="CNJ126" s="751"/>
      <c r="CNK126" s="751"/>
      <c r="CNL126" s="751"/>
      <c r="CNM126" s="751"/>
      <c r="CNN126" s="751"/>
      <c r="CNO126" s="751"/>
      <c r="CNP126" s="751"/>
      <c r="CNQ126" s="751"/>
      <c r="CNR126" s="751"/>
      <c r="CNS126" s="751"/>
      <c r="CNT126" s="751"/>
      <c r="CNU126" s="751"/>
      <c r="CNV126" s="751"/>
      <c r="CNW126" s="751"/>
      <c r="CNX126" s="751"/>
      <c r="CNY126" s="751"/>
      <c r="CNZ126" s="751"/>
      <c r="COA126" s="751"/>
      <c r="COB126" s="751"/>
      <c r="COC126" s="751"/>
      <c r="COD126" s="751"/>
      <c r="COE126" s="751"/>
      <c r="COF126" s="751"/>
      <c r="COG126" s="751"/>
      <c r="COH126" s="751"/>
      <c r="COI126" s="751"/>
      <c r="COJ126" s="751"/>
      <c r="COK126" s="751"/>
      <c r="COL126" s="751"/>
      <c r="COM126" s="751"/>
      <c r="CON126" s="751"/>
      <c r="COO126" s="751"/>
      <c r="COP126" s="751"/>
      <c r="COQ126" s="751"/>
      <c r="COR126" s="751"/>
      <c r="COS126" s="751"/>
      <c r="COT126" s="751"/>
      <c r="COU126" s="751"/>
      <c r="COV126" s="751"/>
      <c r="COW126" s="751"/>
      <c r="COX126" s="751"/>
      <c r="COY126" s="751"/>
      <c r="COZ126" s="751"/>
      <c r="CPA126" s="751"/>
      <c r="CPB126" s="751"/>
      <c r="CPC126" s="751"/>
      <c r="CPD126" s="751"/>
      <c r="CPE126" s="751"/>
      <c r="CPF126" s="751"/>
      <c r="CPG126" s="751"/>
      <c r="CPH126" s="751"/>
      <c r="CPI126" s="751"/>
      <c r="CPJ126" s="751"/>
      <c r="CPK126" s="751"/>
      <c r="CPL126" s="751"/>
      <c r="CPM126" s="751"/>
      <c r="CPN126" s="751"/>
      <c r="CPO126" s="751"/>
      <c r="CPP126" s="751"/>
      <c r="CPQ126" s="751"/>
      <c r="CPR126" s="751"/>
      <c r="CPS126" s="751"/>
      <c r="CPT126" s="751"/>
      <c r="CPU126" s="751"/>
      <c r="CPV126" s="751"/>
      <c r="CPW126" s="751"/>
      <c r="CPX126" s="751"/>
      <c r="CPY126" s="751"/>
      <c r="CPZ126" s="751"/>
      <c r="CQA126" s="751"/>
      <c r="CQB126" s="751"/>
      <c r="CQC126" s="751"/>
      <c r="CQD126" s="751"/>
      <c r="CQE126" s="751"/>
      <c r="CQF126" s="751"/>
      <c r="CQG126" s="751"/>
      <c r="CQH126" s="751"/>
      <c r="CQI126" s="751"/>
      <c r="CQJ126" s="751"/>
      <c r="CQK126" s="751"/>
      <c r="CQL126" s="751"/>
      <c r="CQM126" s="751"/>
      <c r="CQN126" s="751"/>
      <c r="CQO126" s="751"/>
      <c r="CQP126" s="751"/>
      <c r="CQQ126" s="751"/>
      <c r="CQR126" s="751"/>
      <c r="CQS126" s="751"/>
      <c r="CQT126" s="751"/>
      <c r="CQU126" s="751"/>
      <c r="CQV126" s="751"/>
      <c r="CQW126" s="751"/>
      <c r="CQX126" s="751"/>
      <c r="CQY126" s="751"/>
      <c r="CQZ126" s="751"/>
      <c r="CRA126" s="751"/>
      <c r="CRB126" s="751"/>
      <c r="CRC126" s="751"/>
      <c r="CRD126" s="751"/>
      <c r="CRE126" s="751"/>
      <c r="CRF126" s="751"/>
      <c r="CRG126" s="751"/>
      <c r="CRH126" s="751"/>
      <c r="CRI126" s="751"/>
      <c r="CRJ126" s="751"/>
      <c r="CRK126" s="751"/>
      <c r="CRL126" s="751"/>
      <c r="CRM126" s="751"/>
      <c r="CRN126" s="751"/>
      <c r="CRO126" s="751"/>
      <c r="CRP126" s="751"/>
      <c r="CRQ126" s="751"/>
      <c r="CRR126" s="751"/>
      <c r="CRS126" s="751"/>
      <c r="CRT126" s="751"/>
      <c r="CRU126" s="751"/>
      <c r="CRV126" s="751"/>
      <c r="CRW126" s="751"/>
      <c r="CRX126" s="751"/>
      <c r="CRY126" s="751"/>
      <c r="CRZ126" s="751"/>
      <c r="CSA126" s="751"/>
      <c r="CSB126" s="751"/>
      <c r="CSC126" s="751"/>
      <c r="CSD126" s="751"/>
      <c r="CSE126" s="751"/>
      <c r="CSF126" s="751"/>
      <c r="CSG126" s="751"/>
      <c r="CSH126" s="751"/>
      <c r="CSI126" s="751"/>
      <c r="CSJ126" s="751"/>
      <c r="CSK126" s="751"/>
      <c r="CSL126" s="751"/>
      <c r="CSM126" s="751"/>
      <c r="CSN126" s="751"/>
      <c r="CSO126" s="751"/>
      <c r="CSP126" s="751"/>
      <c r="CSQ126" s="751"/>
      <c r="CSR126" s="751"/>
      <c r="CSS126" s="751"/>
      <c r="CST126" s="751"/>
      <c r="CSU126" s="751"/>
      <c r="CSV126" s="751"/>
      <c r="CSW126" s="751"/>
      <c r="CSX126" s="751"/>
      <c r="CSY126" s="751"/>
      <c r="CSZ126" s="751"/>
      <c r="CTA126" s="751"/>
      <c r="CTB126" s="751"/>
      <c r="CTC126" s="751"/>
      <c r="CTD126" s="751"/>
      <c r="CTE126" s="751"/>
      <c r="CTF126" s="751"/>
      <c r="CTG126" s="751"/>
      <c r="CTH126" s="751"/>
      <c r="CTI126" s="751"/>
      <c r="CTJ126" s="751"/>
      <c r="CTK126" s="751"/>
      <c r="CTL126" s="751"/>
      <c r="CTM126" s="751"/>
      <c r="CTN126" s="751"/>
      <c r="CTO126" s="751"/>
      <c r="CTP126" s="751"/>
      <c r="CTQ126" s="751"/>
      <c r="CTR126" s="751"/>
      <c r="CTS126" s="751"/>
      <c r="CTT126" s="751"/>
      <c r="CTU126" s="751"/>
      <c r="CTV126" s="751"/>
      <c r="CTW126" s="751"/>
      <c r="CTX126" s="751"/>
      <c r="CTY126" s="751"/>
      <c r="CTZ126" s="751"/>
      <c r="CUA126" s="751"/>
      <c r="CUB126" s="751"/>
      <c r="CUC126" s="751"/>
      <c r="CUD126" s="751"/>
      <c r="CUE126" s="751"/>
      <c r="CUF126" s="751"/>
      <c r="CUG126" s="751"/>
      <c r="CUH126" s="751"/>
      <c r="CUI126" s="751"/>
      <c r="CUJ126" s="751"/>
      <c r="CUK126" s="751"/>
      <c r="CUL126" s="751"/>
      <c r="CUM126" s="751"/>
      <c r="CUN126" s="751"/>
      <c r="CUO126" s="751"/>
      <c r="CUP126" s="751"/>
      <c r="CUQ126" s="751"/>
      <c r="CUR126" s="751"/>
      <c r="CUS126" s="751"/>
      <c r="CUT126" s="751"/>
      <c r="CUU126" s="751"/>
      <c r="CUV126" s="751"/>
      <c r="CUW126" s="751"/>
      <c r="CUX126" s="751"/>
      <c r="CUY126" s="751"/>
      <c r="CUZ126" s="751"/>
      <c r="CVA126" s="751"/>
      <c r="CVB126" s="751"/>
      <c r="CVC126" s="751"/>
      <c r="CVD126" s="751"/>
      <c r="CVE126" s="751"/>
      <c r="CVF126" s="751"/>
      <c r="CVG126" s="751"/>
      <c r="CVH126" s="751"/>
      <c r="CVI126" s="751"/>
      <c r="CVJ126" s="751"/>
      <c r="CVK126" s="751"/>
      <c r="CVL126" s="751"/>
      <c r="CVM126" s="751"/>
      <c r="CVN126" s="751"/>
      <c r="CVO126" s="751"/>
      <c r="CVP126" s="751"/>
      <c r="CVQ126" s="751"/>
      <c r="CVR126" s="751"/>
      <c r="CVS126" s="751"/>
      <c r="CVT126" s="751"/>
      <c r="CVU126" s="751"/>
      <c r="CVV126" s="751"/>
      <c r="CVW126" s="751"/>
      <c r="CVX126" s="751"/>
      <c r="CVY126" s="751"/>
      <c r="CVZ126" s="751"/>
      <c r="CWA126" s="751"/>
      <c r="CWB126" s="751"/>
      <c r="CWC126" s="751"/>
      <c r="CWD126" s="751"/>
      <c r="CWE126" s="751"/>
      <c r="CWF126" s="751"/>
      <c r="CWG126" s="751"/>
      <c r="CWH126" s="751"/>
      <c r="CWI126" s="751"/>
      <c r="CWJ126" s="751"/>
      <c r="CWK126" s="751"/>
      <c r="CWL126" s="751"/>
      <c r="CWM126" s="751"/>
      <c r="CWN126" s="751"/>
      <c r="CWO126" s="751"/>
      <c r="CWP126" s="751"/>
      <c r="CWQ126" s="751"/>
      <c r="CWR126" s="751"/>
      <c r="CWS126" s="751"/>
      <c r="CWT126" s="751"/>
      <c r="CWU126" s="751"/>
      <c r="CWV126" s="751"/>
      <c r="CWW126" s="751"/>
      <c r="CWX126" s="751"/>
      <c r="CWY126" s="751"/>
      <c r="CWZ126" s="751"/>
      <c r="CXA126" s="751"/>
      <c r="CXB126" s="751"/>
      <c r="CXC126" s="751"/>
      <c r="CXD126" s="751"/>
      <c r="CXE126" s="751"/>
      <c r="CXF126" s="751"/>
      <c r="CXG126" s="751"/>
      <c r="CXH126" s="751"/>
      <c r="CXI126" s="751"/>
      <c r="CXJ126" s="751"/>
      <c r="CXK126" s="751"/>
      <c r="CXL126" s="751"/>
      <c r="CXM126" s="751"/>
      <c r="CXN126" s="751"/>
      <c r="CXO126" s="751"/>
      <c r="CXP126" s="751"/>
      <c r="CXQ126" s="751"/>
      <c r="CXR126" s="751"/>
      <c r="CXS126" s="751"/>
      <c r="CXT126" s="751"/>
      <c r="CXU126" s="751"/>
      <c r="CXV126" s="751"/>
      <c r="CXW126" s="751"/>
      <c r="CXX126" s="751"/>
      <c r="CXY126" s="751"/>
      <c r="CXZ126" s="751"/>
      <c r="CYA126" s="751"/>
      <c r="CYB126" s="751"/>
      <c r="CYC126" s="751"/>
      <c r="CYD126" s="751"/>
      <c r="CYE126" s="751"/>
      <c r="CYF126" s="751"/>
      <c r="CYG126" s="751"/>
      <c r="CYH126" s="751"/>
      <c r="CYI126" s="751"/>
      <c r="CYJ126" s="751"/>
      <c r="CYK126" s="751"/>
      <c r="CYL126" s="751"/>
      <c r="CYM126" s="751"/>
      <c r="CYN126" s="751"/>
      <c r="CYO126" s="751"/>
      <c r="CYP126" s="751"/>
      <c r="CYQ126" s="751"/>
      <c r="CYR126" s="751"/>
      <c r="CYS126" s="751"/>
      <c r="CYT126" s="751"/>
      <c r="CYU126" s="751"/>
      <c r="CYV126" s="751"/>
      <c r="CYW126" s="751"/>
      <c r="CYX126" s="751"/>
      <c r="CYY126" s="751"/>
      <c r="CYZ126" s="751"/>
      <c r="CZA126" s="751"/>
      <c r="CZB126" s="751"/>
      <c r="CZC126" s="751"/>
      <c r="CZD126" s="751"/>
      <c r="CZE126" s="751"/>
      <c r="CZF126" s="751"/>
      <c r="CZG126" s="751"/>
      <c r="CZH126" s="751"/>
      <c r="CZI126" s="751"/>
      <c r="CZJ126" s="751"/>
      <c r="CZK126" s="751"/>
      <c r="CZL126" s="751"/>
      <c r="CZM126" s="751"/>
      <c r="CZN126" s="751"/>
      <c r="CZO126" s="751"/>
      <c r="CZP126" s="751"/>
      <c r="CZQ126" s="751"/>
      <c r="CZR126" s="751"/>
      <c r="CZS126" s="751"/>
      <c r="CZT126" s="751"/>
      <c r="CZU126" s="751"/>
      <c r="CZV126" s="751"/>
      <c r="CZW126" s="751"/>
      <c r="CZX126" s="751"/>
      <c r="CZY126" s="751"/>
      <c r="CZZ126" s="751"/>
      <c r="DAA126" s="751"/>
      <c r="DAB126" s="751"/>
      <c r="DAC126" s="751"/>
      <c r="DAD126" s="751"/>
      <c r="DAE126" s="751"/>
      <c r="DAF126" s="751"/>
      <c r="DAG126" s="751"/>
      <c r="DAH126" s="751"/>
      <c r="DAI126" s="751"/>
      <c r="DAJ126" s="751"/>
      <c r="DAK126" s="751"/>
      <c r="DAL126" s="751"/>
      <c r="DAM126" s="751"/>
      <c r="DAN126" s="751"/>
      <c r="DAO126" s="751"/>
      <c r="DAP126" s="751"/>
      <c r="DAQ126" s="751"/>
      <c r="DAR126" s="751"/>
      <c r="DAS126" s="751"/>
      <c r="DAT126" s="751"/>
      <c r="DAU126" s="751"/>
      <c r="DAV126" s="751"/>
      <c r="DAW126" s="751"/>
      <c r="DAX126" s="751"/>
      <c r="DAY126" s="751"/>
      <c r="DAZ126" s="751"/>
      <c r="DBA126" s="751"/>
      <c r="DBB126" s="751"/>
      <c r="DBC126" s="751"/>
      <c r="DBD126" s="751"/>
      <c r="DBE126" s="751"/>
      <c r="DBF126" s="751"/>
      <c r="DBG126" s="751"/>
      <c r="DBH126" s="751"/>
      <c r="DBI126" s="751"/>
      <c r="DBJ126" s="751"/>
      <c r="DBK126" s="751"/>
      <c r="DBL126" s="751"/>
      <c r="DBM126" s="751"/>
      <c r="DBN126" s="751"/>
      <c r="DBO126" s="751"/>
      <c r="DBP126" s="751"/>
      <c r="DBQ126" s="751"/>
      <c r="DBR126" s="751"/>
      <c r="DBS126" s="751"/>
      <c r="DBT126" s="751"/>
      <c r="DBU126" s="751"/>
      <c r="DBV126" s="751"/>
      <c r="DBW126" s="751"/>
      <c r="DBX126" s="751"/>
      <c r="DBY126" s="751"/>
      <c r="DBZ126" s="751"/>
      <c r="DCA126" s="751"/>
      <c r="DCB126" s="751"/>
      <c r="DCC126" s="751"/>
      <c r="DCD126" s="751"/>
      <c r="DCE126" s="751"/>
      <c r="DCF126" s="751"/>
      <c r="DCG126" s="751"/>
      <c r="DCH126" s="751"/>
      <c r="DCI126" s="751"/>
      <c r="DCJ126" s="751"/>
      <c r="DCK126" s="751"/>
      <c r="DCL126" s="751"/>
      <c r="DCM126" s="751"/>
      <c r="DCN126" s="751"/>
      <c r="DCO126" s="751"/>
      <c r="DCP126" s="751"/>
      <c r="DCQ126" s="751"/>
      <c r="DCR126" s="751"/>
      <c r="DCS126" s="751"/>
      <c r="DCT126" s="751"/>
      <c r="DCU126" s="751"/>
      <c r="DCV126" s="751"/>
      <c r="DCW126" s="751"/>
      <c r="DCX126" s="751"/>
      <c r="DCY126" s="751"/>
      <c r="DCZ126" s="751"/>
      <c r="DDA126" s="751"/>
      <c r="DDB126" s="751"/>
      <c r="DDC126" s="751"/>
      <c r="DDD126" s="751"/>
      <c r="DDE126" s="751"/>
      <c r="DDF126" s="751"/>
      <c r="DDG126" s="751"/>
      <c r="DDH126" s="751"/>
      <c r="DDI126" s="751"/>
      <c r="DDJ126" s="751"/>
      <c r="DDK126" s="751"/>
      <c r="DDL126" s="751"/>
      <c r="DDM126" s="751"/>
      <c r="DDN126" s="751"/>
      <c r="DDO126" s="751"/>
      <c r="DDP126" s="751"/>
      <c r="DDQ126" s="751"/>
      <c r="DDR126" s="751"/>
      <c r="DDS126" s="751"/>
      <c r="DDT126" s="751"/>
      <c r="DDU126" s="751"/>
      <c r="DDV126" s="751"/>
      <c r="DDW126" s="751"/>
      <c r="DDX126" s="751"/>
      <c r="DDY126" s="751"/>
      <c r="DDZ126" s="751"/>
      <c r="DEA126" s="751"/>
      <c r="DEB126" s="751"/>
      <c r="DEC126" s="751"/>
      <c r="DED126" s="751"/>
      <c r="DEE126" s="751"/>
      <c r="DEF126" s="751"/>
      <c r="DEG126" s="751"/>
      <c r="DEH126" s="751"/>
      <c r="DEI126" s="751"/>
      <c r="DEJ126" s="751"/>
      <c r="DEK126" s="751"/>
      <c r="DEL126" s="751"/>
      <c r="DEM126" s="751"/>
      <c r="DEN126" s="751"/>
      <c r="DEO126" s="751"/>
      <c r="DEP126" s="751"/>
      <c r="DEQ126" s="751"/>
      <c r="DER126" s="751"/>
      <c r="DES126" s="751"/>
      <c r="DET126" s="751"/>
      <c r="DEU126" s="751"/>
      <c r="DEV126" s="751"/>
      <c r="DEW126" s="751"/>
      <c r="DEX126" s="751"/>
      <c r="DEY126" s="751"/>
      <c r="DEZ126" s="751"/>
      <c r="DFA126" s="751"/>
      <c r="DFB126" s="751"/>
      <c r="DFC126" s="751"/>
      <c r="DFD126" s="751"/>
      <c r="DFE126" s="751"/>
      <c r="DFF126" s="751"/>
      <c r="DFG126" s="751"/>
      <c r="DFH126" s="751"/>
      <c r="DFI126" s="751"/>
      <c r="DFJ126" s="751"/>
      <c r="DFK126" s="751"/>
      <c r="DFL126" s="751"/>
      <c r="DFM126" s="751"/>
      <c r="DFN126" s="751"/>
      <c r="DFO126" s="751"/>
      <c r="DFP126" s="751"/>
      <c r="DFQ126" s="751"/>
      <c r="DFR126" s="751"/>
      <c r="DFS126" s="751"/>
      <c r="DFT126" s="751"/>
      <c r="DFU126" s="751"/>
      <c r="DFV126" s="751"/>
      <c r="DFW126" s="751"/>
      <c r="DFX126" s="751"/>
      <c r="DFY126" s="751"/>
      <c r="DFZ126" s="751"/>
      <c r="DGA126" s="751"/>
      <c r="DGB126" s="751"/>
      <c r="DGC126" s="751"/>
      <c r="DGD126" s="751"/>
      <c r="DGE126" s="751"/>
      <c r="DGF126" s="751"/>
      <c r="DGG126" s="751"/>
      <c r="DGH126" s="751"/>
      <c r="DGI126" s="751"/>
      <c r="DGJ126" s="751"/>
      <c r="DGK126" s="751"/>
      <c r="DGL126" s="751"/>
      <c r="DGM126" s="751"/>
      <c r="DGN126" s="751"/>
      <c r="DGO126" s="751"/>
      <c r="DGP126" s="751"/>
      <c r="DGQ126" s="751"/>
      <c r="DGR126" s="751"/>
      <c r="DGS126" s="751"/>
      <c r="DGT126" s="751"/>
      <c r="DGU126" s="751"/>
      <c r="DGV126" s="751"/>
      <c r="DGW126" s="751"/>
      <c r="DGX126" s="751"/>
      <c r="DGY126" s="751"/>
      <c r="DGZ126" s="751"/>
      <c r="DHA126" s="751"/>
      <c r="DHB126" s="751"/>
      <c r="DHC126" s="751"/>
      <c r="DHD126" s="751"/>
      <c r="DHE126" s="751"/>
      <c r="DHF126" s="751"/>
      <c r="DHG126" s="751"/>
      <c r="DHH126" s="751"/>
      <c r="DHI126" s="751"/>
      <c r="DHJ126" s="751"/>
      <c r="DHK126" s="751"/>
      <c r="DHL126" s="751"/>
      <c r="DHM126" s="751"/>
      <c r="DHN126" s="751"/>
      <c r="DHO126" s="751"/>
      <c r="DHP126" s="751"/>
      <c r="DHQ126" s="751"/>
      <c r="DHR126" s="751"/>
      <c r="DHS126" s="751"/>
      <c r="DHT126" s="751"/>
      <c r="DHU126" s="751"/>
      <c r="DHV126" s="751"/>
      <c r="DHW126" s="751"/>
      <c r="DHX126" s="751"/>
      <c r="DHY126" s="751"/>
      <c r="DHZ126" s="751"/>
      <c r="DIA126" s="751"/>
      <c r="DIB126" s="751"/>
      <c r="DIC126" s="751"/>
      <c r="DID126" s="751"/>
      <c r="DIE126" s="751"/>
      <c r="DIF126" s="751"/>
      <c r="DIG126" s="751"/>
      <c r="DIH126" s="751"/>
      <c r="DII126" s="751"/>
      <c r="DIJ126" s="751"/>
      <c r="DIK126" s="751"/>
      <c r="DIL126" s="751"/>
      <c r="DIM126" s="751"/>
      <c r="DIN126" s="751"/>
      <c r="DIO126" s="751"/>
      <c r="DIP126" s="751"/>
      <c r="DIQ126" s="751"/>
      <c r="DIR126" s="751"/>
      <c r="DIS126" s="751"/>
      <c r="DIT126" s="751"/>
      <c r="DIU126" s="751"/>
      <c r="DIV126" s="751"/>
      <c r="DIW126" s="751"/>
      <c r="DIX126" s="751"/>
      <c r="DIY126" s="751"/>
      <c r="DIZ126" s="751"/>
      <c r="DJA126" s="751"/>
      <c r="DJB126" s="751"/>
      <c r="DJC126" s="751"/>
      <c r="DJD126" s="751"/>
      <c r="DJE126" s="751"/>
      <c r="DJF126" s="751"/>
      <c r="DJG126" s="751"/>
      <c r="DJH126" s="751"/>
      <c r="DJI126" s="751"/>
      <c r="DJJ126" s="751"/>
      <c r="DJK126" s="751"/>
      <c r="DJL126" s="751"/>
      <c r="DJM126" s="751"/>
      <c r="DJN126" s="751"/>
      <c r="DJO126" s="751"/>
      <c r="DJP126" s="751"/>
      <c r="DJQ126" s="751"/>
      <c r="DJR126" s="751"/>
      <c r="DJS126" s="751"/>
      <c r="DJT126" s="751"/>
      <c r="DJU126" s="751"/>
      <c r="DJV126" s="751"/>
      <c r="DJW126" s="751"/>
      <c r="DJX126" s="751"/>
      <c r="DJY126" s="751"/>
      <c r="DJZ126" s="751"/>
      <c r="DKA126" s="751"/>
      <c r="DKB126" s="751"/>
      <c r="DKC126" s="751"/>
      <c r="DKD126" s="751"/>
      <c r="DKE126" s="751"/>
      <c r="DKF126" s="751"/>
      <c r="DKG126" s="751"/>
      <c r="DKH126" s="751"/>
      <c r="DKI126" s="751"/>
      <c r="DKJ126" s="751"/>
      <c r="DKK126" s="751"/>
      <c r="DKL126" s="751"/>
      <c r="DKM126" s="751"/>
      <c r="DKN126" s="751"/>
      <c r="DKO126" s="751"/>
      <c r="DKP126" s="751"/>
      <c r="DKQ126" s="751"/>
      <c r="DKR126" s="751"/>
      <c r="DKS126" s="751"/>
      <c r="DKT126" s="751"/>
      <c r="DKU126" s="751"/>
      <c r="DKV126" s="751"/>
      <c r="DKW126" s="751"/>
      <c r="DKX126" s="751"/>
      <c r="DKY126" s="751"/>
      <c r="DKZ126" s="751"/>
      <c r="DLA126" s="751"/>
      <c r="DLB126" s="751"/>
      <c r="DLC126" s="751"/>
      <c r="DLD126" s="751"/>
      <c r="DLE126" s="751"/>
      <c r="DLF126" s="751"/>
      <c r="DLG126" s="751"/>
      <c r="DLH126" s="751"/>
      <c r="DLI126" s="751"/>
      <c r="DLJ126" s="751"/>
      <c r="DLK126" s="751"/>
      <c r="DLL126" s="751"/>
      <c r="DLM126" s="751"/>
      <c r="DLN126" s="751"/>
      <c r="DLO126" s="751"/>
      <c r="DLP126" s="751"/>
      <c r="DLQ126" s="751"/>
      <c r="DLR126" s="751"/>
      <c r="DLS126" s="751"/>
      <c r="DLT126" s="751"/>
      <c r="DLU126" s="751"/>
      <c r="DLV126" s="751"/>
      <c r="DLW126" s="751"/>
      <c r="DLX126" s="751"/>
      <c r="DLY126" s="751"/>
      <c r="DLZ126" s="751"/>
      <c r="DMA126" s="751"/>
      <c r="DMB126" s="751"/>
      <c r="DMC126" s="751"/>
      <c r="DMD126" s="751"/>
      <c r="DME126" s="751"/>
      <c r="DMF126" s="751"/>
      <c r="DMG126" s="751"/>
      <c r="DMH126" s="751"/>
      <c r="DMI126" s="751"/>
      <c r="DMJ126" s="751"/>
      <c r="DMK126" s="751"/>
      <c r="DML126" s="751"/>
      <c r="DMM126" s="751"/>
      <c r="DMN126" s="751"/>
      <c r="DMO126" s="751"/>
      <c r="DMP126" s="751"/>
      <c r="DMQ126" s="751"/>
      <c r="DMR126" s="751"/>
      <c r="DMS126" s="751"/>
      <c r="DMT126" s="751"/>
      <c r="DMU126" s="751"/>
      <c r="DMV126" s="751"/>
      <c r="DMW126" s="751"/>
      <c r="DMX126" s="751"/>
      <c r="DMY126" s="751"/>
      <c r="DMZ126" s="751"/>
      <c r="DNA126" s="751"/>
      <c r="DNB126" s="751"/>
      <c r="DNC126" s="751"/>
      <c r="DND126" s="751"/>
      <c r="DNE126" s="751"/>
      <c r="DNF126" s="751"/>
      <c r="DNG126" s="751"/>
      <c r="DNH126" s="751"/>
      <c r="DNI126" s="751"/>
      <c r="DNJ126" s="751"/>
      <c r="DNK126" s="751"/>
      <c r="DNL126" s="751"/>
      <c r="DNM126" s="751"/>
      <c r="DNN126" s="751"/>
      <c r="DNO126" s="751"/>
      <c r="DNP126" s="751"/>
      <c r="DNQ126" s="751"/>
      <c r="DNR126" s="751"/>
      <c r="DNS126" s="751"/>
      <c r="DNT126" s="751"/>
      <c r="DNU126" s="751"/>
      <c r="DNV126" s="751"/>
      <c r="DNW126" s="751"/>
      <c r="DNX126" s="751"/>
      <c r="DNY126" s="751"/>
      <c r="DNZ126" s="751"/>
      <c r="DOA126" s="751"/>
      <c r="DOB126" s="751"/>
      <c r="DOC126" s="751"/>
      <c r="DOD126" s="751"/>
      <c r="DOE126" s="751"/>
      <c r="DOF126" s="751"/>
      <c r="DOG126" s="751"/>
      <c r="DOH126" s="751"/>
      <c r="DOI126" s="751"/>
      <c r="DOJ126" s="751"/>
      <c r="DOK126" s="751"/>
      <c r="DOL126" s="751"/>
      <c r="DOM126" s="751"/>
      <c r="DON126" s="751"/>
      <c r="DOO126" s="751"/>
      <c r="DOP126" s="751"/>
      <c r="DOQ126" s="751"/>
      <c r="DOR126" s="751"/>
      <c r="DOS126" s="751"/>
      <c r="DOT126" s="751"/>
      <c r="DOU126" s="751"/>
      <c r="DOV126" s="751"/>
      <c r="DOW126" s="751"/>
      <c r="DOX126" s="751"/>
      <c r="DOY126" s="751"/>
      <c r="DOZ126" s="751"/>
      <c r="DPA126" s="751"/>
      <c r="DPB126" s="751"/>
      <c r="DPC126" s="751"/>
      <c r="DPD126" s="751"/>
      <c r="DPE126" s="751"/>
      <c r="DPF126" s="751"/>
      <c r="DPG126" s="751"/>
      <c r="DPH126" s="751"/>
      <c r="DPI126" s="751"/>
      <c r="DPJ126" s="751"/>
      <c r="DPK126" s="751"/>
      <c r="DPL126" s="751"/>
      <c r="DPM126" s="751"/>
      <c r="DPN126" s="751"/>
      <c r="DPO126" s="751"/>
      <c r="DPP126" s="751"/>
      <c r="DPQ126" s="751"/>
      <c r="DPR126" s="751"/>
      <c r="DPS126" s="751"/>
      <c r="DPT126" s="751"/>
      <c r="DPU126" s="751"/>
      <c r="DPV126" s="751"/>
      <c r="DPW126" s="751"/>
      <c r="DPX126" s="751"/>
      <c r="DPY126" s="751"/>
      <c r="DPZ126" s="751"/>
      <c r="DQA126" s="751"/>
      <c r="DQB126" s="751"/>
      <c r="DQC126" s="751"/>
      <c r="DQD126" s="751"/>
      <c r="DQE126" s="751"/>
      <c r="DQF126" s="751"/>
      <c r="DQG126" s="751"/>
      <c r="DQH126" s="751"/>
      <c r="DQI126" s="751"/>
      <c r="DQJ126" s="751"/>
      <c r="DQK126" s="751"/>
      <c r="DQL126" s="751"/>
      <c r="DQM126" s="751"/>
      <c r="DQN126" s="751"/>
      <c r="DQO126" s="751"/>
      <c r="DQP126" s="751"/>
      <c r="DQQ126" s="751"/>
      <c r="DQR126" s="751"/>
      <c r="DQS126" s="751"/>
      <c r="DQT126" s="751"/>
      <c r="DQU126" s="751"/>
      <c r="DQV126" s="751"/>
      <c r="DQW126" s="751"/>
      <c r="DQX126" s="751"/>
      <c r="DQY126" s="751"/>
      <c r="DQZ126" s="751"/>
      <c r="DRA126" s="751"/>
      <c r="DRB126" s="751"/>
      <c r="DRC126" s="751"/>
      <c r="DRD126" s="751"/>
      <c r="DRE126" s="751"/>
      <c r="DRF126" s="751"/>
      <c r="DRG126" s="751"/>
      <c r="DRH126" s="751"/>
      <c r="DRI126" s="751"/>
      <c r="DRJ126" s="751"/>
      <c r="DRK126" s="751"/>
      <c r="DRL126" s="751"/>
      <c r="DRM126" s="751"/>
      <c r="DRN126" s="751"/>
      <c r="DRO126" s="751"/>
      <c r="DRP126" s="751"/>
      <c r="DRQ126" s="751"/>
      <c r="DRR126" s="751"/>
      <c r="DRS126" s="751"/>
      <c r="DRT126" s="751"/>
      <c r="DRU126" s="751"/>
      <c r="DRV126" s="751"/>
      <c r="DRW126" s="751"/>
      <c r="DRX126" s="751"/>
      <c r="DRY126" s="751"/>
      <c r="DRZ126" s="751"/>
      <c r="DSA126" s="751"/>
      <c r="DSB126" s="751"/>
      <c r="DSC126" s="751"/>
      <c r="DSD126" s="751"/>
      <c r="DSE126" s="751"/>
      <c r="DSF126" s="751"/>
      <c r="DSG126" s="751"/>
      <c r="DSH126" s="751"/>
      <c r="DSI126" s="751"/>
      <c r="DSJ126" s="751"/>
      <c r="DSK126" s="751"/>
      <c r="DSL126" s="751"/>
      <c r="DSM126" s="751"/>
      <c r="DSN126" s="751"/>
      <c r="DSO126" s="751"/>
      <c r="DSP126" s="751"/>
      <c r="DSQ126" s="751"/>
      <c r="DSR126" s="751"/>
      <c r="DSS126" s="751"/>
      <c r="DST126" s="751"/>
      <c r="DSU126" s="751"/>
      <c r="DSV126" s="751"/>
      <c r="DSW126" s="751"/>
      <c r="DSX126" s="751"/>
      <c r="DSY126" s="751"/>
      <c r="DSZ126" s="751"/>
      <c r="DTA126" s="751"/>
      <c r="DTB126" s="751"/>
      <c r="DTC126" s="751"/>
      <c r="DTD126" s="751"/>
      <c r="DTE126" s="751"/>
      <c r="DTF126" s="751"/>
      <c r="DTG126" s="751"/>
      <c r="DTH126" s="751"/>
      <c r="DTI126" s="751"/>
      <c r="DTJ126" s="751"/>
      <c r="DTK126" s="751"/>
      <c r="DTL126" s="751"/>
      <c r="DTM126" s="751"/>
      <c r="DTN126" s="751"/>
      <c r="DTO126" s="751"/>
      <c r="DTP126" s="751"/>
      <c r="DTQ126" s="751"/>
      <c r="DTR126" s="751"/>
      <c r="DTS126" s="751"/>
      <c r="DTT126" s="751"/>
      <c r="DTU126" s="751"/>
      <c r="DTV126" s="751"/>
      <c r="DTW126" s="751"/>
      <c r="DTX126" s="751"/>
      <c r="DTY126" s="751"/>
      <c r="DTZ126" s="751"/>
      <c r="DUA126" s="751"/>
      <c r="DUB126" s="751"/>
      <c r="DUC126" s="751"/>
      <c r="DUD126" s="751"/>
      <c r="DUE126" s="751"/>
      <c r="DUF126" s="751"/>
      <c r="DUG126" s="751"/>
      <c r="DUH126" s="751"/>
      <c r="DUI126" s="751"/>
      <c r="DUJ126" s="751"/>
      <c r="DUK126" s="751"/>
      <c r="DUL126" s="751"/>
      <c r="DUM126" s="751"/>
      <c r="DUN126" s="751"/>
      <c r="DUO126" s="751"/>
      <c r="DUP126" s="751"/>
      <c r="DUQ126" s="751"/>
      <c r="DUR126" s="751"/>
      <c r="DUS126" s="751"/>
      <c r="DUT126" s="751"/>
      <c r="DUU126" s="751"/>
      <c r="DUV126" s="751"/>
      <c r="DUW126" s="751"/>
      <c r="DUX126" s="751"/>
      <c r="DUY126" s="751"/>
      <c r="DUZ126" s="751"/>
      <c r="DVA126" s="751"/>
      <c r="DVB126" s="751"/>
      <c r="DVC126" s="751"/>
      <c r="DVD126" s="751"/>
      <c r="DVE126" s="751"/>
      <c r="DVF126" s="751"/>
      <c r="DVG126" s="751"/>
      <c r="DVH126" s="751"/>
      <c r="DVI126" s="751"/>
      <c r="DVJ126" s="751"/>
      <c r="DVK126" s="751"/>
      <c r="DVL126" s="751"/>
      <c r="DVM126" s="751"/>
      <c r="DVN126" s="751"/>
      <c r="DVO126" s="751"/>
      <c r="DVP126" s="751"/>
      <c r="DVQ126" s="751"/>
      <c r="DVR126" s="751"/>
      <c r="DVS126" s="751"/>
      <c r="DVT126" s="751"/>
      <c r="DVU126" s="751"/>
      <c r="DVV126" s="751"/>
      <c r="DVW126" s="751"/>
      <c r="DVX126" s="751"/>
      <c r="DVY126" s="751"/>
      <c r="DVZ126" s="751"/>
      <c r="DWA126" s="751"/>
      <c r="DWB126" s="751"/>
      <c r="DWC126" s="751"/>
      <c r="DWD126" s="751"/>
      <c r="DWE126" s="751"/>
      <c r="DWF126" s="751"/>
      <c r="DWG126" s="751"/>
      <c r="DWH126" s="751"/>
      <c r="DWI126" s="751"/>
      <c r="DWJ126" s="751"/>
      <c r="DWK126" s="751"/>
      <c r="DWL126" s="751"/>
      <c r="DWM126" s="751"/>
      <c r="DWN126" s="751"/>
      <c r="DWO126" s="751"/>
      <c r="DWP126" s="751"/>
      <c r="DWQ126" s="751"/>
      <c r="DWR126" s="751"/>
      <c r="DWS126" s="751"/>
      <c r="DWT126" s="751"/>
      <c r="DWU126" s="751"/>
      <c r="DWV126" s="751"/>
      <c r="DWW126" s="751"/>
      <c r="DWX126" s="751"/>
      <c r="DWY126" s="751"/>
      <c r="DWZ126" s="751"/>
      <c r="DXA126" s="751"/>
      <c r="DXB126" s="751"/>
      <c r="DXC126" s="751"/>
      <c r="DXD126" s="751"/>
      <c r="DXE126" s="751"/>
      <c r="DXF126" s="751"/>
      <c r="DXG126" s="751"/>
      <c r="DXH126" s="751"/>
      <c r="DXI126" s="751"/>
      <c r="DXJ126" s="751"/>
      <c r="DXK126" s="751"/>
      <c r="DXL126" s="751"/>
      <c r="DXM126" s="751"/>
      <c r="DXN126" s="751"/>
      <c r="DXO126" s="751"/>
      <c r="DXP126" s="751"/>
      <c r="DXQ126" s="751"/>
      <c r="DXR126" s="751"/>
      <c r="DXS126" s="751"/>
      <c r="DXT126" s="751"/>
      <c r="DXU126" s="751"/>
      <c r="DXV126" s="751"/>
      <c r="DXW126" s="751"/>
      <c r="DXX126" s="751"/>
      <c r="DXY126" s="751"/>
      <c r="DXZ126" s="751"/>
      <c r="DYA126" s="751"/>
      <c r="DYB126" s="751"/>
      <c r="DYC126" s="751"/>
      <c r="DYD126" s="751"/>
      <c r="DYE126" s="751"/>
      <c r="DYF126" s="751"/>
      <c r="DYG126" s="751"/>
      <c r="DYH126" s="751"/>
      <c r="DYI126" s="751"/>
      <c r="DYJ126" s="751"/>
      <c r="DYK126" s="751"/>
      <c r="DYL126" s="751"/>
      <c r="DYM126" s="751"/>
      <c r="DYN126" s="751"/>
      <c r="DYO126" s="751"/>
      <c r="DYP126" s="751"/>
      <c r="DYQ126" s="751"/>
      <c r="DYR126" s="751"/>
      <c r="DYS126" s="751"/>
      <c r="DYT126" s="751"/>
      <c r="DYU126" s="751"/>
      <c r="DYV126" s="751"/>
      <c r="DYW126" s="751"/>
      <c r="DYX126" s="751"/>
      <c r="DYY126" s="751"/>
      <c r="DYZ126" s="751"/>
      <c r="DZA126" s="751"/>
      <c r="DZB126" s="751"/>
      <c r="DZC126" s="751"/>
      <c r="DZD126" s="751"/>
      <c r="DZE126" s="751"/>
      <c r="DZF126" s="751"/>
      <c r="DZG126" s="751"/>
      <c r="DZH126" s="751"/>
      <c r="DZI126" s="751"/>
      <c r="DZJ126" s="751"/>
      <c r="DZK126" s="751"/>
      <c r="DZL126" s="751"/>
      <c r="DZM126" s="751"/>
      <c r="DZN126" s="751"/>
      <c r="DZO126" s="751"/>
      <c r="DZP126" s="751"/>
      <c r="DZQ126" s="751"/>
      <c r="DZR126" s="751"/>
      <c r="DZS126" s="751"/>
      <c r="DZT126" s="751"/>
      <c r="DZU126" s="751"/>
      <c r="DZV126" s="751"/>
      <c r="DZW126" s="751"/>
      <c r="DZX126" s="751"/>
      <c r="DZY126" s="751"/>
      <c r="DZZ126" s="751"/>
      <c r="EAA126" s="751"/>
      <c r="EAB126" s="751"/>
      <c r="EAC126" s="751"/>
      <c r="EAD126" s="751"/>
      <c r="EAE126" s="751"/>
      <c r="EAF126" s="751"/>
      <c r="EAG126" s="751"/>
      <c r="EAH126" s="751"/>
      <c r="EAI126" s="751"/>
      <c r="EAJ126" s="751"/>
      <c r="EAK126" s="751"/>
      <c r="EAL126" s="751"/>
      <c r="EAM126" s="751"/>
      <c r="EAN126" s="751"/>
      <c r="EAO126" s="751"/>
      <c r="EAP126" s="751"/>
      <c r="EAQ126" s="751"/>
      <c r="EAR126" s="751"/>
      <c r="EAS126" s="751"/>
      <c r="EAT126" s="751"/>
      <c r="EAU126" s="751"/>
      <c r="EAV126" s="751"/>
      <c r="EAW126" s="751"/>
      <c r="EAX126" s="751"/>
      <c r="EAY126" s="751"/>
      <c r="EAZ126" s="751"/>
      <c r="EBA126" s="751"/>
      <c r="EBB126" s="751"/>
      <c r="EBC126" s="751"/>
      <c r="EBD126" s="751"/>
      <c r="EBE126" s="751"/>
      <c r="EBF126" s="751"/>
      <c r="EBG126" s="751"/>
      <c r="EBH126" s="751"/>
      <c r="EBI126" s="751"/>
      <c r="EBJ126" s="751"/>
      <c r="EBK126" s="751"/>
      <c r="EBL126" s="751"/>
      <c r="EBM126" s="751"/>
      <c r="EBN126" s="751"/>
      <c r="EBO126" s="751"/>
      <c r="EBP126" s="751"/>
      <c r="EBQ126" s="751"/>
      <c r="EBR126" s="751"/>
      <c r="EBS126" s="751"/>
      <c r="EBT126" s="751"/>
      <c r="EBU126" s="751"/>
      <c r="EBV126" s="751"/>
      <c r="EBW126" s="751"/>
      <c r="EBX126" s="751"/>
      <c r="EBY126" s="751"/>
      <c r="EBZ126" s="751"/>
      <c r="ECA126" s="751"/>
      <c r="ECB126" s="751"/>
      <c r="ECC126" s="751"/>
      <c r="ECD126" s="751"/>
      <c r="ECE126" s="751"/>
      <c r="ECF126" s="751"/>
      <c r="ECG126" s="751"/>
      <c r="ECH126" s="751"/>
      <c r="ECI126" s="751"/>
      <c r="ECJ126" s="751"/>
      <c r="ECK126" s="751"/>
      <c r="ECL126" s="751"/>
      <c r="ECM126" s="751"/>
      <c r="ECN126" s="751"/>
      <c r="ECO126" s="751"/>
      <c r="ECP126" s="751"/>
      <c r="ECQ126" s="751"/>
      <c r="ECR126" s="751"/>
      <c r="ECS126" s="751"/>
      <c r="ECT126" s="751"/>
      <c r="ECU126" s="751"/>
      <c r="ECV126" s="751"/>
      <c r="ECW126" s="751"/>
      <c r="ECX126" s="751"/>
      <c r="ECY126" s="751"/>
      <c r="ECZ126" s="751"/>
      <c r="EDA126" s="751"/>
      <c r="EDB126" s="751"/>
      <c r="EDC126" s="751"/>
      <c r="EDD126" s="751"/>
      <c r="EDE126" s="751"/>
      <c r="EDF126" s="751"/>
      <c r="EDG126" s="751"/>
      <c r="EDH126" s="751"/>
      <c r="EDI126" s="751"/>
      <c r="EDJ126" s="751"/>
      <c r="EDK126" s="751"/>
      <c r="EDL126" s="751"/>
      <c r="EDM126" s="751"/>
      <c r="EDN126" s="751"/>
      <c r="EDO126" s="751"/>
      <c r="EDP126" s="751"/>
      <c r="EDQ126" s="751"/>
      <c r="EDR126" s="751"/>
      <c r="EDS126" s="751"/>
      <c r="EDT126" s="751"/>
      <c r="EDU126" s="751"/>
      <c r="EDV126" s="751"/>
      <c r="EDW126" s="751"/>
      <c r="EDX126" s="751"/>
      <c r="EDY126" s="751"/>
      <c r="EDZ126" s="751"/>
      <c r="EEA126" s="751"/>
      <c r="EEB126" s="751"/>
      <c r="EEC126" s="751"/>
      <c r="EED126" s="751"/>
      <c r="EEE126" s="751"/>
      <c r="EEF126" s="751"/>
      <c r="EEG126" s="751"/>
      <c r="EEH126" s="751"/>
      <c r="EEI126" s="751"/>
      <c r="EEJ126" s="751"/>
      <c r="EEK126" s="751"/>
      <c r="EEL126" s="751"/>
      <c r="EEM126" s="751"/>
      <c r="EEN126" s="751"/>
      <c r="EEO126" s="751"/>
      <c r="EEP126" s="751"/>
      <c r="EEQ126" s="751"/>
      <c r="EER126" s="751"/>
      <c r="EES126" s="751"/>
      <c r="EET126" s="751"/>
      <c r="EEU126" s="751"/>
      <c r="EEV126" s="751"/>
      <c r="EEW126" s="751"/>
      <c r="EEX126" s="751"/>
      <c r="EEY126" s="751"/>
      <c r="EEZ126" s="751"/>
      <c r="EFA126" s="751"/>
      <c r="EFB126" s="751"/>
      <c r="EFC126" s="751"/>
      <c r="EFD126" s="751"/>
      <c r="EFE126" s="751"/>
      <c r="EFF126" s="751"/>
      <c r="EFG126" s="751"/>
      <c r="EFH126" s="751"/>
      <c r="EFI126" s="751"/>
      <c r="EFJ126" s="751"/>
      <c r="EFK126" s="751"/>
      <c r="EFL126" s="751"/>
      <c r="EFM126" s="751"/>
      <c r="EFN126" s="751"/>
      <c r="EFO126" s="751"/>
      <c r="EFP126" s="751"/>
      <c r="EFQ126" s="751"/>
      <c r="EFR126" s="751"/>
      <c r="EFS126" s="751"/>
      <c r="EFT126" s="751"/>
      <c r="EFU126" s="751"/>
      <c r="EFV126" s="751"/>
      <c r="EFW126" s="751"/>
      <c r="EFX126" s="751"/>
      <c r="EFY126" s="751"/>
      <c r="EFZ126" s="751"/>
      <c r="EGA126" s="751"/>
      <c r="EGB126" s="751"/>
      <c r="EGC126" s="751"/>
      <c r="EGD126" s="751"/>
      <c r="EGE126" s="751"/>
      <c r="EGF126" s="751"/>
      <c r="EGG126" s="751"/>
      <c r="EGH126" s="751"/>
      <c r="EGI126" s="751"/>
      <c r="EGJ126" s="751"/>
      <c r="EGK126" s="751"/>
      <c r="EGL126" s="751"/>
      <c r="EGM126" s="751"/>
      <c r="EGN126" s="751"/>
      <c r="EGO126" s="751"/>
      <c r="EGP126" s="751"/>
      <c r="EGQ126" s="751"/>
      <c r="EGR126" s="751"/>
      <c r="EGS126" s="751"/>
      <c r="EGT126" s="751"/>
      <c r="EGU126" s="751"/>
      <c r="EGV126" s="751"/>
      <c r="EGW126" s="751"/>
      <c r="EGX126" s="751"/>
      <c r="EGY126" s="751"/>
      <c r="EGZ126" s="751"/>
      <c r="EHA126" s="751"/>
      <c r="EHB126" s="751"/>
      <c r="EHC126" s="751"/>
      <c r="EHD126" s="751"/>
      <c r="EHE126" s="751"/>
      <c r="EHF126" s="751"/>
      <c r="EHG126" s="751"/>
      <c r="EHH126" s="751"/>
      <c r="EHI126" s="751"/>
      <c r="EHJ126" s="751"/>
      <c r="EHK126" s="751"/>
      <c r="EHL126" s="751"/>
      <c r="EHM126" s="751"/>
      <c r="EHN126" s="751"/>
      <c r="EHO126" s="751"/>
      <c r="EHP126" s="751"/>
      <c r="EHQ126" s="751"/>
      <c r="EHR126" s="751"/>
      <c r="EHS126" s="751"/>
      <c r="EHT126" s="751"/>
      <c r="EHU126" s="751"/>
      <c r="EHV126" s="751"/>
      <c r="EHW126" s="751"/>
      <c r="EHX126" s="751"/>
      <c r="EHY126" s="751"/>
      <c r="EHZ126" s="751"/>
      <c r="EIA126" s="751"/>
      <c r="EIB126" s="751"/>
      <c r="EIC126" s="751"/>
      <c r="EID126" s="751"/>
      <c r="EIE126" s="751"/>
      <c r="EIF126" s="751"/>
      <c r="EIG126" s="751"/>
      <c r="EIH126" s="751"/>
      <c r="EII126" s="751"/>
      <c r="EIJ126" s="751"/>
      <c r="EIK126" s="751"/>
      <c r="EIL126" s="751"/>
      <c r="EIM126" s="751"/>
      <c r="EIN126" s="751"/>
      <c r="EIO126" s="751"/>
      <c r="EIP126" s="751"/>
      <c r="EIQ126" s="751"/>
      <c r="EIR126" s="751"/>
      <c r="EIS126" s="751"/>
      <c r="EIT126" s="751"/>
      <c r="EIU126" s="751"/>
      <c r="EIV126" s="751"/>
      <c r="EIW126" s="751"/>
      <c r="EIX126" s="751"/>
      <c r="EIY126" s="751"/>
      <c r="EIZ126" s="751"/>
      <c r="EJA126" s="751"/>
      <c r="EJB126" s="751"/>
      <c r="EJC126" s="751"/>
      <c r="EJD126" s="751"/>
      <c r="EJE126" s="751"/>
      <c r="EJF126" s="751"/>
      <c r="EJG126" s="751"/>
      <c r="EJH126" s="751"/>
      <c r="EJI126" s="751"/>
      <c r="EJJ126" s="751"/>
      <c r="EJK126" s="751"/>
      <c r="EJL126" s="751"/>
      <c r="EJM126" s="751"/>
      <c r="EJN126" s="751"/>
      <c r="EJO126" s="751"/>
      <c r="EJP126" s="751"/>
      <c r="EJQ126" s="751"/>
      <c r="EJR126" s="751"/>
      <c r="EJS126" s="751"/>
      <c r="EJT126" s="751"/>
      <c r="EJU126" s="751"/>
      <c r="EJV126" s="751"/>
      <c r="EJW126" s="751"/>
      <c r="EJX126" s="751"/>
      <c r="EJY126" s="751"/>
      <c r="EJZ126" s="751"/>
      <c r="EKA126" s="751"/>
      <c r="EKB126" s="751"/>
      <c r="EKC126" s="751"/>
      <c r="EKD126" s="751"/>
      <c r="EKE126" s="751"/>
      <c r="EKF126" s="751"/>
      <c r="EKG126" s="751"/>
      <c r="EKH126" s="751"/>
      <c r="EKI126" s="751"/>
      <c r="EKJ126" s="751"/>
      <c r="EKK126" s="751"/>
      <c r="EKL126" s="751"/>
      <c r="EKM126" s="751"/>
      <c r="EKN126" s="751"/>
      <c r="EKO126" s="751"/>
      <c r="EKP126" s="751"/>
      <c r="EKQ126" s="751"/>
      <c r="EKR126" s="751"/>
      <c r="EKS126" s="751"/>
      <c r="EKT126" s="751"/>
      <c r="EKU126" s="751"/>
      <c r="EKV126" s="751"/>
      <c r="EKW126" s="751"/>
      <c r="EKX126" s="751"/>
      <c r="EKY126" s="751"/>
      <c r="EKZ126" s="751"/>
      <c r="ELA126" s="751"/>
      <c r="ELB126" s="751"/>
      <c r="ELC126" s="751"/>
      <c r="ELD126" s="751"/>
      <c r="ELE126" s="751"/>
      <c r="ELF126" s="751"/>
      <c r="ELG126" s="751"/>
      <c r="ELH126" s="751"/>
      <c r="ELI126" s="751"/>
      <c r="ELJ126" s="751"/>
      <c r="ELK126" s="751"/>
      <c r="ELL126" s="751"/>
      <c r="ELM126" s="751"/>
      <c r="ELN126" s="751"/>
      <c r="ELO126" s="751"/>
      <c r="ELP126" s="751"/>
      <c r="ELQ126" s="751"/>
      <c r="ELR126" s="751"/>
      <c r="ELS126" s="751"/>
      <c r="ELT126" s="751"/>
      <c r="ELU126" s="751"/>
      <c r="ELV126" s="751"/>
      <c r="ELW126" s="751"/>
      <c r="ELX126" s="751"/>
      <c r="ELY126" s="751"/>
      <c r="ELZ126" s="751"/>
      <c r="EMA126" s="751"/>
      <c r="EMB126" s="751"/>
      <c r="EMC126" s="751"/>
      <c r="EMD126" s="751"/>
      <c r="EME126" s="751"/>
      <c r="EMF126" s="751"/>
      <c r="EMG126" s="751"/>
      <c r="EMH126" s="751"/>
      <c r="EMI126" s="751"/>
      <c r="EMJ126" s="751"/>
      <c r="EMK126" s="751"/>
      <c r="EML126" s="751"/>
      <c r="EMM126" s="751"/>
      <c r="EMN126" s="751"/>
      <c r="EMO126" s="751"/>
      <c r="EMP126" s="751"/>
      <c r="EMQ126" s="751"/>
      <c r="EMR126" s="751"/>
      <c r="EMS126" s="751"/>
      <c r="EMT126" s="751"/>
      <c r="EMU126" s="751"/>
      <c r="EMV126" s="751"/>
      <c r="EMW126" s="751"/>
      <c r="EMX126" s="751"/>
      <c r="EMY126" s="751"/>
      <c r="EMZ126" s="751"/>
      <c r="ENA126" s="751"/>
      <c r="ENB126" s="751"/>
      <c r="ENC126" s="751"/>
      <c r="END126" s="751"/>
      <c r="ENE126" s="751"/>
      <c r="ENF126" s="751"/>
      <c r="ENG126" s="751"/>
      <c r="ENH126" s="751"/>
      <c r="ENI126" s="751"/>
      <c r="ENJ126" s="751"/>
      <c r="ENK126" s="751"/>
      <c r="ENL126" s="751"/>
      <c r="ENM126" s="751"/>
      <c r="ENN126" s="751"/>
      <c r="ENO126" s="751"/>
      <c r="ENP126" s="751"/>
      <c r="ENQ126" s="751"/>
      <c r="ENR126" s="751"/>
      <c r="ENS126" s="751"/>
      <c r="ENT126" s="751"/>
      <c r="ENU126" s="751"/>
      <c r="ENV126" s="751"/>
      <c r="ENW126" s="751"/>
      <c r="ENX126" s="751"/>
      <c r="ENY126" s="751"/>
      <c r="ENZ126" s="751"/>
      <c r="EOA126" s="751"/>
      <c r="EOB126" s="751"/>
      <c r="EOC126" s="751"/>
      <c r="EOD126" s="751"/>
      <c r="EOE126" s="751"/>
      <c r="EOF126" s="751"/>
      <c r="EOG126" s="751"/>
      <c r="EOH126" s="751"/>
      <c r="EOI126" s="751"/>
      <c r="EOJ126" s="751"/>
      <c r="EOK126" s="751"/>
      <c r="EOL126" s="751"/>
      <c r="EOM126" s="751"/>
      <c r="EON126" s="751"/>
      <c r="EOO126" s="751"/>
      <c r="EOP126" s="751"/>
      <c r="EOQ126" s="751"/>
      <c r="EOR126" s="751"/>
      <c r="EOS126" s="751"/>
      <c r="EOT126" s="751"/>
      <c r="EOU126" s="751"/>
      <c r="EOV126" s="751"/>
      <c r="EOW126" s="751"/>
      <c r="EOX126" s="751"/>
      <c r="EOY126" s="751"/>
      <c r="EOZ126" s="751"/>
      <c r="EPA126" s="751"/>
      <c r="EPB126" s="751"/>
      <c r="EPC126" s="751"/>
      <c r="EPD126" s="751"/>
      <c r="EPE126" s="751"/>
      <c r="EPF126" s="751"/>
      <c r="EPG126" s="751"/>
      <c r="EPH126" s="751"/>
      <c r="EPI126" s="751"/>
      <c r="EPJ126" s="751"/>
      <c r="EPK126" s="751"/>
      <c r="EPL126" s="751"/>
      <c r="EPM126" s="751"/>
      <c r="EPN126" s="751"/>
      <c r="EPO126" s="751"/>
      <c r="EPP126" s="751"/>
      <c r="EPQ126" s="751"/>
      <c r="EPR126" s="751"/>
      <c r="EPS126" s="751"/>
      <c r="EPT126" s="751"/>
      <c r="EPU126" s="751"/>
      <c r="EPV126" s="751"/>
      <c r="EPW126" s="751"/>
      <c r="EPX126" s="751"/>
      <c r="EPY126" s="751"/>
      <c r="EPZ126" s="751"/>
      <c r="EQA126" s="751"/>
      <c r="EQB126" s="751"/>
      <c r="EQC126" s="751"/>
      <c r="EQD126" s="751"/>
      <c r="EQE126" s="751"/>
      <c r="EQF126" s="751"/>
      <c r="EQG126" s="751"/>
      <c r="EQH126" s="751"/>
      <c r="EQI126" s="751"/>
      <c r="EQJ126" s="751"/>
      <c r="EQK126" s="751"/>
      <c r="EQL126" s="751"/>
      <c r="EQM126" s="751"/>
      <c r="EQN126" s="751"/>
      <c r="EQO126" s="751"/>
      <c r="EQP126" s="751"/>
      <c r="EQQ126" s="751"/>
      <c r="EQR126" s="751"/>
      <c r="EQS126" s="751"/>
      <c r="EQT126" s="751"/>
      <c r="EQU126" s="751"/>
      <c r="EQV126" s="751"/>
      <c r="EQW126" s="751"/>
      <c r="EQX126" s="751"/>
      <c r="EQY126" s="751"/>
      <c r="EQZ126" s="751"/>
      <c r="ERA126" s="751"/>
      <c r="ERB126" s="751"/>
      <c r="ERC126" s="751"/>
      <c r="ERD126" s="751"/>
      <c r="ERE126" s="751"/>
      <c r="ERF126" s="751"/>
      <c r="ERG126" s="751"/>
      <c r="ERH126" s="751"/>
      <c r="ERI126" s="751"/>
      <c r="ERJ126" s="751"/>
      <c r="ERK126" s="751"/>
      <c r="ERL126" s="751"/>
      <c r="ERM126" s="751"/>
      <c r="ERN126" s="751"/>
      <c r="ERO126" s="751"/>
      <c r="ERP126" s="751"/>
      <c r="ERQ126" s="751"/>
      <c r="ERR126" s="751"/>
      <c r="ERS126" s="751"/>
      <c r="ERT126" s="751"/>
      <c r="ERU126" s="751"/>
      <c r="ERV126" s="751"/>
      <c r="ERW126" s="751"/>
      <c r="ERX126" s="751"/>
      <c r="ERY126" s="751"/>
      <c r="ERZ126" s="751"/>
      <c r="ESA126" s="751"/>
      <c r="ESB126" s="751"/>
      <c r="ESC126" s="751"/>
      <c r="ESD126" s="751"/>
      <c r="ESE126" s="751"/>
      <c r="ESF126" s="751"/>
      <c r="ESG126" s="751"/>
      <c r="ESH126" s="751"/>
      <c r="ESI126" s="751"/>
      <c r="ESJ126" s="751"/>
      <c r="ESK126" s="751"/>
      <c r="ESL126" s="751"/>
      <c r="ESM126" s="751"/>
      <c r="ESN126" s="751"/>
      <c r="ESO126" s="751"/>
      <c r="ESP126" s="751"/>
      <c r="ESQ126" s="751"/>
      <c r="ESR126" s="751"/>
      <c r="ESS126" s="751"/>
      <c r="EST126" s="751"/>
      <c r="ESU126" s="751"/>
      <c r="ESV126" s="751"/>
      <c r="ESW126" s="751"/>
      <c r="ESX126" s="751"/>
      <c r="ESY126" s="751"/>
      <c r="ESZ126" s="751"/>
      <c r="ETA126" s="751"/>
      <c r="ETB126" s="751"/>
      <c r="ETC126" s="751"/>
      <c r="ETD126" s="751"/>
      <c r="ETE126" s="751"/>
      <c r="ETF126" s="751"/>
      <c r="ETG126" s="751"/>
      <c r="ETH126" s="751"/>
      <c r="ETI126" s="751"/>
      <c r="ETJ126" s="751"/>
      <c r="ETK126" s="751"/>
      <c r="ETL126" s="751"/>
      <c r="ETM126" s="751"/>
      <c r="ETN126" s="751"/>
      <c r="ETO126" s="751"/>
      <c r="ETP126" s="751"/>
      <c r="ETQ126" s="751"/>
      <c r="ETR126" s="751"/>
      <c r="ETS126" s="751"/>
      <c r="ETT126" s="751"/>
      <c r="ETU126" s="751"/>
      <c r="ETV126" s="751"/>
      <c r="ETW126" s="751"/>
      <c r="ETX126" s="751"/>
      <c r="ETY126" s="751"/>
      <c r="ETZ126" s="751"/>
      <c r="EUA126" s="751"/>
      <c r="EUB126" s="751"/>
      <c r="EUC126" s="751"/>
      <c r="EUD126" s="751"/>
      <c r="EUE126" s="751"/>
      <c r="EUF126" s="751"/>
      <c r="EUG126" s="751"/>
      <c r="EUH126" s="751"/>
      <c r="EUI126" s="751"/>
      <c r="EUJ126" s="751"/>
      <c r="EUK126" s="751"/>
      <c r="EUL126" s="751"/>
      <c r="EUM126" s="751"/>
      <c r="EUN126" s="751"/>
      <c r="EUO126" s="751"/>
      <c r="EUP126" s="751"/>
      <c r="EUQ126" s="751"/>
      <c r="EUR126" s="751"/>
      <c r="EUS126" s="751"/>
      <c r="EUT126" s="751"/>
      <c r="EUU126" s="751"/>
      <c r="EUV126" s="751"/>
      <c r="EUW126" s="751"/>
      <c r="EUX126" s="751"/>
      <c r="EUY126" s="751"/>
      <c r="EUZ126" s="751"/>
      <c r="EVA126" s="751"/>
      <c r="EVB126" s="751"/>
      <c r="EVC126" s="751"/>
      <c r="EVD126" s="751"/>
      <c r="EVE126" s="751"/>
      <c r="EVF126" s="751"/>
      <c r="EVG126" s="751"/>
      <c r="EVH126" s="751"/>
      <c r="EVI126" s="751"/>
      <c r="EVJ126" s="751"/>
      <c r="EVK126" s="751"/>
      <c r="EVL126" s="751"/>
      <c r="EVM126" s="751"/>
      <c r="EVN126" s="751"/>
      <c r="EVO126" s="751"/>
      <c r="EVP126" s="751"/>
      <c r="EVQ126" s="751"/>
      <c r="EVR126" s="751"/>
      <c r="EVS126" s="751"/>
      <c r="EVT126" s="751"/>
      <c r="EVU126" s="751"/>
      <c r="EVV126" s="751"/>
      <c r="EVW126" s="751"/>
      <c r="EVX126" s="751"/>
      <c r="EVY126" s="751"/>
      <c r="EVZ126" s="751"/>
      <c r="EWA126" s="751"/>
      <c r="EWB126" s="751"/>
      <c r="EWC126" s="751"/>
      <c r="EWD126" s="751"/>
      <c r="EWE126" s="751"/>
      <c r="EWF126" s="751"/>
      <c r="EWG126" s="751"/>
      <c r="EWH126" s="751"/>
      <c r="EWI126" s="751"/>
      <c r="EWJ126" s="751"/>
      <c r="EWK126" s="751"/>
      <c r="EWL126" s="751"/>
      <c r="EWM126" s="751"/>
      <c r="EWN126" s="751"/>
      <c r="EWO126" s="751"/>
      <c r="EWP126" s="751"/>
      <c r="EWQ126" s="751"/>
      <c r="EWR126" s="751"/>
      <c r="EWS126" s="751"/>
      <c r="EWT126" s="751"/>
      <c r="EWU126" s="751"/>
      <c r="EWV126" s="751"/>
      <c r="EWW126" s="751"/>
      <c r="EWX126" s="751"/>
      <c r="EWY126" s="751"/>
      <c r="EWZ126" s="751"/>
      <c r="EXA126" s="751"/>
      <c r="EXB126" s="751"/>
      <c r="EXC126" s="751"/>
      <c r="EXD126" s="751"/>
      <c r="EXE126" s="751"/>
      <c r="EXF126" s="751"/>
      <c r="EXG126" s="751"/>
      <c r="EXH126" s="751"/>
      <c r="EXI126" s="751"/>
      <c r="EXJ126" s="751"/>
      <c r="EXK126" s="751"/>
      <c r="EXL126" s="751"/>
      <c r="EXM126" s="751"/>
      <c r="EXN126" s="751"/>
      <c r="EXO126" s="751"/>
      <c r="EXP126" s="751"/>
      <c r="EXQ126" s="751"/>
      <c r="EXR126" s="751"/>
      <c r="EXS126" s="751"/>
      <c r="EXT126" s="751"/>
      <c r="EXU126" s="751"/>
      <c r="EXV126" s="751"/>
      <c r="EXW126" s="751"/>
      <c r="EXX126" s="751"/>
      <c r="EXY126" s="751"/>
      <c r="EXZ126" s="751"/>
      <c r="EYA126" s="751"/>
      <c r="EYB126" s="751"/>
      <c r="EYC126" s="751"/>
      <c r="EYD126" s="751"/>
      <c r="EYE126" s="751"/>
      <c r="EYF126" s="751"/>
      <c r="EYG126" s="751"/>
      <c r="EYH126" s="751"/>
      <c r="EYI126" s="751"/>
      <c r="EYJ126" s="751"/>
      <c r="EYK126" s="751"/>
      <c r="EYL126" s="751"/>
      <c r="EYM126" s="751"/>
      <c r="EYN126" s="751"/>
      <c r="EYO126" s="751"/>
      <c r="EYP126" s="751"/>
      <c r="EYQ126" s="751"/>
      <c r="EYR126" s="751"/>
      <c r="EYS126" s="751"/>
      <c r="EYT126" s="751"/>
      <c r="EYU126" s="751"/>
      <c r="EYV126" s="751"/>
      <c r="EYW126" s="751"/>
      <c r="EYX126" s="751"/>
      <c r="EYY126" s="751"/>
      <c r="EYZ126" s="751"/>
      <c r="EZA126" s="751"/>
      <c r="EZB126" s="751"/>
      <c r="EZC126" s="751"/>
      <c r="EZD126" s="751"/>
      <c r="EZE126" s="751"/>
      <c r="EZF126" s="751"/>
      <c r="EZG126" s="751"/>
      <c r="EZH126" s="751"/>
      <c r="EZI126" s="751"/>
      <c r="EZJ126" s="751"/>
      <c r="EZK126" s="751"/>
      <c r="EZL126" s="751"/>
      <c r="EZM126" s="751"/>
      <c r="EZN126" s="751"/>
      <c r="EZO126" s="751"/>
      <c r="EZP126" s="751"/>
      <c r="EZQ126" s="751"/>
      <c r="EZR126" s="751"/>
      <c r="EZS126" s="751"/>
      <c r="EZT126" s="751"/>
      <c r="EZU126" s="751"/>
      <c r="EZV126" s="751"/>
      <c r="EZW126" s="751"/>
      <c r="EZX126" s="751"/>
      <c r="EZY126" s="751"/>
      <c r="EZZ126" s="751"/>
      <c r="FAA126" s="751"/>
      <c r="FAB126" s="751"/>
      <c r="FAC126" s="751"/>
      <c r="FAD126" s="751"/>
      <c r="FAE126" s="751"/>
      <c r="FAF126" s="751"/>
      <c r="FAG126" s="751"/>
      <c r="FAH126" s="751"/>
      <c r="FAI126" s="751"/>
      <c r="FAJ126" s="751"/>
      <c r="FAK126" s="751"/>
      <c r="FAL126" s="751"/>
      <c r="FAM126" s="751"/>
      <c r="FAN126" s="751"/>
      <c r="FAO126" s="751"/>
      <c r="FAP126" s="751"/>
      <c r="FAQ126" s="751"/>
      <c r="FAR126" s="751"/>
      <c r="FAS126" s="751"/>
      <c r="FAT126" s="751"/>
      <c r="FAU126" s="751"/>
      <c r="FAV126" s="751"/>
      <c r="FAW126" s="751"/>
      <c r="FAX126" s="751"/>
      <c r="FAY126" s="751"/>
      <c r="FAZ126" s="751"/>
      <c r="FBA126" s="751"/>
      <c r="FBB126" s="751"/>
      <c r="FBC126" s="751"/>
      <c r="FBD126" s="751"/>
      <c r="FBE126" s="751"/>
      <c r="FBF126" s="751"/>
      <c r="FBG126" s="751"/>
      <c r="FBH126" s="751"/>
      <c r="FBI126" s="751"/>
      <c r="FBJ126" s="751"/>
      <c r="FBK126" s="751"/>
      <c r="FBL126" s="751"/>
      <c r="FBM126" s="751"/>
      <c r="FBN126" s="751"/>
      <c r="FBO126" s="751"/>
      <c r="FBP126" s="751"/>
      <c r="FBQ126" s="751"/>
      <c r="FBR126" s="751"/>
      <c r="FBS126" s="751"/>
      <c r="FBT126" s="751"/>
      <c r="FBU126" s="751"/>
      <c r="FBV126" s="751"/>
      <c r="FBW126" s="751"/>
      <c r="FBX126" s="751"/>
      <c r="FBY126" s="751"/>
      <c r="FBZ126" s="751"/>
      <c r="FCA126" s="751"/>
      <c r="FCB126" s="751"/>
      <c r="FCC126" s="751"/>
      <c r="FCD126" s="751"/>
      <c r="FCE126" s="751"/>
      <c r="FCF126" s="751"/>
      <c r="FCG126" s="751"/>
      <c r="FCH126" s="751"/>
      <c r="FCI126" s="751"/>
      <c r="FCJ126" s="751"/>
      <c r="FCK126" s="751"/>
      <c r="FCL126" s="751"/>
      <c r="FCM126" s="751"/>
      <c r="FCN126" s="751"/>
      <c r="FCO126" s="751"/>
      <c r="FCP126" s="751"/>
      <c r="FCQ126" s="751"/>
      <c r="FCR126" s="751"/>
      <c r="FCS126" s="751"/>
      <c r="FCT126" s="751"/>
      <c r="FCU126" s="751"/>
      <c r="FCV126" s="751"/>
      <c r="FCW126" s="751"/>
      <c r="FCX126" s="751"/>
      <c r="FCY126" s="751"/>
      <c r="FCZ126" s="751"/>
      <c r="FDA126" s="751"/>
      <c r="FDB126" s="751"/>
      <c r="FDC126" s="751"/>
      <c r="FDD126" s="751"/>
      <c r="FDE126" s="751"/>
      <c r="FDF126" s="751"/>
      <c r="FDG126" s="751"/>
      <c r="FDH126" s="751"/>
      <c r="FDI126" s="751"/>
      <c r="FDJ126" s="751"/>
      <c r="FDK126" s="751"/>
      <c r="FDL126" s="751"/>
      <c r="FDM126" s="751"/>
      <c r="FDN126" s="751"/>
      <c r="FDO126" s="751"/>
      <c r="FDP126" s="751"/>
      <c r="FDQ126" s="751"/>
      <c r="FDR126" s="751"/>
      <c r="FDS126" s="751"/>
      <c r="FDT126" s="751"/>
      <c r="FDU126" s="751"/>
      <c r="FDV126" s="751"/>
      <c r="FDW126" s="751"/>
      <c r="FDX126" s="751"/>
      <c r="FDY126" s="751"/>
      <c r="FDZ126" s="751"/>
      <c r="FEA126" s="751"/>
      <c r="FEB126" s="751"/>
      <c r="FEC126" s="751"/>
      <c r="FED126" s="751"/>
      <c r="FEE126" s="751"/>
      <c r="FEF126" s="751"/>
      <c r="FEG126" s="751"/>
      <c r="FEH126" s="751"/>
      <c r="FEI126" s="751"/>
      <c r="FEJ126" s="751"/>
      <c r="FEK126" s="751"/>
      <c r="FEL126" s="751"/>
      <c r="FEM126" s="751"/>
      <c r="FEN126" s="751"/>
      <c r="FEO126" s="751"/>
      <c r="FEP126" s="751"/>
      <c r="FEQ126" s="751"/>
      <c r="FER126" s="751"/>
      <c r="FES126" s="751"/>
      <c r="FET126" s="751"/>
      <c r="FEU126" s="751"/>
      <c r="FEV126" s="751"/>
      <c r="FEW126" s="751"/>
      <c r="FEX126" s="751"/>
      <c r="FEY126" s="751"/>
      <c r="FEZ126" s="751"/>
      <c r="FFA126" s="751"/>
      <c r="FFB126" s="751"/>
      <c r="FFC126" s="751"/>
      <c r="FFD126" s="751"/>
      <c r="FFE126" s="751"/>
      <c r="FFF126" s="751"/>
      <c r="FFG126" s="751"/>
      <c r="FFH126" s="751"/>
      <c r="FFI126" s="751"/>
      <c r="FFJ126" s="751"/>
      <c r="FFK126" s="751"/>
      <c r="FFL126" s="751"/>
      <c r="FFM126" s="751"/>
      <c r="FFN126" s="751"/>
      <c r="FFO126" s="751"/>
      <c r="FFP126" s="751"/>
      <c r="FFQ126" s="751"/>
      <c r="FFR126" s="751"/>
      <c r="FFS126" s="751"/>
      <c r="FFT126" s="751"/>
      <c r="FFU126" s="751"/>
      <c r="FFV126" s="751"/>
      <c r="FFW126" s="751"/>
      <c r="FFX126" s="751"/>
      <c r="FFY126" s="751"/>
      <c r="FFZ126" s="751"/>
      <c r="FGA126" s="751"/>
      <c r="FGB126" s="751"/>
      <c r="FGC126" s="751"/>
      <c r="FGD126" s="751"/>
      <c r="FGE126" s="751"/>
      <c r="FGF126" s="751"/>
      <c r="FGG126" s="751"/>
      <c r="FGH126" s="751"/>
      <c r="FGI126" s="751"/>
      <c r="FGJ126" s="751"/>
      <c r="FGK126" s="751"/>
      <c r="FGL126" s="751"/>
      <c r="FGM126" s="751"/>
      <c r="FGN126" s="751"/>
      <c r="FGO126" s="751"/>
      <c r="FGP126" s="751"/>
      <c r="FGQ126" s="751"/>
      <c r="FGR126" s="751"/>
      <c r="FGS126" s="751"/>
      <c r="FGT126" s="751"/>
      <c r="FGU126" s="751"/>
      <c r="FGV126" s="751"/>
      <c r="FGW126" s="751"/>
      <c r="FGX126" s="751"/>
      <c r="FGY126" s="751"/>
      <c r="FGZ126" s="751"/>
      <c r="FHA126" s="751"/>
      <c r="FHB126" s="751"/>
      <c r="FHC126" s="751"/>
      <c r="FHD126" s="751"/>
      <c r="FHE126" s="751"/>
      <c r="FHF126" s="751"/>
      <c r="FHG126" s="751"/>
      <c r="FHH126" s="751"/>
      <c r="FHI126" s="751"/>
      <c r="FHJ126" s="751"/>
      <c r="FHK126" s="751"/>
      <c r="FHL126" s="751"/>
      <c r="FHM126" s="751"/>
      <c r="FHN126" s="751"/>
      <c r="FHO126" s="751"/>
      <c r="FHP126" s="751"/>
      <c r="FHQ126" s="751"/>
      <c r="FHR126" s="751"/>
      <c r="FHS126" s="751"/>
      <c r="FHT126" s="751"/>
      <c r="FHU126" s="751"/>
      <c r="FHV126" s="751"/>
      <c r="FHW126" s="751"/>
      <c r="FHX126" s="751"/>
      <c r="FHY126" s="751"/>
      <c r="FHZ126" s="751"/>
      <c r="FIA126" s="751"/>
      <c r="FIB126" s="751"/>
      <c r="FIC126" s="751"/>
      <c r="FID126" s="751"/>
      <c r="FIE126" s="751"/>
      <c r="FIF126" s="751"/>
      <c r="FIG126" s="751"/>
      <c r="FIH126" s="751"/>
      <c r="FII126" s="751"/>
      <c r="FIJ126" s="751"/>
      <c r="FIK126" s="751"/>
      <c r="FIL126" s="751"/>
      <c r="FIM126" s="751"/>
      <c r="FIN126" s="751"/>
      <c r="FIO126" s="751"/>
      <c r="FIP126" s="751"/>
      <c r="FIQ126" s="751"/>
      <c r="FIR126" s="751"/>
      <c r="FIS126" s="751"/>
      <c r="FIT126" s="751"/>
      <c r="FIU126" s="751"/>
      <c r="FIV126" s="751"/>
      <c r="FIW126" s="751"/>
      <c r="FIX126" s="751"/>
      <c r="FIY126" s="751"/>
      <c r="FIZ126" s="751"/>
      <c r="FJA126" s="751"/>
      <c r="FJB126" s="751"/>
      <c r="FJC126" s="751"/>
      <c r="FJD126" s="751"/>
      <c r="FJE126" s="751"/>
      <c r="FJF126" s="751"/>
      <c r="FJG126" s="751"/>
      <c r="FJH126" s="751"/>
      <c r="FJI126" s="751"/>
      <c r="FJJ126" s="751"/>
      <c r="FJK126" s="751"/>
      <c r="FJL126" s="751"/>
      <c r="FJM126" s="751"/>
      <c r="FJN126" s="751"/>
      <c r="FJO126" s="751"/>
      <c r="FJP126" s="751"/>
      <c r="FJQ126" s="751"/>
      <c r="FJR126" s="751"/>
      <c r="FJS126" s="751"/>
      <c r="FJT126" s="751"/>
      <c r="FJU126" s="751"/>
      <c r="FJV126" s="751"/>
      <c r="FJW126" s="751"/>
      <c r="FJX126" s="751"/>
      <c r="FJY126" s="751"/>
      <c r="FJZ126" s="751"/>
      <c r="FKA126" s="751"/>
      <c r="FKB126" s="751"/>
      <c r="FKC126" s="751"/>
      <c r="FKD126" s="751"/>
      <c r="FKE126" s="751"/>
      <c r="FKF126" s="751"/>
      <c r="FKG126" s="751"/>
      <c r="FKH126" s="751"/>
      <c r="FKI126" s="751"/>
      <c r="FKJ126" s="751"/>
      <c r="FKK126" s="751"/>
      <c r="FKL126" s="751"/>
      <c r="FKM126" s="751"/>
      <c r="FKN126" s="751"/>
      <c r="FKO126" s="751"/>
      <c r="FKP126" s="751"/>
      <c r="FKQ126" s="751"/>
      <c r="FKR126" s="751"/>
      <c r="FKS126" s="751"/>
      <c r="FKT126" s="751"/>
      <c r="FKU126" s="751"/>
      <c r="FKV126" s="751"/>
      <c r="FKW126" s="751"/>
      <c r="FKX126" s="751"/>
      <c r="FKY126" s="751"/>
      <c r="FKZ126" s="751"/>
      <c r="FLA126" s="751"/>
      <c r="FLB126" s="751"/>
      <c r="FLC126" s="751"/>
      <c r="FLD126" s="751"/>
      <c r="FLE126" s="751"/>
      <c r="FLF126" s="751"/>
      <c r="FLG126" s="751"/>
      <c r="FLH126" s="751"/>
      <c r="FLI126" s="751"/>
      <c r="FLJ126" s="751"/>
      <c r="FLK126" s="751"/>
      <c r="FLL126" s="751"/>
      <c r="FLM126" s="751"/>
      <c r="FLN126" s="751"/>
      <c r="FLO126" s="751"/>
      <c r="FLP126" s="751"/>
      <c r="FLQ126" s="751"/>
      <c r="FLR126" s="751"/>
      <c r="FLS126" s="751"/>
      <c r="FLT126" s="751"/>
      <c r="FLU126" s="751"/>
      <c r="FLV126" s="751"/>
      <c r="FLW126" s="751"/>
      <c r="FLX126" s="751"/>
      <c r="FLY126" s="751"/>
      <c r="FLZ126" s="751"/>
      <c r="FMA126" s="751"/>
      <c r="FMB126" s="751"/>
      <c r="FMC126" s="751"/>
      <c r="FMD126" s="751"/>
      <c r="FME126" s="751"/>
      <c r="FMF126" s="751"/>
      <c r="FMG126" s="751"/>
      <c r="FMH126" s="751"/>
      <c r="FMI126" s="751"/>
      <c r="FMJ126" s="751"/>
      <c r="FMK126" s="751"/>
      <c r="FML126" s="751"/>
      <c r="FMM126" s="751"/>
      <c r="FMN126" s="751"/>
      <c r="FMO126" s="751"/>
      <c r="FMP126" s="751"/>
      <c r="FMQ126" s="751"/>
      <c r="FMR126" s="751"/>
      <c r="FMS126" s="751"/>
      <c r="FMT126" s="751"/>
      <c r="FMU126" s="751"/>
      <c r="FMV126" s="751"/>
      <c r="FMW126" s="751"/>
      <c r="FMX126" s="751"/>
      <c r="FMY126" s="751"/>
      <c r="FMZ126" s="751"/>
      <c r="FNA126" s="751"/>
      <c r="FNB126" s="751"/>
      <c r="FNC126" s="751"/>
      <c r="FND126" s="751"/>
      <c r="FNE126" s="751"/>
      <c r="FNF126" s="751"/>
      <c r="FNG126" s="751"/>
      <c r="FNH126" s="751"/>
      <c r="FNI126" s="751"/>
      <c r="FNJ126" s="751"/>
      <c r="FNK126" s="751"/>
      <c r="FNL126" s="751"/>
      <c r="FNM126" s="751"/>
      <c r="FNN126" s="751"/>
      <c r="FNO126" s="751"/>
      <c r="FNP126" s="751"/>
      <c r="FNQ126" s="751"/>
      <c r="FNR126" s="751"/>
      <c r="FNS126" s="751"/>
      <c r="FNT126" s="751"/>
      <c r="FNU126" s="751"/>
      <c r="FNV126" s="751"/>
      <c r="FNW126" s="751"/>
      <c r="FNX126" s="751"/>
      <c r="FNY126" s="751"/>
      <c r="FNZ126" s="751"/>
      <c r="FOA126" s="751"/>
      <c r="FOB126" s="751"/>
      <c r="FOC126" s="751"/>
      <c r="FOD126" s="751"/>
      <c r="FOE126" s="751"/>
      <c r="FOF126" s="751"/>
      <c r="FOG126" s="751"/>
      <c r="FOH126" s="751"/>
      <c r="FOI126" s="751"/>
      <c r="FOJ126" s="751"/>
      <c r="FOK126" s="751"/>
      <c r="FOL126" s="751"/>
      <c r="FOM126" s="751"/>
      <c r="FON126" s="751"/>
      <c r="FOO126" s="751"/>
      <c r="FOP126" s="751"/>
      <c r="FOQ126" s="751"/>
      <c r="FOR126" s="751"/>
      <c r="FOS126" s="751"/>
      <c r="FOT126" s="751"/>
      <c r="FOU126" s="751"/>
      <c r="FOV126" s="751"/>
      <c r="FOW126" s="751"/>
      <c r="FOX126" s="751"/>
      <c r="FOY126" s="751"/>
      <c r="FOZ126" s="751"/>
      <c r="FPA126" s="751"/>
      <c r="FPB126" s="751"/>
      <c r="FPC126" s="751"/>
      <c r="FPD126" s="751"/>
      <c r="FPE126" s="751"/>
      <c r="FPF126" s="751"/>
      <c r="FPG126" s="751"/>
      <c r="FPH126" s="751"/>
      <c r="FPI126" s="751"/>
      <c r="FPJ126" s="751"/>
      <c r="FPK126" s="751"/>
      <c r="FPL126" s="751"/>
      <c r="FPM126" s="751"/>
      <c r="FPN126" s="751"/>
      <c r="FPO126" s="751"/>
      <c r="FPP126" s="751"/>
      <c r="FPQ126" s="751"/>
      <c r="FPR126" s="751"/>
      <c r="FPS126" s="751"/>
      <c r="FPT126" s="751"/>
      <c r="FPU126" s="751"/>
      <c r="FPV126" s="751"/>
      <c r="FPW126" s="751"/>
      <c r="FPX126" s="751"/>
      <c r="FPY126" s="751"/>
      <c r="FPZ126" s="751"/>
      <c r="FQA126" s="751"/>
      <c r="FQB126" s="751"/>
      <c r="FQC126" s="751"/>
      <c r="FQD126" s="751"/>
      <c r="FQE126" s="751"/>
      <c r="FQF126" s="751"/>
      <c r="FQG126" s="751"/>
      <c r="FQH126" s="751"/>
      <c r="FQI126" s="751"/>
      <c r="FQJ126" s="751"/>
      <c r="FQK126" s="751"/>
      <c r="FQL126" s="751"/>
      <c r="FQM126" s="751"/>
      <c r="FQN126" s="751"/>
      <c r="FQO126" s="751"/>
      <c r="FQP126" s="751"/>
      <c r="FQQ126" s="751"/>
      <c r="FQR126" s="751"/>
      <c r="FQS126" s="751"/>
      <c r="FQT126" s="751"/>
      <c r="FQU126" s="751"/>
      <c r="FQV126" s="751"/>
      <c r="FQW126" s="751"/>
      <c r="FQX126" s="751"/>
      <c r="FQY126" s="751"/>
      <c r="FQZ126" s="751"/>
      <c r="FRA126" s="751"/>
      <c r="FRB126" s="751"/>
      <c r="FRC126" s="751"/>
      <c r="FRD126" s="751"/>
      <c r="FRE126" s="751"/>
      <c r="FRF126" s="751"/>
      <c r="FRG126" s="751"/>
      <c r="FRH126" s="751"/>
      <c r="FRI126" s="751"/>
      <c r="FRJ126" s="751"/>
      <c r="FRK126" s="751"/>
      <c r="FRL126" s="751"/>
      <c r="FRM126" s="751"/>
      <c r="FRN126" s="751"/>
      <c r="FRO126" s="751"/>
      <c r="FRP126" s="751"/>
      <c r="FRQ126" s="751"/>
      <c r="FRR126" s="751"/>
      <c r="FRS126" s="751"/>
      <c r="FRT126" s="751"/>
      <c r="FRU126" s="751"/>
      <c r="FRV126" s="751"/>
      <c r="FRW126" s="751"/>
      <c r="FRX126" s="751"/>
      <c r="FRY126" s="751"/>
      <c r="FRZ126" s="751"/>
      <c r="FSA126" s="751"/>
      <c r="FSB126" s="751"/>
      <c r="FSC126" s="751"/>
      <c r="FSD126" s="751"/>
      <c r="FSE126" s="751"/>
      <c r="FSF126" s="751"/>
      <c r="FSG126" s="751"/>
      <c r="FSH126" s="751"/>
      <c r="FSI126" s="751"/>
      <c r="FSJ126" s="751"/>
      <c r="FSK126" s="751"/>
      <c r="FSL126" s="751"/>
      <c r="FSM126" s="751"/>
      <c r="FSN126" s="751"/>
      <c r="FSO126" s="751"/>
      <c r="FSP126" s="751"/>
      <c r="FSQ126" s="751"/>
      <c r="FSR126" s="751"/>
      <c r="FSS126" s="751"/>
      <c r="FST126" s="751"/>
      <c r="FSU126" s="751"/>
      <c r="FSV126" s="751"/>
      <c r="FSW126" s="751"/>
      <c r="FSX126" s="751"/>
      <c r="FSY126" s="751"/>
      <c r="FSZ126" s="751"/>
      <c r="FTA126" s="751"/>
      <c r="FTB126" s="751"/>
      <c r="FTC126" s="751"/>
      <c r="FTD126" s="751"/>
      <c r="FTE126" s="751"/>
      <c r="FTF126" s="751"/>
      <c r="FTG126" s="751"/>
      <c r="FTH126" s="751"/>
      <c r="FTI126" s="751"/>
      <c r="FTJ126" s="751"/>
      <c r="FTK126" s="751"/>
      <c r="FTL126" s="751"/>
      <c r="FTM126" s="751"/>
      <c r="FTN126" s="751"/>
      <c r="FTO126" s="751"/>
      <c r="FTP126" s="751"/>
      <c r="FTQ126" s="751"/>
      <c r="FTR126" s="751"/>
      <c r="FTS126" s="751"/>
      <c r="FTT126" s="751"/>
      <c r="FTU126" s="751"/>
      <c r="FTV126" s="751"/>
      <c r="FTW126" s="751"/>
      <c r="FTX126" s="751"/>
      <c r="FTY126" s="751"/>
      <c r="FTZ126" s="751"/>
      <c r="FUA126" s="751"/>
      <c r="FUB126" s="751"/>
      <c r="FUC126" s="751"/>
      <c r="FUD126" s="751"/>
      <c r="FUE126" s="751"/>
      <c r="FUF126" s="751"/>
      <c r="FUG126" s="751"/>
      <c r="FUH126" s="751"/>
      <c r="FUI126" s="751"/>
      <c r="FUJ126" s="751"/>
      <c r="FUK126" s="751"/>
      <c r="FUL126" s="751"/>
      <c r="FUM126" s="751"/>
      <c r="FUN126" s="751"/>
      <c r="FUO126" s="751"/>
      <c r="FUP126" s="751"/>
      <c r="FUQ126" s="751"/>
      <c r="FUR126" s="751"/>
      <c r="FUS126" s="751"/>
      <c r="FUT126" s="751"/>
      <c r="FUU126" s="751"/>
      <c r="FUV126" s="751"/>
      <c r="FUW126" s="751"/>
      <c r="FUX126" s="751"/>
      <c r="FUY126" s="751"/>
      <c r="FUZ126" s="751"/>
      <c r="FVA126" s="751"/>
      <c r="FVB126" s="751"/>
      <c r="FVC126" s="751"/>
      <c r="FVD126" s="751"/>
      <c r="FVE126" s="751"/>
      <c r="FVF126" s="751"/>
      <c r="FVG126" s="751"/>
      <c r="FVH126" s="751"/>
      <c r="FVI126" s="751"/>
      <c r="FVJ126" s="751"/>
      <c r="FVK126" s="751"/>
      <c r="FVL126" s="751"/>
      <c r="FVM126" s="751"/>
      <c r="FVN126" s="751"/>
      <c r="FVO126" s="751"/>
      <c r="FVP126" s="751"/>
      <c r="FVQ126" s="751"/>
      <c r="FVR126" s="751"/>
      <c r="FVS126" s="751"/>
      <c r="FVT126" s="751"/>
      <c r="FVU126" s="751"/>
      <c r="FVV126" s="751"/>
      <c r="FVW126" s="751"/>
      <c r="FVX126" s="751"/>
      <c r="FVY126" s="751"/>
      <c r="FVZ126" s="751"/>
      <c r="FWA126" s="751"/>
      <c r="FWB126" s="751"/>
      <c r="FWC126" s="751"/>
      <c r="FWD126" s="751"/>
      <c r="FWE126" s="751"/>
      <c r="FWF126" s="751"/>
      <c r="FWG126" s="751"/>
      <c r="FWH126" s="751"/>
      <c r="FWI126" s="751"/>
      <c r="FWJ126" s="751"/>
      <c r="FWK126" s="751"/>
      <c r="FWL126" s="751"/>
      <c r="FWM126" s="751"/>
      <c r="FWN126" s="751"/>
      <c r="FWO126" s="751"/>
      <c r="FWP126" s="751"/>
      <c r="FWQ126" s="751"/>
      <c r="FWR126" s="751"/>
      <c r="FWS126" s="751"/>
      <c r="FWT126" s="751"/>
      <c r="FWU126" s="751"/>
      <c r="FWV126" s="751"/>
      <c r="FWW126" s="751"/>
      <c r="FWX126" s="751"/>
      <c r="FWY126" s="751"/>
      <c r="FWZ126" s="751"/>
      <c r="FXA126" s="751"/>
      <c r="FXB126" s="751"/>
      <c r="FXC126" s="751"/>
      <c r="FXD126" s="751"/>
      <c r="FXE126" s="751"/>
      <c r="FXF126" s="751"/>
      <c r="FXG126" s="751"/>
      <c r="FXH126" s="751"/>
      <c r="FXI126" s="751"/>
      <c r="FXJ126" s="751"/>
      <c r="FXK126" s="751"/>
      <c r="FXL126" s="751"/>
      <c r="FXM126" s="751"/>
      <c r="FXN126" s="751"/>
      <c r="FXO126" s="751"/>
      <c r="FXP126" s="751"/>
      <c r="FXQ126" s="751"/>
      <c r="FXR126" s="751"/>
      <c r="FXS126" s="751"/>
      <c r="FXT126" s="751"/>
      <c r="FXU126" s="751"/>
      <c r="FXV126" s="751"/>
      <c r="FXW126" s="751"/>
      <c r="FXX126" s="751"/>
      <c r="FXY126" s="751"/>
      <c r="FXZ126" s="751"/>
      <c r="FYA126" s="751"/>
      <c r="FYB126" s="751"/>
      <c r="FYC126" s="751"/>
      <c r="FYD126" s="751"/>
      <c r="FYE126" s="751"/>
      <c r="FYF126" s="751"/>
      <c r="FYG126" s="751"/>
      <c r="FYH126" s="751"/>
      <c r="FYI126" s="751"/>
      <c r="FYJ126" s="751"/>
      <c r="FYK126" s="751"/>
      <c r="FYL126" s="751"/>
      <c r="FYM126" s="751"/>
      <c r="FYN126" s="751"/>
      <c r="FYO126" s="751"/>
      <c r="FYP126" s="751"/>
      <c r="FYQ126" s="751"/>
      <c r="FYR126" s="751"/>
      <c r="FYS126" s="751"/>
      <c r="FYT126" s="751"/>
      <c r="FYU126" s="751"/>
      <c r="FYV126" s="751"/>
      <c r="FYW126" s="751"/>
      <c r="FYX126" s="751"/>
      <c r="FYY126" s="751"/>
      <c r="FYZ126" s="751"/>
      <c r="FZA126" s="751"/>
      <c r="FZB126" s="751"/>
      <c r="FZC126" s="751"/>
      <c r="FZD126" s="751"/>
      <c r="FZE126" s="751"/>
      <c r="FZF126" s="751"/>
      <c r="FZG126" s="751"/>
      <c r="FZH126" s="751"/>
      <c r="FZI126" s="751"/>
      <c r="FZJ126" s="751"/>
      <c r="FZK126" s="751"/>
      <c r="FZL126" s="751"/>
      <c r="FZM126" s="751"/>
      <c r="FZN126" s="751"/>
      <c r="FZO126" s="751"/>
      <c r="FZP126" s="751"/>
      <c r="FZQ126" s="751"/>
      <c r="FZR126" s="751"/>
      <c r="FZS126" s="751"/>
      <c r="FZT126" s="751"/>
      <c r="FZU126" s="751"/>
      <c r="FZV126" s="751"/>
      <c r="FZW126" s="751"/>
      <c r="FZX126" s="751"/>
      <c r="FZY126" s="751"/>
      <c r="FZZ126" s="751"/>
      <c r="GAA126" s="751"/>
      <c r="GAB126" s="751"/>
      <c r="GAC126" s="751"/>
      <c r="GAD126" s="751"/>
      <c r="GAE126" s="751"/>
      <c r="GAF126" s="751"/>
      <c r="GAG126" s="751"/>
      <c r="GAH126" s="751"/>
      <c r="GAI126" s="751"/>
      <c r="GAJ126" s="751"/>
      <c r="GAK126" s="751"/>
      <c r="GAL126" s="751"/>
      <c r="GAM126" s="751"/>
      <c r="GAN126" s="751"/>
      <c r="GAO126" s="751"/>
      <c r="GAP126" s="751"/>
      <c r="GAQ126" s="751"/>
      <c r="GAR126" s="751"/>
      <c r="GAS126" s="751"/>
      <c r="GAT126" s="751"/>
      <c r="GAU126" s="751"/>
      <c r="GAV126" s="751"/>
      <c r="GAW126" s="751"/>
      <c r="GAX126" s="751"/>
      <c r="GAY126" s="751"/>
      <c r="GAZ126" s="751"/>
      <c r="GBA126" s="751"/>
      <c r="GBB126" s="751"/>
      <c r="GBC126" s="751"/>
      <c r="GBD126" s="751"/>
      <c r="GBE126" s="751"/>
      <c r="GBF126" s="751"/>
      <c r="GBG126" s="751"/>
      <c r="GBH126" s="751"/>
      <c r="GBI126" s="751"/>
      <c r="GBJ126" s="751"/>
      <c r="GBK126" s="751"/>
      <c r="GBL126" s="751"/>
      <c r="GBM126" s="751"/>
      <c r="GBN126" s="751"/>
      <c r="GBO126" s="751"/>
      <c r="GBP126" s="751"/>
      <c r="GBQ126" s="751"/>
      <c r="GBR126" s="751"/>
      <c r="GBS126" s="751"/>
      <c r="GBT126" s="751"/>
      <c r="GBU126" s="751"/>
      <c r="GBV126" s="751"/>
      <c r="GBW126" s="751"/>
      <c r="GBX126" s="751"/>
      <c r="GBY126" s="751"/>
      <c r="GBZ126" s="751"/>
      <c r="GCA126" s="751"/>
      <c r="GCB126" s="751"/>
      <c r="GCC126" s="751"/>
      <c r="GCD126" s="751"/>
      <c r="GCE126" s="751"/>
      <c r="GCF126" s="751"/>
      <c r="GCG126" s="751"/>
      <c r="GCH126" s="751"/>
      <c r="GCI126" s="751"/>
      <c r="GCJ126" s="751"/>
      <c r="GCK126" s="751"/>
      <c r="GCL126" s="751"/>
      <c r="GCM126" s="751"/>
      <c r="GCN126" s="751"/>
      <c r="GCO126" s="751"/>
      <c r="GCP126" s="751"/>
      <c r="GCQ126" s="751"/>
      <c r="GCR126" s="751"/>
      <c r="GCS126" s="751"/>
      <c r="GCT126" s="751"/>
      <c r="GCU126" s="751"/>
      <c r="GCV126" s="751"/>
      <c r="GCW126" s="751"/>
      <c r="GCX126" s="751"/>
      <c r="GCY126" s="751"/>
      <c r="GCZ126" s="751"/>
      <c r="GDA126" s="751"/>
      <c r="GDB126" s="751"/>
      <c r="GDC126" s="751"/>
      <c r="GDD126" s="751"/>
      <c r="GDE126" s="751"/>
      <c r="GDF126" s="751"/>
      <c r="GDG126" s="751"/>
      <c r="GDH126" s="751"/>
      <c r="GDI126" s="751"/>
      <c r="GDJ126" s="751"/>
      <c r="GDK126" s="751"/>
      <c r="GDL126" s="751"/>
      <c r="GDM126" s="751"/>
      <c r="GDN126" s="751"/>
      <c r="GDO126" s="751"/>
      <c r="GDP126" s="751"/>
      <c r="GDQ126" s="751"/>
      <c r="GDR126" s="751"/>
      <c r="GDS126" s="751"/>
      <c r="GDT126" s="751"/>
      <c r="GDU126" s="751"/>
      <c r="GDV126" s="751"/>
      <c r="GDW126" s="751"/>
      <c r="GDX126" s="751"/>
      <c r="GDY126" s="751"/>
      <c r="GDZ126" s="751"/>
      <c r="GEA126" s="751"/>
      <c r="GEB126" s="751"/>
      <c r="GEC126" s="751"/>
      <c r="GED126" s="751"/>
      <c r="GEE126" s="751"/>
      <c r="GEF126" s="751"/>
      <c r="GEG126" s="751"/>
      <c r="GEH126" s="751"/>
      <c r="GEI126" s="751"/>
      <c r="GEJ126" s="751"/>
      <c r="GEK126" s="751"/>
      <c r="GEL126" s="751"/>
      <c r="GEM126" s="751"/>
      <c r="GEN126" s="751"/>
      <c r="GEO126" s="751"/>
      <c r="GEP126" s="751"/>
      <c r="GEQ126" s="751"/>
      <c r="GER126" s="751"/>
      <c r="GES126" s="751"/>
      <c r="GET126" s="751"/>
      <c r="GEU126" s="751"/>
      <c r="GEV126" s="751"/>
      <c r="GEW126" s="751"/>
      <c r="GEX126" s="751"/>
      <c r="GEY126" s="751"/>
      <c r="GEZ126" s="751"/>
      <c r="GFA126" s="751"/>
      <c r="GFB126" s="751"/>
      <c r="GFC126" s="751"/>
      <c r="GFD126" s="751"/>
      <c r="GFE126" s="751"/>
      <c r="GFF126" s="751"/>
      <c r="GFG126" s="751"/>
      <c r="GFH126" s="751"/>
      <c r="GFI126" s="751"/>
      <c r="GFJ126" s="751"/>
      <c r="GFK126" s="751"/>
      <c r="GFL126" s="751"/>
      <c r="GFM126" s="751"/>
      <c r="GFN126" s="751"/>
      <c r="GFO126" s="751"/>
      <c r="GFP126" s="751"/>
      <c r="GFQ126" s="751"/>
      <c r="GFR126" s="751"/>
      <c r="GFS126" s="751"/>
      <c r="GFT126" s="751"/>
      <c r="GFU126" s="751"/>
      <c r="GFV126" s="751"/>
      <c r="GFW126" s="751"/>
      <c r="GFX126" s="751"/>
      <c r="GFY126" s="751"/>
      <c r="GFZ126" s="751"/>
      <c r="GGA126" s="751"/>
      <c r="GGB126" s="751"/>
      <c r="GGC126" s="751"/>
      <c r="GGD126" s="751"/>
      <c r="GGE126" s="751"/>
      <c r="GGF126" s="751"/>
      <c r="GGG126" s="751"/>
      <c r="GGH126" s="751"/>
      <c r="GGI126" s="751"/>
      <c r="GGJ126" s="751"/>
      <c r="GGK126" s="751"/>
      <c r="GGL126" s="751"/>
      <c r="GGM126" s="751"/>
      <c r="GGN126" s="751"/>
      <c r="GGO126" s="751"/>
      <c r="GGP126" s="751"/>
      <c r="GGQ126" s="751"/>
      <c r="GGR126" s="751"/>
      <c r="GGS126" s="751"/>
      <c r="GGT126" s="751"/>
      <c r="GGU126" s="751"/>
      <c r="GGV126" s="751"/>
      <c r="GGW126" s="751"/>
      <c r="GGX126" s="751"/>
      <c r="GGY126" s="751"/>
      <c r="GGZ126" s="751"/>
      <c r="GHA126" s="751"/>
      <c r="GHB126" s="751"/>
      <c r="GHC126" s="751"/>
      <c r="GHD126" s="751"/>
      <c r="GHE126" s="751"/>
      <c r="GHF126" s="751"/>
      <c r="GHG126" s="751"/>
      <c r="GHH126" s="751"/>
      <c r="GHI126" s="751"/>
      <c r="GHJ126" s="751"/>
      <c r="GHK126" s="751"/>
      <c r="GHL126" s="751"/>
      <c r="GHM126" s="751"/>
      <c r="GHN126" s="751"/>
      <c r="GHO126" s="751"/>
      <c r="GHP126" s="751"/>
      <c r="GHQ126" s="751"/>
      <c r="GHR126" s="751"/>
      <c r="GHS126" s="751"/>
      <c r="GHT126" s="751"/>
      <c r="GHU126" s="751"/>
      <c r="GHV126" s="751"/>
      <c r="GHW126" s="751"/>
      <c r="GHX126" s="751"/>
      <c r="GHY126" s="751"/>
      <c r="GHZ126" s="751"/>
      <c r="GIA126" s="751"/>
      <c r="GIB126" s="751"/>
      <c r="GIC126" s="751"/>
      <c r="GID126" s="751"/>
      <c r="GIE126" s="751"/>
      <c r="GIF126" s="751"/>
      <c r="GIG126" s="751"/>
      <c r="GIH126" s="751"/>
      <c r="GII126" s="751"/>
      <c r="GIJ126" s="751"/>
      <c r="GIK126" s="751"/>
      <c r="GIL126" s="751"/>
      <c r="GIM126" s="751"/>
      <c r="GIN126" s="751"/>
      <c r="GIO126" s="751"/>
      <c r="GIP126" s="751"/>
      <c r="GIQ126" s="751"/>
      <c r="GIR126" s="751"/>
      <c r="GIS126" s="751"/>
      <c r="GIT126" s="751"/>
      <c r="GIU126" s="751"/>
      <c r="GIV126" s="751"/>
      <c r="GIW126" s="751"/>
      <c r="GIX126" s="751"/>
      <c r="GIY126" s="751"/>
      <c r="GIZ126" s="751"/>
      <c r="GJA126" s="751"/>
      <c r="GJB126" s="751"/>
      <c r="GJC126" s="751"/>
      <c r="GJD126" s="751"/>
      <c r="GJE126" s="751"/>
      <c r="GJF126" s="751"/>
      <c r="GJG126" s="751"/>
      <c r="GJH126" s="751"/>
      <c r="GJI126" s="751"/>
      <c r="GJJ126" s="751"/>
      <c r="GJK126" s="751"/>
      <c r="GJL126" s="751"/>
      <c r="GJM126" s="751"/>
      <c r="GJN126" s="751"/>
      <c r="GJO126" s="751"/>
      <c r="GJP126" s="751"/>
      <c r="GJQ126" s="751"/>
      <c r="GJR126" s="751"/>
      <c r="GJS126" s="751"/>
      <c r="GJT126" s="751"/>
      <c r="GJU126" s="751"/>
      <c r="GJV126" s="751"/>
      <c r="GJW126" s="751"/>
      <c r="GJX126" s="751"/>
      <c r="GJY126" s="751"/>
      <c r="GJZ126" s="751"/>
      <c r="GKA126" s="751"/>
      <c r="GKB126" s="751"/>
      <c r="GKC126" s="751"/>
      <c r="GKD126" s="751"/>
      <c r="GKE126" s="751"/>
      <c r="GKF126" s="751"/>
      <c r="GKG126" s="751"/>
      <c r="GKH126" s="751"/>
      <c r="GKI126" s="751"/>
      <c r="GKJ126" s="751"/>
      <c r="GKK126" s="751"/>
      <c r="GKL126" s="751"/>
      <c r="GKM126" s="751"/>
      <c r="GKN126" s="751"/>
      <c r="GKO126" s="751"/>
      <c r="GKP126" s="751"/>
      <c r="GKQ126" s="751"/>
      <c r="GKR126" s="751"/>
      <c r="GKS126" s="751"/>
      <c r="GKT126" s="751"/>
      <c r="GKU126" s="751"/>
      <c r="GKV126" s="751"/>
      <c r="GKW126" s="751"/>
      <c r="GKX126" s="751"/>
      <c r="GKY126" s="751"/>
      <c r="GKZ126" s="751"/>
      <c r="GLA126" s="751"/>
      <c r="GLB126" s="751"/>
      <c r="GLC126" s="751"/>
      <c r="GLD126" s="751"/>
      <c r="GLE126" s="751"/>
      <c r="GLF126" s="751"/>
      <c r="GLG126" s="751"/>
      <c r="GLH126" s="751"/>
      <c r="GLI126" s="751"/>
      <c r="GLJ126" s="751"/>
      <c r="GLK126" s="751"/>
      <c r="GLL126" s="751"/>
      <c r="GLM126" s="751"/>
      <c r="GLN126" s="751"/>
      <c r="GLO126" s="751"/>
      <c r="GLP126" s="751"/>
      <c r="GLQ126" s="751"/>
      <c r="GLR126" s="751"/>
      <c r="GLS126" s="751"/>
      <c r="GLT126" s="751"/>
      <c r="GLU126" s="751"/>
      <c r="GLV126" s="751"/>
      <c r="GLW126" s="751"/>
      <c r="GLX126" s="751"/>
      <c r="GLY126" s="751"/>
      <c r="GLZ126" s="751"/>
      <c r="GMA126" s="751"/>
      <c r="GMB126" s="751"/>
      <c r="GMC126" s="751"/>
      <c r="GMD126" s="751"/>
      <c r="GME126" s="751"/>
      <c r="GMF126" s="751"/>
      <c r="GMG126" s="751"/>
      <c r="GMH126" s="751"/>
      <c r="GMI126" s="751"/>
      <c r="GMJ126" s="751"/>
      <c r="GMK126" s="751"/>
      <c r="GML126" s="751"/>
      <c r="GMM126" s="751"/>
      <c r="GMN126" s="751"/>
      <c r="GMO126" s="751"/>
      <c r="GMP126" s="751"/>
      <c r="GMQ126" s="751"/>
      <c r="GMR126" s="751"/>
      <c r="GMS126" s="751"/>
      <c r="GMT126" s="751"/>
      <c r="GMU126" s="751"/>
      <c r="GMV126" s="751"/>
      <c r="GMW126" s="751"/>
      <c r="GMX126" s="751"/>
      <c r="GMY126" s="751"/>
      <c r="GMZ126" s="751"/>
      <c r="GNA126" s="751"/>
      <c r="GNB126" s="751"/>
      <c r="GNC126" s="751"/>
      <c r="GND126" s="751"/>
      <c r="GNE126" s="751"/>
      <c r="GNF126" s="751"/>
      <c r="GNG126" s="751"/>
      <c r="GNH126" s="751"/>
      <c r="GNI126" s="751"/>
      <c r="GNJ126" s="751"/>
      <c r="GNK126" s="751"/>
      <c r="GNL126" s="751"/>
      <c r="GNM126" s="751"/>
      <c r="GNN126" s="751"/>
      <c r="GNO126" s="751"/>
      <c r="GNP126" s="751"/>
      <c r="GNQ126" s="751"/>
      <c r="GNR126" s="751"/>
      <c r="GNS126" s="751"/>
      <c r="GNT126" s="751"/>
      <c r="GNU126" s="751"/>
      <c r="GNV126" s="751"/>
      <c r="GNW126" s="751"/>
      <c r="GNX126" s="751"/>
      <c r="GNY126" s="751"/>
      <c r="GNZ126" s="751"/>
      <c r="GOA126" s="751"/>
      <c r="GOB126" s="751"/>
      <c r="GOC126" s="751"/>
      <c r="GOD126" s="751"/>
      <c r="GOE126" s="751"/>
      <c r="GOF126" s="751"/>
      <c r="GOG126" s="751"/>
      <c r="GOH126" s="751"/>
      <c r="GOI126" s="751"/>
      <c r="GOJ126" s="751"/>
      <c r="GOK126" s="751"/>
      <c r="GOL126" s="751"/>
      <c r="GOM126" s="751"/>
      <c r="GON126" s="751"/>
      <c r="GOO126" s="751"/>
      <c r="GOP126" s="751"/>
      <c r="GOQ126" s="751"/>
      <c r="GOR126" s="751"/>
      <c r="GOS126" s="751"/>
      <c r="GOT126" s="751"/>
      <c r="GOU126" s="751"/>
      <c r="GOV126" s="751"/>
      <c r="GOW126" s="751"/>
      <c r="GOX126" s="751"/>
      <c r="GOY126" s="751"/>
      <c r="GOZ126" s="751"/>
      <c r="GPA126" s="751"/>
      <c r="GPB126" s="751"/>
      <c r="GPC126" s="751"/>
      <c r="GPD126" s="751"/>
      <c r="GPE126" s="751"/>
      <c r="GPF126" s="751"/>
      <c r="GPG126" s="751"/>
      <c r="GPH126" s="751"/>
      <c r="GPI126" s="751"/>
      <c r="GPJ126" s="751"/>
      <c r="GPK126" s="751"/>
      <c r="GPL126" s="751"/>
      <c r="GPM126" s="751"/>
      <c r="GPN126" s="751"/>
      <c r="GPO126" s="751"/>
      <c r="GPP126" s="751"/>
      <c r="GPQ126" s="751"/>
      <c r="GPR126" s="751"/>
      <c r="GPS126" s="751"/>
      <c r="GPT126" s="751"/>
      <c r="GPU126" s="751"/>
      <c r="GPV126" s="751"/>
      <c r="GPW126" s="751"/>
      <c r="GPX126" s="751"/>
      <c r="GPY126" s="751"/>
      <c r="GPZ126" s="751"/>
      <c r="GQA126" s="751"/>
      <c r="GQB126" s="751"/>
      <c r="GQC126" s="751"/>
      <c r="GQD126" s="751"/>
      <c r="GQE126" s="751"/>
      <c r="GQF126" s="751"/>
      <c r="GQG126" s="751"/>
      <c r="GQH126" s="751"/>
      <c r="GQI126" s="751"/>
      <c r="GQJ126" s="751"/>
      <c r="GQK126" s="751"/>
      <c r="GQL126" s="751"/>
      <c r="GQM126" s="751"/>
      <c r="GQN126" s="751"/>
      <c r="GQO126" s="751"/>
      <c r="GQP126" s="751"/>
      <c r="GQQ126" s="751"/>
      <c r="GQR126" s="751"/>
      <c r="GQS126" s="751"/>
      <c r="GQT126" s="751"/>
      <c r="GQU126" s="751"/>
      <c r="GQV126" s="751"/>
      <c r="GQW126" s="751"/>
      <c r="GQX126" s="751"/>
      <c r="GQY126" s="751"/>
      <c r="GQZ126" s="751"/>
      <c r="GRA126" s="751"/>
      <c r="GRB126" s="751"/>
      <c r="GRC126" s="751"/>
      <c r="GRD126" s="751"/>
      <c r="GRE126" s="751"/>
      <c r="GRF126" s="751"/>
      <c r="GRG126" s="751"/>
      <c r="GRH126" s="751"/>
      <c r="GRI126" s="751"/>
      <c r="GRJ126" s="751"/>
      <c r="GRK126" s="751"/>
      <c r="GRL126" s="751"/>
      <c r="GRM126" s="751"/>
      <c r="GRN126" s="751"/>
      <c r="GRO126" s="751"/>
      <c r="GRP126" s="751"/>
      <c r="GRQ126" s="751"/>
      <c r="GRR126" s="751"/>
      <c r="GRS126" s="751"/>
      <c r="GRT126" s="751"/>
      <c r="GRU126" s="751"/>
      <c r="GRV126" s="751"/>
      <c r="GRW126" s="751"/>
      <c r="GRX126" s="751"/>
      <c r="GRY126" s="751"/>
      <c r="GRZ126" s="751"/>
      <c r="GSA126" s="751"/>
      <c r="GSB126" s="751"/>
      <c r="GSC126" s="751"/>
      <c r="GSD126" s="751"/>
      <c r="GSE126" s="751"/>
      <c r="GSF126" s="751"/>
      <c r="GSG126" s="751"/>
      <c r="GSH126" s="751"/>
      <c r="GSI126" s="751"/>
      <c r="GSJ126" s="751"/>
      <c r="GSK126" s="751"/>
      <c r="GSL126" s="751"/>
      <c r="GSM126" s="751"/>
      <c r="GSN126" s="751"/>
      <c r="GSO126" s="751"/>
      <c r="GSP126" s="751"/>
      <c r="GSQ126" s="751"/>
      <c r="GSR126" s="751"/>
      <c r="GSS126" s="751"/>
      <c r="GST126" s="751"/>
      <c r="GSU126" s="751"/>
      <c r="GSV126" s="751"/>
      <c r="GSW126" s="751"/>
      <c r="GSX126" s="751"/>
      <c r="GSY126" s="751"/>
      <c r="GSZ126" s="751"/>
      <c r="GTA126" s="751"/>
      <c r="GTB126" s="751"/>
      <c r="GTC126" s="751"/>
      <c r="GTD126" s="751"/>
      <c r="GTE126" s="751"/>
      <c r="GTF126" s="751"/>
      <c r="GTG126" s="751"/>
      <c r="GTH126" s="751"/>
      <c r="GTI126" s="751"/>
      <c r="GTJ126" s="751"/>
      <c r="GTK126" s="751"/>
      <c r="GTL126" s="751"/>
      <c r="GTM126" s="751"/>
      <c r="GTN126" s="751"/>
      <c r="GTO126" s="751"/>
      <c r="GTP126" s="751"/>
      <c r="GTQ126" s="751"/>
      <c r="GTR126" s="751"/>
      <c r="GTS126" s="751"/>
      <c r="GTT126" s="751"/>
      <c r="GTU126" s="751"/>
      <c r="GTV126" s="751"/>
      <c r="GTW126" s="751"/>
      <c r="GTX126" s="751"/>
      <c r="GTY126" s="751"/>
      <c r="GTZ126" s="751"/>
      <c r="GUA126" s="751"/>
      <c r="GUB126" s="751"/>
      <c r="GUC126" s="751"/>
      <c r="GUD126" s="751"/>
      <c r="GUE126" s="751"/>
      <c r="GUF126" s="751"/>
      <c r="GUG126" s="751"/>
      <c r="GUH126" s="751"/>
      <c r="GUI126" s="751"/>
      <c r="GUJ126" s="751"/>
      <c r="GUK126" s="751"/>
      <c r="GUL126" s="751"/>
      <c r="GUM126" s="751"/>
      <c r="GUN126" s="751"/>
      <c r="GUO126" s="751"/>
      <c r="GUP126" s="751"/>
      <c r="GUQ126" s="751"/>
      <c r="GUR126" s="751"/>
      <c r="GUS126" s="751"/>
      <c r="GUT126" s="751"/>
      <c r="GUU126" s="751"/>
      <c r="GUV126" s="751"/>
      <c r="GUW126" s="751"/>
      <c r="GUX126" s="751"/>
      <c r="GUY126" s="751"/>
      <c r="GUZ126" s="751"/>
      <c r="GVA126" s="751"/>
      <c r="GVB126" s="751"/>
      <c r="GVC126" s="751"/>
      <c r="GVD126" s="751"/>
      <c r="GVE126" s="751"/>
      <c r="GVF126" s="751"/>
      <c r="GVG126" s="751"/>
      <c r="GVH126" s="751"/>
      <c r="GVI126" s="751"/>
      <c r="GVJ126" s="751"/>
      <c r="GVK126" s="751"/>
      <c r="GVL126" s="751"/>
      <c r="GVM126" s="751"/>
      <c r="GVN126" s="751"/>
      <c r="GVO126" s="751"/>
      <c r="GVP126" s="751"/>
      <c r="GVQ126" s="751"/>
      <c r="GVR126" s="751"/>
      <c r="GVS126" s="751"/>
      <c r="GVT126" s="751"/>
      <c r="GVU126" s="751"/>
      <c r="GVV126" s="751"/>
      <c r="GVW126" s="751"/>
      <c r="GVX126" s="751"/>
      <c r="GVY126" s="751"/>
      <c r="GVZ126" s="751"/>
      <c r="GWA126" s="751"/>
      <c r="GWB126" s="751"/>
      <c r="GWC126" s="751"/>
      <c r="GWD126" s="751"/>
      <c r="GWE126" s="751"/>
      <c r="GWF126" s="751"/>
      <c r="GWG126" s="751"/>
      <c r="GWH126" s="751"/>
      <c r="GWI126" s="751"/>
      <c r="GWJ126" s="751"/>
      <c r="GWK126" s="751"/>
      <c r="GWL126" s="751"/>
      <c r="GWM126" s="751"/>
      <c r="GWN126" s="751"/>
      <c r="GWO126" s="751"/>
      <c r="GWP126" s="751"/>
      <c r="GWQ126" s="751"/>
      <c r="GWR126" s="751"/>
      <c r="GWS126" s="751"/>
      <c r="GWT126" s="751"/>
      <c r="GWU126" s="751"/>
      <c r="GWV126" s="751"/>
      <c r="GWW126" s="751"/>
      <c r="GWX126" s="751"/>
      <c r="GWY126" s="751"/>
      <c r="GWZ126" s="751"/>
      <c r="GXA126" s="751"/>
      <c r="GXB126" s="751"/>
      <c r="GXC126" s="751"/>
      <c r="GXD126" s="751"/>
      <c r="GXE126" s="751"/>
      <c r="GXF126" s="751"/>
      <c r="GXG126" s="751"/>
      <c r="GXH126" s="751"/>
      <c r="GXI126" s="751"/>
      <c r="GXJ126" s="751"/>
      <c r="GXK126" s="751"/>
      <c r="GXL126" s="751"/>
      <c r="GXM126" s="751"/>
      <c r="GXN126" s="751"/>
      <c r="GXO126" s="751"/>
      <c r="GXP126" s="751"/>
      <c r="GXQ126" s="751"/>
      <c r="GXR126" s="751"/>
      <c r="GXS126" s="751"/>
      <c r="GXT126" s="751"/>
      <c r="GXU126" s="751"/>
      <c r="GXV126" s="751"/>
      <c r="GXW126" s="751"/>
      <c r="GXX126" s="751"/>
      <c r="GXY126" s="751"/>
      <c r="GXZ126" s="751"/>
      <c r="GYA126" s="751"/>
      <c r="GYB126" s="751"/>
      <c r="GYC126" s="751"/>
      <c r="GYD126" s="751"/>
      <c r="GYE126" s="751"/>
      <c r="GYF126" s="751"/>
      <c r="GYG126" s="751"/>
      <c r="GYH126" s="751"/>
      <c r="GYI126" s="751"/>
      <c r="GYJ126" s="751"/>
      <c r="GYK126" s="751"/>
      <c r="GYL126" s="751"/>
      <c r="GYM126" s="751"/>
      <c r="GYN126" s="751"/>
      <c r="GYO126" s="751"/>
      <c r="GYP126" s="751"/>
      <c r="GYQ126" s="751"/>
      <c r="GYR126" s="751"/>
      <c r="GYS126" s="751"/>
      <c r="GYT126" s="751"/>
      <c r="GYU126" s="751"/>
      <c r="GYV126" s="751"/>
      <c r="GYW126" s="751"/>
      <c r="GYX126" s="751"/>
      <c r="GYY126" s="751"/>
      <c r="GYZ126" s="751"/>
      <c r="GZA126" s="751"/>
      <c r="GZB126" s="751"/>
      <c r="GZC126" s="751"/>
      <c r="GZD126" s="751"/>
      <c r="GZE126" s="751"/>
      <c r="GZF126" s="751"/>
      <c r="GZG126" s="751"/>
      <c r="GZH126" s="751"/>
      <c r="GZI126" s="751"/>
      <c r="GZJ126" s="751"/>
      <c r="GZK126" s="751"/>
      <c r="GZL126" s="751"/>
      <c r="GZM126" s="751"/>
      <c r="GZN126" s="751"/>
      <c r="GZO126" s="751"/>
      <c r="GZP126" s="751"/>
      <c r="GZQ126" s="751"/>
      <c r="GZR126" s="751"/>
      <c r="GZS126" s="751"/>
      <c r="GZT126" s="751"/>
      <c r="GZU126" s="751"/>
      <c r="GZV126" s="751"/>
      <c r="GZW126" s="751"/>
      <c r="GZX126" s="751"/>
      <c r="GZY126" s="751"/>
      <c r="GZZ126" s="751"/>
      <c r="HAA126" s="751"/>
      <c r="HAB126" s="751"/>
      <c r="HAC126" s="751"/>
      <c r="HAD126" s="751"/>
      <c r="HAE126" s="751"/>
      <c r="HAF126" s="751"/>
      <c r="HAG126" s="751"/>
      <c r="HAH126" s="751"/>
      <c r="HAI126" s="751"/>
      <c r="HAJ126" s="751"/>
      <c r="HAK126" s="751"/>
      <c r="HAL126" s="751"/>
      <c r="HAM126" s="751"/>
      <c r="HAN126" s="751"/>
      <c r="HAO126" s="751"/>
      <c r="HAP126" s="751"/>
      <c r="HAQ126" s="751"/>
      <c r="HAR126" s="751"/>
      <c r="HAS126" s="751"/>
      <c r="HAT126" s="751"/>
      <c r="HAU126" s="751"/>
      <c r="HAV126" s="751"/>
      <c r="HAW126" s="751"/>
      <c r="HAX126" s="751"/>
      <c r="HAY126" s="751"/>
      <c r="HAZ126" s="751"/>
      <c r="HBA126" s="751"/>
      <c r="HBB126" s="751"/>
      <c r="HBC126" s="751"/>
      <c r="HBD126" s="751"/>
      <c r="HBE126" s="751"/>
      <c r="HBF126" s="751"/>
      <c r="HBG126" s="751"/>
      <c r="HBH126" s="751"/>
      <c r="HBI126" s="751"/>
      <c r="HBJ126" s="751"/>
      <c r="HBK126" s="751"/>
      <c r="HBL126" s="751"/>
      <c r="HBM126" s="751"/>
      <c r="HBN126" s="751"/>
      <c r="HBO126" s="751"/>
      <c r="HBP126" s="751"/>
      <c r="HBQ126" s="751"/>
      <c r="HBR126" s="751"/>
      <c r="HBS126" s="751"/>
      <c r="HBT126" s="751"/>
      <c r="HBU126" s="751"/>
      <c r="HBV126" s="751"/>
      <c r="HBW126" s="751"/>
      <c r="HBX126" s="751"/>
      <c r="HBY126" s="751"/>
      <c r="HBZ126" s="751"/>
      <c r="HCA126" s="751"/>
      <c r="HCB126" s="751"/>
      <c r="HCC126" s="751"/>
      <c r="HCD126" s="751"/>
      <c r="HCE126" s="751"/>
      <c r="HCF126" s="751"/>
      <c r="HCG126" s="751"/>
      <c r="HCH126" s="751"/>
      <c r="HCI126" s="751"/>
      <c r="HCJ126" s="751"/>
      <c r="HCK126" s="751"/>
      <c r="HCL126" s="751"/>
      <c r="HCM126" s="751"/>
      <c r="HCN126" s="751"/>
      <c r="HCO126" s="751"/>
      <c r="HCP126" s="751"/>
      <c r="HCQ126" s="751"/>
      <c r="HCR126" s="751"/>
      <c r="HCS126" s="751"/>
      <c r="HCT126" s="751"/>
      <c r="HCU126" s="751"/>
      <c r="HCV126" s="751"/>
      <c r="HCW126" s="751"/>
      <c r="HCX126" s="751"/>
      <c r="HCY126" s="751"/>
      <c r="HCZ126" s="751"/>
      <c r="HDA126" s="751"/>
      <c r="HDB126" s="751"/>
      <c r="HDC126" s="751"/>
      <c r="HDD126" s="751"/>
      <c r="HDE126" s="751"/>
      <c r="HDF126" s="751"/>
      <c r="HDG126" s="751"/>
      <c r="HDH126" s="751"/>
      <c r="HDI126" s="751"/>
      <c r="HDJ126" s="751"/>
      <c r="HDK126" s="751"/>
      <c r="HDL126" s="751"/>
      <c r="HDM126" s="751"/>
      <c r="HDN126" s="751"/>
      <c r="HDO126" s="751"/>
      <c r="HDP126" s="751"/>
      <c r="HDQ126" s="751"/>
      <c r="HDR126" s="751"/>
      <c r="HDS126" s="751"/>
      <c r="HDT126" s="751"/>
      <c r="HDU126" s="751"/>
      <c r="HDV126" s="751"/>
      <c r="HDW126" s="751"/>
      <c r="HDX126" s="751"/>
      <c r="HDY126" s="751"/>
      <c r="HDZ126" s="751"/>
      <c r="HEA126" s="751"/>
      <c r="HEB126" s="751"/>
      <c r="HEC126" s="751"/>
      <c r="HED126" s="751"/>
      <c r="HEE126" s="751"/>
      <c r="HEF126" s="751"/>
      <c r="HEG126" s="751"/>
      <c r="HEH126" s="751"/>
      <c r="HEI126" s="751"/>
      <c r="HEJ126" s="751"/>
      <c r="HEK126" s="751"/>
      <c r="HEL126" s="751"/>
      <c r="HEM126" s="751"/>
      <c r="HEN126" s="751"/>
      <c r="HEO126" s="751"/>
      <c r="HEP126" s="751"/>
      <c r="HEQ126" s="751"/>
      <c r="HER126" s="751"/>
      <c r="HES126" s="751"/>
      <c r="HET126" s="751"/>
      <c r="HEU126" s="751"/>
      <c r="HEV126" s="751"/>
      <c r="HEW126" s="751"/>
      <c r="HEX126" s="751"/>
      <c r="HEY126" s="751"/>
      <c r="HEZ126" s="751"/>
      <c r="HFA126" s="751"/>
      <c r="HFB126" s="751"/>
      <c r="HFC126" s="751"/>
      <c r="HFD126" s="751"/>
      <c r="HFE126" s="751"/>
      <c r="HFF126" s="751"/>
      <c r="HFG126" s="751"/>
      <c r="HFH126" s="751"/>
      <c r="HFI126" s="751"/>
      <c r="HFJ126" s="751"/>
      <c r="HFK126" s="751"/>
      <c r="HFL126" s="751"/>
      <c r="HFM126" s="751"/>
      <c r="HFN126" s="751"/>
      <c r="HFO126" s="751"/>
      <c r="HFP126" s="751"/>
      <c r="HFQ126" s="751"/>
      <c r="HFR126" s="751"/>
      <c r="HFS126" s="751"/>
      <c r="HFT126" s="751"/>
      <c r="HFU126" s="751"/>
      <c r="HFV126" s="751"/>
      <c r="HFW126" s="751"/>
      <c r="HFX126" s="751"/>
      <c r="HFY126" s="751"/>
      <c r="HFZ126" s="751"/>
      <c r="HGA126" s="751"/>
      <c r="HGB126" s="751"/>
      <c r="HGC126" s="751"/>
      <c r="HGD126" s="751"/>
      <c r="HGE126" s="751"/>
      <c r="HGF126" s="751"/>
      <c r="HGG126" s="751"/>
      <c r="HGH126" s="751"/>
      <c r="HGI126" s="751"/>
      <c r="HGJ126" s="751"/>
      <c r="HGK126" s="751"/>
      <c r="HGL126" s="751"/>
      <c r="HGM126" s="751"/>
      <c r="HGN126" s="751"/>
      <c r="HGO126" s="751"/>
      <c r="HGP126" s="751"/>
      <c r="HGQ126" s="751"/>
      <c r="HGR126" s="751"/>
      <c r="HGS126" s="751"/>
      <c r="HGT126" s="751"/>
      <c r="HGU126" s="751"/>
      <c r="HGV126" s="751"/>
      <c r="HGW126" s="751"/>
      <c r="HGX126" s="751"/>
      <c r="HGY126" s="751"/>
      <c r="HGZ126" s="751"/>
      <c r="HHA126" s="751"/>
      <c r="HHB126" s="751"/>
      <c r="HHC126" s="751"/>
      <c r="HHD126" s="751"/>
      <c r="HHE126" s="751"/>
      <c r="HHF126" s="751"/>
      <c r="HHG126" s="751"/>
      <c r="HHH126" s="751"/>
      <c r="HHI126" s="751"/>
      <c r="HHJ126" s="751"/>
      <c r="HHK126" s="751"/>
      <c r="HHL126" s="751"/>
      <c r="HHM126" s="751"/>
      <c r="HHN126" s="751"/>
      <c r="HHO126" s="751"/>
      <c r="HHP126" s="751"/>
      <c r="HHQ126" s="751"/>
      <c r="HHR126" s="751"/>
      <c r="HHS126" s="751"/>
      <c r="HHT126" s="751"/>
      <c r="HHU126" s="751"/>
      <c r="HHV126" s="751"/>
      <c r="HHW126" s="751"/>
      <c r="HHX126" s="751"/>
      <c r="HHY126" s="751"/>
      <c r="HHZ126" s="751"/>
      <c r="HIA126" s="751"/>
      <c r="HIB126" s="751"/>
      <c r="HIC126" s="751"/>
      <c r="HID126" s="751"/>
      <c r="HIE126" s="751"/>
      <c r="HIF126" s="751"/>
      <c r="HIG126" s="751"/>
      <c r="HIH126" s="751"/>
      <c r="HII126" s="751"/>
      <c r="HIJ126" s="751"/>
      <c r="HIK126" s="751"/>
      <c r="HIL126" s="751"/>
      <c r="HIM126" s="751"/>
      <c r="HIN126" s="751"/>
      <c r="HIO126" s="751"/>
      <c r="HIP126" s="751"/>
      <c r="HIQ126" s="751"/>
      <c r="HIR126" s="751"/>
      <c r="HIS126" s="751"/>
      <c r="HIT126" s="751"/>
      <c r="HIU126" s="751"/>
      <c r="HIV126" s="751"/>
      <c r="HIW126" s="751"/>
      <c r="HIX126" s="751"/>
      <c r="HIY126" s="751"/>
      <c r="HIZ126" s="751"/>
      <c r="HJA126" s="751"/>
      <c r="HJB126" s="751"/>
      <c r="HJC126" s="751"/>
      <c r="HJD126" s="751"/>
      <c r="HJE126" s="751"/>
      <c r="HJF126" s="751"/>
      <c r="HJG126" s="751"/>
      <c r="HJH126" s="751"/>
      <c r="HJI126" s="751"/>
      <c r="HJJ126" s="751"/>
      <c r="HJK126" s="751"/>
      <c r="HJL126" s="751"/>
      <c r="HJM126" s="751"/>
      <c r="HJN126" s="751"/>
      <c r="HJO126" s="751"/>
      <c r="HJP126" s="751"/>
      <c r="HJQ126" s="751"/>
      <c r="HJR126" s="751"/>
      <c r="HJS126" s="751"/>
      <c r="HJT126" s="751"/>
      <c r="HJU126" s="751"/>
      <c r="HJV126" s="751"/>
      <c r="HJW126" s="751"/>
      <c r="HJX126" s="751"/>
      <c r="HJY126" s="751"/>
      <c r="HJZ126" s="751"/>
      <c r="HKA126" s="751"/>
      <c r="HKB126" s="751"/>
      <c r="HKC126" s="751"/>
      <c r="HKD126" s="751"/>
      <c r="HKE126" s="751"/>
      <c r="HKF126" s="751"/>
      <c r="HKG126" s="751"/>
      <c r="HKH126" s="751"/>
      <c r="HKI126" s="751"/>
      <c r="HKJ126" s="751"/>
      <c r="HKK126" s="751"/>
      <c r="HKL126" s="751"/>
      <c r="HKM126" s="751"/>
      <c r="HKN126" s="751"/>
      <c r="HKO126" s="751"/>
      <c r="HKP126" s="751"/>
      <c r="HKQ126" s="751"/>
      <c r="HKR126" s="751"/>
      <c r="HKS126" s="751"/>
      <c r="HKT126" s="751"/>
      <c r="HKU126" s="751"/>
      <c r="HKV126" s="751"/>
      <c r="HKW126" s="751"/>
      <c r="HKX126" s="751"/>
      <c r="HKY126" s="751"/>
      <c r="HKZ126" s="751"/>
      <c r="HLA126" s="751"/>
      <c r="HLB126" s="751"/>
      <c r="HLC126" s="751"/>
      <c r="HLD126" s="751"/>
      <c r="HLE126" s="751"/>
      <c r="HLF126" s="751"/>
      <c r="HLG126" s="751"/>
      <c r="HLH126" s="751"/>
      <c r="HLI126" s="751"/>
      <c r="HLJ126" s="751"/>
      <c r="HLK126" s="751"/>
      <c r="HLL126" s="751"/>
      <c r="HLM126" s="751"/>
      <c r="HLN126" s="751"/>
      <c r="HLO126" s="751"/>
      <c r="HLP126" s="751"/>
      <c r="HLQ126" s="751"/>
      <c r="HLR126" s="751"/>
      <c r="HLS126" s="751"/>
      <c r="HLT126" s="751"/>
      <c r="HLU126" s="751"/>
      <c r="HLV126" s="751"/>
      <c r="HLW126" s="751"/>
      <c r="HLX126" s="751"/>
      <c r="HLY126" s="751"/>
      <c r="HLZ126" s="751"/>
      <c r="HMA126" s="751"/>
      <c r="HMB126" s="751"/>
      <c r="HMC126" s="751"/>
      <c r="HMD126" s="751"/>
      <c r="HME126" s="751"/>
      <c r="HMF126" s="751"/>
      <c r="HMG126" s="751"/>
      <c r="HMH126" s="751"/>
      <c r="HMI126" s="751"/>
      <c r="HMJ126" s="751"/>
      <c r="HMK126" s="751"/>
      <c r="HML126" s="751"/>
      <c r="HMM126" s="751"/>
      <c r="HMN126" s="751"/>
      <c r="HMO126" s="751"/>
      <c r="HMP126" s="751"/>
      <c r="HMQ126" s="751"/>
      <c r="HMR126" s="751"/>
      <c r="HMS126" s="751"/>
      <c r="HMT126" s="751"/>
      <c r="HMU126" s="751"/>
      <c r="HMV126" s="751"/>
      <c r="HMW126" s="751"/>
      <c r="HMX126" s="751"/>
      <c r="HMY126" s="751"/>
      <c r="HMZ126" s="751"/>
      <c r="HNA126" s="751"/>
      <c r="HNB126" s="751"/>
      <c r="HNC126" s="751"/>
      <c r="HND126" s="751"/>
      <c r="HNE126" s="751"/>
      <c r="HNF126" s="751"/>
      <c r="HNG126" s="751"/>
      <c r="HNH126" s="751"/>
      <c r="HNI126" s="751"/>
      <c r="HNJ126" s="751"/>
      <c r="HNK126" s="751"/>
      <c r="HNL126" s="751"/>
      <c r="HNM126" s="751"/>
      <c r="HNN126" s="751"/>
      <c r="HNO126" s="751"/>
      <c r="HNP126" s="751"/>
      <c r="HNQ126" s="751"/>
      <c r="HNR126" s="751"/>
      <c r="HNS126" s="751"/>
      <c r="HNT126" s="751"/>
      <c r="HNU126" s="751"/>
      <c r="HNV126" s="751"/>
      <c r="HNW126" s="751"/>
      <c r="HNX126" s="751"/>
      <c r="HNY126" s="751"/>
      <c r="HNZ126" s="751"/>
      <c r="HOA126" s="751"/>
      <c r="HOB126" s="751"/>
      <c r="HOC126" s="751"/>
      <c r="HOD126" s="751"/>
      <c r="HOE126" s="751"/>
      <c r="HOF126" s="751"/>
      <c r="HOG126" s="751"/>
      <c r="HOH126" s="751"/>
      <c r="HOI126" s="751"/>
      <c r="HOJ126" s="751"/>
      <c r="HOK126" s="751"/>
      <c r="HOL126" s="751"/>
      <c r="HOM126" s="751"/>
      <c r="HON126" s="751"/>
      <c r="HOO126" s="751"/>
      <c r="HOP126" s="751"/>
      <c r="HOQ126" s="751"/>
      <c r="HOR126" s="751"/>
      <c r="HOS126" s="751"/>
      <c r="HOT126" s="751"/>
      <c r="HOU126" s="751"/>
      <c r="HOV126" s="751"/>
      <c r="HOW126" s="751"/>
      <c r="HOX126" s="751"/>
      <c r="HOY126" s="751"/>
      <c r="HOZ126" s="751"/>
      <c r="HPA126" s="751"/>
      <c r="HPB126" s="751"/>
      <c r="HPC126" s="751"/>
      <c r="HPD126" s="751"/>
      <c r="HPE126" s="751"/>
      <c r="HPF126" s="751"/>
      <c r="HPG126" s="751"/>
      <c r="HPH126" s="751"/>
      <c r="HPI126" s="751"/>
      <c r="HPJ126" s="751"/>
      <c r="HPK126" s="751"/>
      <c r="HPL126" s="751"/>
      <c r="HPM126" s="751"/>
      <c r="HPN126" s="751"/>
      <c r="HPO126" s="751"/>
      <c r="HPP126" s="751"/>
      <c r="HPQ126" s="751"/>
      <c r="HPR126" s="751"/>
      <c r="HPS126" s="751"/>
      <c r="HPT126" s="751"/>
      <c r="HPU126" s="751"/>
      <c r="HPV126" s="751"/>
      <c r="HPW126" s="751"/>
      <c r="HPX126" s="751"/>
      <c r="HPY126" s="751"/>
      <c r="HPZ126" s="751"/>
      <c r="HQA126" s="751"/>
      <c r="HQB126" s="751"/>
      <c r="HQC126" s="751"/>
      <c r="HQD126" s="751"/>
      <c r="HQE126" s="751"/>
      <c r="HQF126" s="751"/>
      <c r="HQG126" s="751"/>
      <c r="HQH126" s="751"/>
      <c r="HQI126" s="751"/>
      <c r="HQJ126" s="751"/>
      <c r="HQK126" s="751"/>
      <c r="HQL126" s="751"/>
      <c r="HQM126" s="751"/>
      <c r="HQN126" s="751"/>
      <c r="HQO126" s="751"/>
      <c r="HQP126" s="751"/>
      <c r="HQQ126" s="751"/>
      <c r="HQR126" s="751"/>
      <c r="HQS126" s="751"/>
      <c r="HQT126" s="751"/>
      <c r="HQU126" s="751"/>
      <c r="HQV126" s="751"/>
      <c r="HQW126" s="751"/>
      <c r="HQX126" s="751"/>
      <c r="HQY126" s="751"/>
      <c r="HQZ126" s="751"/>
      <c r="HRA126" s="751"/>
      <c r="HRB126" s="751"/>
      <c r="HRC126" s="751"/>
      <c r="HRD126" s="751"/>
      <c r="HRE126" s="751"/>
      <c r="HRF126" s="751"/>
      <c r="HRG126" s="751"/>
      <c r="HRH126" s="751"/>
      <c r="HRI126" s="751"/>
      <c r="HRJ126" s="751"/>
      <c r="HRK126" s="751"/>
      <c r="HRL126" s="751"/>
      <c r="HRM126" s="751"/>
      <c r="HRN126" s="751"/>
      <c r="HRO126" s="751"/>
      <c r="HRP126" s="751"/>
      <c r="HRQ126" s="751"/>
      <c r="HRR126" s="751"/>
      <c r="HRS126" s="751"/>
      <c r="HRT126" s="751"/>
      <c r="HRU126" s="751"/>
      <c r="HRV126" s="751"/>
      <c r="HRW126" s="751"/>
      <c r="HRX126" s="751"/>
      <c r="HRY126" s="751"/>
      <c r="HRZ126" s="751"/>
      <c r="HSA126" s="751"/>
      <c r="HSB126" s="751"/>
      <c r="HSC126" s="751"/>
      <c r="HSD126" s="751"/>
      <c r="HSE126" s="751"/>
      <c r="HSF126" s="751"/>
      <c r="HSG126" s="751"/>
      <c r="HSH126" s="751"/>
      <c r="HSI126" s="751"/>
      <c r="HSJ126" s="751"/>
      <c r="HSK126" s="751"/>
      <c r="HSL126" s="751"/>
      <c r="HSM126" s="751"/>
      <c r="HSN126" s="751"/>
      <c r="HSO126" s="751"/>
      <c r="HSP126" s="751"/>
      <c r="HSQ126" s="751"/>
      <c r="HSR126" s="751"/>
      <c r="HSS126" s="751"/>
      <c r="HST126" s="751"/>
      <c r="HSU126" s="751"/>
      <c r="HSV126" s="751"/>
      <c r="HSW126" s="751"/>
      <c r="HSX126" s="751"/>
      <c r="HSY126" s="751"/>
      <c r="HSZ126" s="751"/>
      <c r="HTA126" s="751"/>
      <c r="HTB126" s="751"/>
      <c r="HTC126" s="751"/>
      <c r="HTD126" s="751"/>
      <c r="HTE126" s="751"/>
      <c r="HTF126" s="751"/>
      <c r="HTG126" s="751"/>
      <c r="HTH126" s="751"/>
      <c r="HTI126" s="751"/>
      <c r="HTJ126" s="751"/>
      <c r="HTK126" s="751"/>
      <c r="HTL126" s="751"/>
      <c r="HTM126" s="751"/>
      <c r="HTN126" s="751"/>
      <c r="HTO126" s="751"/>
      <c r="HTP126" s="751"/>
      <c r="HTQ126" s="751"/>
      <c r="HTR126" s="751"/>
      <c r="HTS126" s="751"/>
      <c r="HTT126" s="751"/>
      <c r="HTU126" s="751"/>
      <c r="HTV126" s="751"/>
      <c r="HTW126" s="751"/>
      <c r="HTX126" s="751"/>
      <c r="HTY126" s="751"/>
      <c r="HTZ126" s="751"/>
      <c r="HUA126" s="751"/>
      <c r="HUB126" s="751"/>
      <c r="HUC126" s="751"/>
      <c r="HUD126" s="751"/>
      <c r="HUE126" s="751"/>
      <c r="HUF126" s="751"/>
      <c r="HUG126" s="751"/>
      <c r="HUH126" s="751"/>
      <c r="HUI126" s="751"/>
      <c r="HUJ126" s="751"/>
      <c r="HUK126" s="751"/>
      <c r="HUL126" s="751"/>
      <c r="HUM126" s="751"/>
      <c r="HUN126" s="751"/>
      <c r="HUO126" s="751"/>
      <c r="HUP126" s="751"/>
      <c r="HUQ126" s="751"/>
      <c r="HUR126" s="751"/>
      <c r="HUS126" s="751"/>
      <c r="HUT126" s="751"/>
      <c r="HUU126" s="751"/>
      <c r="HUV126" s="751"/>
      <c r="HUW126" s="751"/>
      <c r="HUX126" s="751"/>
      <c r="HUY126" s="751"/>
      <c r="HUZ126" s="751"/>
      <c r="HVA126" s="751"/>
      <c r="HVB126" s="751"/>
      <c r="HVC126" s="751"/>
      <c r="HVD126" s="751"/>
      <c r="HVE126" s="751"/>
      <c r="HVF126" s="751"/>
      <c r="HVG126" s="751"/>
      <c r="HVH126" s="751"/>
      <c r="HVI126" s="751"/>
      <c r="HVJ126" s="751"/>
      <c r="HVK126" s="751"/>
      <c r="HVL126" s="751"/>
      <c r="HVM126" s="751"/>
      <c r="HVN126" s="751"/>
      <c r="HVO126" s="751"/>
      <c r="HVP126" s="751"/>
      <c r="HVQ126" s="751"/>
      <c r="HVR126" s="751"/>
      <c r="HVS126" s="751"/>
      <c r="HVT126" s="751"/>
      <c r="HVU126" s="751"/>
      <c r="HVV126" s="751"/>
      <c r="HVW126" s="751"/>
      <c r="HVX126" s="751"/>
      <c r="HVY126" s="751"/>
      <c r="HVZ126" s="751"/>
      <c r="HWA126" s="751"/>
      <c r="HWB126" s="751"/>
      <c r="HWC126" s="751"/>
      <c r="HWD126" s="751"/>
      <c r="HWE126" s="751"/>
      <c r="HWF126" s="751"/>
      <c r="HWG126" s="751"/>
      <c r="HWH126" s="751"/>
      <c r="HWI126" s="751"/>
      <c r="HWJ126" s="751"/>
      <c r="HWK126" s="751"/>
      <c r="HWL126" s="751"/>
      <c r="HWM126" s="751"/>
      <c r="HWN126" s="751"/>
      <c r="HWO126" s="751"/>
      <c r="HWP126" s="751"/>
      <c r="HWQ126" s="751"/>
      <c r="HWR126" s="751"/>
      <c r="HWS126" s="751"/>
      <c r="HWT126" s="751"/>
      <c r="HWU126" s="751"/>
      <c r="HWV126" s="751"/>
      <c r="HWW126" s="751"/>
      <c r="HWX126" s="751"/>
      <c r="HWY126" s="751"/>
      <c r="HWZ126" s="751"/>
      <c r="HXA126" s="751"/>
      <c r="HXB126" s="751"/>
      <c r="HXC126" s="751"/>
      <c r="HXD126" s="751"/>
      <c r="HXE126" s="751"/>
      <c r="HXF126" s="751"/>
      <c r="HXG126" s="751"/>
      <c r="HXH126" s="751"/>
      <c r="HXI126" s="751"/>
      <c r="HXJ126" s="751"/>
      <c r="HXK126" s="751"/>
      <c r="HXL126" s="751"/>
      <c r="HXM126" s="751"/>
      <c r="HXN126" s="751"/>
      <c r="HXO126" s="751"/>
      <c r="HXP126" s="751"/>
      <c r="HXQ126" s="751"/>
      <c r="HXR126" s="751"/>
      <c r="HXS126" s="751"/>
      <c r="HXT126" s="751"/>
      <c r="HXU126" s="751"/>
      <c r="HXV126" s="751"/>
      <c r="HXW126" s="751"/>
      <c r="HXX126" s="751"/>
      <c r="HXY126" s="751"/>
      <c r="HXZ126" s="751"/>
      <c r="HYA126" s="751"/>
      <c r="HYB126" s="751"/>
      <c r="HYC126" s="751"/>
      <c r="HYD126" s="751"/>
      <c r="HYE126" s="751"/>
      <c r="HYF126" s="751"/>
      <c r="HYG126" s="751"/>
      <c r="HYH126" s="751"/>
      <c r="HYI126" s="751"/>
      <c r="HYJ126" s="751"/>
      <c r="HYK126" s="751"/>
      <c r="HYL126" s="751"/>
      <c r="HYM126" s="751"/>
      <c r="HYN126" s="751"/>
      <c r="HYO126" s="751"/>
      <c r="HYP126" s="751"/>
      <c r="HYQ126" s="751"/>
      <c r="HYR126" s="751"/>
      <c r="HYS126" s="751"/>
      <c r="HYT126" s="751"/>
      <c r="HYU126" s="751"/>
      <c r="HYV126" s="751"/>
      <c r="HYW126" s="751"/>
      <c r="HYX126" s="751"/>
      <c r="HYY126" s="751"/>
      <c r="HYZ126" s="751"/>
      <c r="HZA126" s="751"/>
      <c r="HZB126" s="751"/>
      <c r="HZC126" s="751"/>
      <c r="HZD126" s="751"/>
      <c r="HZE126" s="751"/>
      <c r="HZF126" s="751"/>
      <c r="HZG126" s="751"/>
      <c r="HZH126" s="751"/>
      <c r="HZI126" s="751"/>
      <c r="HZJ126" s="751"/>
      <c r="HZK126" s="751"/>
      <c r="HZL126" s="751"/>
      <c r="HZM126" s="751"/>
      <c r="HZN126" s="751"/>
      <c r="HZO126" s="751"/>
      <c r="HZP126" s="751"/>
      <c r="HZQ126" s="751"/>
      <c r="HZR126" s="751"/>
      <c r="HZS126" s="751"/>
      <c r="HZT126" s="751"/>
      <c r="HZU126" s="751"/>
      <c r="HZV126" s="751"/>
      <c r="HZW126" s="751"/>
      <c r="HZX126" s="751"/>
      <c r="HZY126" s="751"/>
      <c r="HZZ126" s="751"/>
      <c r="IAA126" s="751"/>
      <c r="IAB126" s="751"/>
      <c r="IAC126" s="751"/>
      <c r="IAD126" s="751"/>
      <c r="IAE126" s="751"/>
      <c r="IAF126" s="751"/>
      <c r="IAG126" s="751"/>
      <c r="IAH126" s="751"/>
      <c r="IAI126" s="751"/>
      <c r="IAJ126" s="751"/>
      <c r="IAK126" s="751"/>
      <c r="IAL126" s="751"/>
      <c r="IAM126" s="751"/>
      <c r="IAN126" s="751"/>
      <c r="IAO126" s="751"/>
      <c r="IAP126" s="751"/>
      <c r="IAQ126" s="751"/>
      <c r="IAR126" s="751"/>
      <c r="IAS126" s="751"/>
      <c r="IAT126" s="751"/>
      <c r="IAU126" s="751"/>
      <c r="IAV126" s="751"/>
      <c r="IAW126" s="751"/>
      <c r="IAX126" s="751"/>
      <c r="IAY126" s="751"/>
      <c r="IAZ126" s="751"/>
      <c r="IBA126" s="751"/>
      <c r="IBB126" s="751"/>
      <c r="IBC126" s="751"/>
      <c r="IBD126" s="751"/>
      <c r="IBE126" s="751"/>
      <c r="IBF126" s="751"/>
      <c r="IBG126" s="751"/>
      <c r="IBH126" s="751"/>
      <c r="IBI126" s="751"/>
      <c r="IBJ126" s="751"/>
      <c r="IBK126" s="751"/>
      <c r="IBL126" s="751"/>
      <c r="IBM126" s="751"/>
      <c r="IBN126" s="751"/>
      <c r="IBO126" s="751"/>
      <c r="IBP126" s="751"/>
      <c r="IBQ126" s="751"/>
      <c r="IBR126" s="751"/>
      <c r="IBS126" s="751"/>
      <c r="IBT126" s="751"/>
      <c r="IBU126" s="751"/>
      <c r="IBV126" s="751"/>
      <c r="IBW126" s="751"/>
      <c r="IBX126" s="751"/>
      <c r="IBY126" s="751"/>
      <c r="IBZ126" s="751"/>
      <c r="ICA126" s="751"/>
      <c r="ICB126" s="751"/>
      <c r="ICC126" s="751"/>
      <c r="ICD126" s="751"/>
      <c r="ICE126" s="751"/>
      <c r="ICF126" s="751"/>
      <c r="ICG126" s="751"/>
      <c r="ICH126" s="751"/>
      <c r="ICI126" s="751"/>
      <c r="ICJ126" s="751"/>
      <c r="ICK126" s="751"/>
      <c r="ICL126" s="751"/>
      <c r="ICM126" s="751"/>
      <c r="ICN126" s="751"/>
      <c r="ICO126" s="751"/>
      <c r="ICP126" s="751"/>
      <c r="ICQ126" s="751"/>
      <c r="ICR126" s="751"/>
      <c r="ICS126" s="751"/>
      <c r="ICT126" s="751"/>
      <c r="ICU126" s="751"/>
      <c r="ICV126" s="751"/>
      <c r="ICW126" s="751"/>
      <c r="ICX126" s="751"/>
      <c r="ICY126" s="751"/>
      <c r="ICZ126" s="751"/>
      <c r="IDA126" s="751"/>
      <c r="IDB126" s="751"/>
      <c r="IDC126" s="751"/>
      <c r="IDD126" s="751"/>
      <c r="IDE126" s="751"/>
      <c r="IDF126" s="751"/>
      <c r="IDG126" s="751"/>
      <c r="IDH126" s="751"/>
      <c r="IDI126" s="751"/>
      <c r="IDJ126" s="751"/>
      <c r="IDK126" s="751"/>
      <c r="IDL126" s="751"/>
      <c r="IDM126" s="751"/>
      <c r="IDN126" s="751"/>
      <c r="IDO126" s="751"/>
      <c r="IDP126" s="751"/>
      <c r="IDQ126" s="751"/>
      <c r="IDR126" s="751"/>
      <c r="IDS126" s="751"/>
      <c r="IDT126" s="751"/>
      <c r="IDU126" s="751"/>
      <c r="IDV126" s="751"/>
      <c r="IDW126" s="751"/>
      <c r="IDX126" s="751"/>
      <c r="IDY126" s="751"/>
      <c r="IDZ126" s="751"/>
      <c r="IEA126" s="751"/>
      <c r="IEB126" s="751"/>
      <c r="IEC126" s="751"/>
      <c r="IED126" s="751"/>
      <c r="IEE126" s="751"/>
      <c r="IEF126" s="751"/>
      <c r="IEG126" s="751"/>
      <c r="IEH126" s="751"/>
      <c r="IEI126" s="751"/>
      <c r="IEJ126" s="751"/>
      <c r="IEK126" s="751"/>
      <c r="IEL126" s="751"/>
      <c r="IEM126" s="751"/>
      <c r="IEN126" s="751"/>
      <c r="IEO126" s="751"/>
      <c r="IEP126" s="751"/>
      <c r="IEQ126" s="751"/>
      <c r="IER126" s="751"/>
      <c r="IES126" s="751"/>
      <c r="IET126" s="751"/>
      <c r="IEU126" s="751"/>
      <c r="IEV126" s="751"/>
      <c r="IEW126" s="751"/>
      <c r="IEX126" s="751"/>
      <c r="IEY126" s="751"/>
      <c r="IEZ126" s="751"/>
      <c r="IFA126" s="751"/>
      <c r="IFB126" s="751"/>
      <c r="IFC126" s="751"/>
      <c r="IFD126" s="751"/>
      <c r="IFE126" s="751"/>
      <c r="IFF126" s="751"/>
      <c r="IFG126" s="751"/>
      <c r="IFH126" s="751"/>
      <c r="IFI126" s="751"/>
      <c r="IFJ126" s="751"/>
      <c r="IFK126" s="751"/>
      <c r="IFL126" s="751"/>
      <c r="IFM126" s="751"/>
      <c r="IFN126" s="751"/>
      <c r="IFO126" s="751"/>
      <c r="IFP126" s="751"/>
      <c r="IFQ126" s="751"/>
      <c r="IFR126" s="751"/>
      <c r="IFS126" s="751"/>
      <c r="IFT126" s="751"/>
      <c r="IFU126" s="751"/>
      <c r="IFV126" s="751"/>
      <c r="IFW126" s="751"/>
      <c r="IFX126" s="751"/>
      <c r="IFY126" s="751"/>
      <c r="IFZ126" s="751"/>
      <c r="IGA126" s="751"/>
      <c r="IGB126" s="751"/>
      <c r="IGC126" s="751"/>
      <c r="IGD126" s="751"/>
      <c r="IGE126" s="751"/>
      <c r="IGF126" s="751"/>
      <c r="IGG126" s="751"/>
      <c r="IGH126" s="751"/>
      <c r="IGI126" s="751"/>
      <c r="IGJ126" s="751"/>
      <c r="IGK126" s="751"/>
      <c r="IGL126" s="751"/>
      <c r="IGM126" s="751"/>
      <c r="IGN126" s="751"/>
      <c r="IGO126" s="751"/>
      <c r="IGP126" s="751"/>
      <c r="IGQ126" s="751"/>
      <c r="IGR126" s="751"/>
      <c r="IGS126" s="751"/>
      <c r="IGT126" s="751"/>
      <c r="IGU126" s="751"/>
      <c r="IGV126" s="751"/>
      <c r="IGW126" s="751"/>
      <c r="IGX126" s="751"/>
      <c r="IGY126" s="751"/>
      <c r="IGZ126" s="751"/>
      <c r="IHA126" s="751"/>
      <c r="IHB126" s="751"/>
      <c r="IHC126" s="751"/>
      <c r="IHD126" s="751"/>
      <c r="IHE126" s="751"/>
      <c r="IHF126" s="751"/>
      <c r="IHG126" s="751"/>
      <c r="IHH126" s="751"/>
      <c r="IHI126" s="751"/>
      <c r="IHJ126" s="751"/>
      <c r="IHK126" s="751"/>
      <c r="IHL126" s="751"/>
      <c r="IHM126" s="751"/>
      <c r="IHN126" s="751"/>
      <c r="IHO126" s="751"/>
      <c r="IHP126" s="751"/>
      <c r="IHQ126" s="751"/>
      <c r="IHR126" s="751"/>
      <c r="IHS126" s="751"/>
      <c r="IHT126" s="751"/>
      <c r="IHU126" s="751"/>
      <c r="IHV126" s="751"/>
      <c r="IHW126" s="751"/>
      <c r="IHX126" s="751"/>
      <c r="IHY126" s="751"/>
      <c r="IHZ126" s="751"/>
      <c r="IIA126" s="751"/>
      <c r="IIB126" s="751"/>
      <c r="IIC126" s="751"/>
      <c r="IID126" s="751"/>
      <c r="IIE126" s="751"/>
      <c r="IIF126" s="751"/>
      <c r="IIG126" s="751"/>
      <c r="IIH126" s="751"/>
      <c r="III126" s="751"/>
      <c r="IIJ126" s="751"/>
      <c r="IIK126" s="751"/>
      <c r="IIL126" s="751"/>
      <c r="IIM126" s="751"/>
      <c r="IIN126" s="751"/>
      <c r="IIO126" s="751"/>
      <c r="IIP126" s="751"/>
      <c r="IIQ126" s="751"/>
      <c r="IIR126" s="751"/>
      <c r="IIS126" s="751"/>
      <c r="IIT126" s="751"/>
      <c r="IIU126" s="751"/>
      <c r="IIV126" s="751"/>
      <c r="IIW126" s="751"/>
      <c r="IIX126" s="751"/>
      <c r="IIY126" s="751"/>
      <c r="IIZ126" s="751"/>
      <c r="IJA126" s="751"/>
      <c r="IJB126" s="751"/>
      <c r="IJC126" s="751"/>
      <c r="IJD126" s="751"/>
      <c r="IJE126" s="751"/>
      <c r="IJF126" s="751"/>
      <c r="IJG126" s="751"/>
      <c r="IJH126" s="751"/>
      <c r="IJI126" s="751"/>
      <c r="IJJ126" s="751"/>
      <c r="IJK126" s="751"/>
      <c r="IJL126" s="751"/>
      <c r="IJM126" s="751"/>
      <c r="IJN126" s="751"/>
      <c r="IJO126" s="751"/>
      <c r="IJP126" s="751"/>
      <c r="IJQ126" s="751"/>
      <c r="IJR126" s="751"/>
      <c r="IJS126" s="751"/>
      <c r="IJT126" s="751"/>
      <c r="IJU126" s="751"/>
      <c r="IJV126" s="751"/>
      <c r="IJW126" s="751"/>
      <c r="IJX126" s="751"/>
      <c r="IJY126" s="751"/>
      <c r="IJZ126" s="751"/>
      <c r="IKA126" s="751"/>
      <c r="IKB126" s="751"/>
      <c r="IKC126" s="751"/>
      <c r="IKD126" s="751"/>
      <c r="IKE126" s="751"/>
      <c r="IKF126" s="751"/>
      <c r="IKG126" s="751"/>
      <c r="IKH126" s="751"/>
      <c r="IKI126" s="751"/>
      <c r="IKJ126" s="751"/>
      <c r="IKK126" s="751"/>
      <c r="IKL126" s="751"/>
      <c r="IKM126" s="751"/>
      <c r="IKN126" s="751"/>
      <c r="IKO126" s="751"/>
      <c r="IKP126" s="751"/>
      <c r="IKQ126" s="751"/>
      <c r="IKR126" s="751"/>
      <c r="IKS126" s="751"/>
      <c r="IKT126" s="751"/>
      <c r="IKU126" s="751"/>
      <c r="IKV126" s="751"/>
      <c r="IKW126" s="751"/>
      <c r="IKX126" s="751"/>
      <c r="IKY126" s="751"/>
      <c r="IKZ126" s="751"/>
      <c r="ILA126" s="751"/>
      <c r="ILB126" s="751"/>
      <c r="ILC126" s="751"/>
      <c r="ILD126" s="751"/>
      <c r="ILE126" s="751"/>
      <c r="ILF126" s="751"/>
      <c r="ILG126" s="751"/>
      <c r="ILH126" s="751"/>
      <c r="ILI126" s="751"/>
      <c r="ILJ126" s="751"/>
      <c r="ILK126" s="751"/>
      <c r="ILL126" s="751"/>
      <c r="ILM126" s="751"/>
      <c r="ILN126" s="751"/>
      <c r="ILO126" s="751"/>
      <c r="ILP126" s="751"/>
      <c r="ILQ126" s="751"/>
      <c r="ILR126" s="751"/>
      <c r="ILS126" s="751"/>
      <c r="ILT126" s="751"/>
      <c r="ILU126" s="751"/>
      <c r="ILV126" s="751"/>
      <c r="ILW126" s="751"/>
      <c r="ILX126" s="751"/>
      <c r="ILY126" s="751"/>
      <c r="ILZ126" s="751"/>
      <c r="IMA126" s="751"/>
      <c r="IMB126" s="751"/>
      <c r="IMC126" s="751"/>
      <c r="IMD126" s="751"/>
      <c r="IME126" s="751"/>
      <c r="IMF126" s="751"/>
      <c r="IMG126" s="751"/>
      <c r="IMH126" s="751"/>
      <c r="IMI126" s="751"/>
      <c r="IMJ126" s="751"/>
      <c r="IMK126" s="751"/>
      <c r="IML126" s="751"/>
      <c r="IMM126" s="751"/>
      <c r="IMN126" s="751"/>
      <c r="IMO126" s="751"/>
      <c r="IMP126" s="751"/>
      <c r="IMQ126" s="751"/>
      <c r="IMR126" s="751"/>
      <c r="IMS126" s="751"/>
      <c r="IMT126" s="751"/>
      <c r="IMU126" s="751"/>
      <c r="IMV126" s="751"/>
      <c r="IMW126" s="751"/>
      <c r="IMX126" s="751"/>
      <c r="IMY126" s="751"/>
      <c r="IMZ126" s="751"/>
      <c r="INA126" s="751"/>
      <c r="INB126" s="751"/>
      <c r="INC126" s="751"/>
      <c r="IND126" s="751"/>
      <c r="INE126" s="751"/>
      <c r="INF126" s="751"/>
      <c r="ING126" s="751"/>
      <c r="INH126" s="751"/>
      <c r="INI126" s="751"/>
      <c r="INJ126" s="751"/>
      <c r="INK126" s="751"/>
      <c r="INL126" s="751"/>
      <c r="INM126" s="751"/>
      <c r="INN126" s="751"/>
      <c r="INO126" s="751"/>
      <c r="INP126" s="751"/>
      <c r="INQ126" s="751"/>
      <c r="INR126" s="751"/>
      <c r="INS126" s="751"/>
      <c r="INT126" s="751"/>
      <c r="INU126" s="751"/>
      <c r="INV126" s="751"/>
      <c r="INW126" s="751"/>
      <c r="INX126" s="751"/>
      <c r="INY126" s="751"/>
      <c r="INZ126" s="751"/>
      <c r="IOA126" s="751"/>
      <c r="IOB126" s="751"/>
      <c r="IOC126" s="751"/>
      <c r="IOD126" s="751"/>
      <c r="IOE126" s="751"/>
      <c r="IOF126" s="751"/>
      <c r="IOG126" s="751"/>
      <c r="IOH126" s="751"/>
      <c r="IOI126" s="751"/>
      <c r="IOJ126" s="751"/>
      <c r="IOK126" s="751"/>
      <c r="IOL126" s="751"/>
      <c r="IOM126" s="751"/>
      <c r="ION126" s="751"/>
      <c r="IOO126" s="751"/>
      <c r="IOP126" s="751"/>
      <c r="IOQ126" s="751"/>
      <c r="IOR126" s="751"/>
      <c r="IOS126" s="751"/>
      <c r="IOT126" s="751"/>
      <c r="IOU126" s="751"/>
      <c r="IOV126" s="751"/>
      <c r="IOW126" s="751"/>
      <c r="IOX126" s="751"/>
      <c r="IOY126" s="751"/>
      <c r="IOZ126" s="751"/>
      <c r="IPA126" s="751"/>
      <c r="IPB126" s="751"/>
      <c r="IPC126" s="751"/>
      <c r="IPD126" s="751"/>
      <c r="IPE126" s="751"/>
      <c r="IPF126" s="751"/>
      <c r="IPG126" s="751"/>
      <c r="IPH126" s="751"/>
      <c r="IPI126" s="751"/>
      <c r="IPJ126" s="751"/>
      <c r="IPK126" s="751"/>
      <c r="IPL126" s="751"/>
      <c r="IPM126" s="751"/>
      <c r="IPN126" s="751"/>
      <c r="IPO126" s="751"/>
      <c r="IPP126" s="751"/>
      <c r="IPQ126" s="751"/>
      <c r="IPR126" s="751"/>
      <c r="IPS126" s="751"/>
      <c r="IPT126" s="751"/>
      <c r="IPU126" s="751"/>
      <c r="IPV126" s="751"/>
      <c r="IPW126" s="751"/>
      <c r="IPX126" s="751"/>
      <c r="IPY126" s="751"/>
      <c r="IPZ126" s="751"/>
      <c r="IQA126" s="751"/>
      <c r="IQB126" s="751"/>
      <c r="IQC126" s="751"/>
      <c r="IQD126" s="751"/>
      <c r="IQE126" s="751"/>
      <c r="IQF126" s="751"/>
      <c r="IQG126" s="751"/>
      <c r="IQH126" s="751"/>
      <c r="IQI126" s="751"/>
      <c r="IQJ126" s="751"/>
      <c r="IQK126" s="751"/>
      <c r="IQL126" s="751"/>
      <c r="IQM126" s="751"/>
      <c r="IQN126" s="751"/>
      <c r="IQO126" s="751"/>
      <c r="IQP126" s="751"/>
      <c r="IQQ126" s="751"/>
      <c r="IQR126" s="751"/>
      <c r="IQS126" s="751"/>
      <c r="IQT126" s="751"/>
      <c r="IQU126" s="751"/>
      <c r="IQV126" s="751"/>
      <c r="IQW126" s="751"/>
      <c r="IQX126" s="751"/>
      <c r="IQY126" s="751"/>
      <c r="IQZ126" s="751"/>
      <c r="IRA126" s="751"/>
      <c r="IRB126" s="751"/>
      <c r="IRC126" s="751"/>
      <c r="IRD126" s="751"/>
      <c r="IRE126" s="751"/>
      <c r="IRF126" s="751"/>
      <c r="IRG126" s="751"/>
      <c r="IRH126" s="751"/>
      <c r="IRI126" s="751"/>
      <c r="IRJ126" s="751"/>
      <c r="IRK126" s="751"/>
      <c r="IRL126" s="751"/>
      <c r="IRM126" s="751"/>
      <c r="IRN126" s="751"/>
      <c r="IRO126" s="751"/>
      <c r="IRP126" s="751"/>
      <c r="IRQ126" s="751"/>
      <c r="IRR126" s="751"/>
      <c r="IRS126" s="751"/>
      <c r="IRT126" s="751"/>
      <c r="IRU126" s="751"/>
      <c r="IRV126" s="751"/>
      <c r="IRW126" s="751"/>
      <c r="IRX126" s="751"/>
      <c r="IRY126" s="751"/>
      <c r="IRZ126" s="751"/>
      <c r="ISA126" s="751"/>
      <c r="ISB126" s="751"/>
      <c r="ISC126" s="751"/>
      <c r="ISD126" s="751"/>
      <c r="ISE126" s="751"/>
      <c r="ISF126" s="751"/>
      <c r="ISG126" s="751"/>
      <c r="ISH126" s="751"/>
      <c r="ISI126" s="751"/>
      <c r="ISJ126" s="751"/>
      <c r="ISK126" s="751"/>
      <c r="ISL126" s="751"/>
      <c r="ISM126" s="751"/>
      <c r="ISN126" s="751"/>
      <c r="ISO126" s="751"/>
      <c r="ISP126" s="751"/>
      <c r="ISQ126" s="751"/>
      <c r="ISR126" s="751"/>
      <c r="ISS126" s="751"/>
      <c r="IST126" s="751"/>
      <c r="ISU126" s="751"/>
      <c r="ISV126" s="751"/>
      <c r="ISW126" s="751"/>
      <c r="ISX126" s="751"/>
      <c r="ISY126" s="751"/>
      <c r="ISZ126" s="751"/>
      <c r="ITA126" s="751"/>
      <c r="ITB126" s="751"/>
      <c r="ITC126" s="751"/>
      <c r="ITD126" s="751"/>
      <c r="ITE126" s="751"/>
      <c r="ITF126" s="751"/>
      <c r="ITG126" s="751"/>
      <c r="ITH126" s="751"/>
      <c r="ITI126" s="751"/>
      <c r="ITJ126" s="751"/>
      <c r="ITK126" s="751"/>
      <c r="ITL126" s="751"/>
      <c r="ITM126" s="751"/>
      <c r="ITN126" s="751"/>
      <c r="ITO126" s="751"/>
      <c r="ITP126" s="751"/>
      <c r="ITQ126" s="751"/>
      <c r="ITR126" s="751"/>
      <c r="ITS126" s="751"/>
      <c r="ITT126" s="751"/>
      <c r="ITU126" s="751"/>
      <c r="ITV126" s="751"/>
      <c r="ITW126" s="751"/>
      <c r="ITX126" s="751"/>
      <c r="ITY126" s="751"/>
      <c r="ITZ126" s="751"/>
      <c r="IUA126" s="751"/>
      <c r="IUB126" s="751"/>
      <c r="IUC126" s="751"/>
      <c r="IUD126" s="751"/>
      <c r="IUE126" s="751"/>
      <c r="IUF126" s="751"/>
      <c r="IUG126" s="751"/>
      <c r="IUH126" s="751"/>
      <c r="IUI126" s="751"/>
      <c r="IUJ126" s="751"/>
      <c r="IUK126" s="751"/>
      <c r="IUL126" s="751"/>
      <c r="IUM126" s="751"/>
      <c r="IUN126" s="751"/>
      <c r="IUO126" s="751"/>
      <c r="IUP126" s="751"/>
      <c r="IUQ126" s="751"/>
      <c r="IUR126" s="751"/>
      <c r="IUS126" s="751"/>
      <c r="IUT126" s="751"/>
      <c r="IUU126" s="751"/>
      <c r="IUV126" s="751"/>
      <c r="IUW126" s="751"/>
      <c r="IUX126" s="751"/>
      <c r="IUY126" s="751"/>
      <c r="IUZ126" s="751"/>
      <c r="IVA126" s="751"/>
      <c r="IVB126" s="751"/>
      <c r="IVC126" s="751"/>
      <c r="IVD126" s="751"/>
      <c r="IVE126" s="751"/>
      <c r="IVF126" s="751"/>
      <c r="IVG126" s="751"/>
      <c r="IVH126" s="751"/>
      <c r="IVI126" s="751"/>
      <c r="IVJ126" s="751"/>
      <c r="IVK126" s="751"/>
      <c r="IVL126" s="751"/>
      <c r="IVM126" s="751"/>
      <c r="IVN126" s="751"/>
      <c r="IVO126" s="751"/>
      <c r="IVP126" s="751"/>
      <c r="IVQ126" s="751"/>
      <c r="IVR126" s="751"/>
      <c r="IVS126" s="751"/>
      <c r="IVT126" s="751"/>
      <c r="IVU126" s="751"/>
      <c r="IVV126" s="751"/>
      <c r="IVW126" s="751"/>
      <c r="IVX126" s="751"/>
      <c r="IVY126" s="751"/>
      <c r="IVZ126" s="751"/>
      <c r="IWA126" s="751"/>
      <c r="IWB126" s="751"/>
      <c r="IWC126" s="751"/>
      <c r="IWD126" s="751"/>
      <c r="IWE126" s="751"/>
      <c r="IWF126" s="751"/>
      <c r="IWG126" s="751"/>
      <c r="IWH126" s="751"/>
      <c r="IWI126" s="751"/>
      <c r="IWJ126" s="751"/>
      <c r="IWK126" s="751"/>
      <c r="IWL126" s="751"/>
      <c r="IWM126" s="751"/>
      <c r="IWN126" s="751"/>
      <c r="IWO126" s="751"/>
      <c r="IWP126" s="751"/>
      <c r="IWQ126" s="751"/>
      <c r="IWR126" s="751"/>
      <c r="IWS126" s="751"/>
      <c r="IWT126" s="751"/>
      <c r="IWU126" s="751"/>
      <c r="IWV126" s="751"/>
      <c r="IWW126" s="751"/>
      <c r="IWX126" s="751"/>
      <c r="IWY126" s="751"/>
      <c r="IWZ126" s="751"/>
      <c r="IXA126" s="751"/>
      <c r="IXB126" s="751"/>
      <c r="IXC126" s="751"/>
      <c r="IXD126" s="751"/>
      <c r="IXE126" s="751"/>
      <c r="IXF126" s="751"/>
      <c r="IXG126" s="751"/>
      <c r="IXH126" s="751"/>
      <c r="IXI126" s="751"/>
      <c r="IXJ126" s="751"/>
      <c r="IXK126" s="751"/>
      <c r="IXL126" s="751"/>
      <c r="IXM126" s="751"/>
      <c r="IXN126" s="751"/>
      <c r="IXO126" s="751"/>
      <c r="IXP126" s="751"/>
      <c r="IXQ126" s="751"/>
      <c r="IXR126" s="751"/>
      <c r="IXS126" s="751"/>
      <c r="IXT126" s="751"/>
      <c r="IXU126" s="751"/>
      <c r="IXV126" s="751"/>
      <c r="IXW126" s="751"/>
      <c r="IXX126" s="751"/>
      <c r="IXY126" s="751"/>
      <c r="IXZ126" s="751"/>
      <c r="IYA126" s="751"/>
      <c r="IYB126" s="751"/>
      <c r="IYC126" s="751"/>
      <c r="IYD126" s="751"/>
      <c r="IYE126" s="751"/>
      <c r="IYF126" s="751"/>
      <c r="IYG126" s="751"/>
      <c r="IYH126" s="751"/>
      <c r="IYI126" s="751"/>
      <c r="IYJ126" s="751"/>
      <c r="IYK126" s="751"/>
      <c r="IYL126" s="751"/>
      <c r="IYM126" s="751"/>
      <c r="IYN126" s="751"/>
      <c r="IYO126" s="751"/>
      <c r="IYP126" s="751"/>
      <c r="IYQ126" s="751"/>
      <c r="IYR126" s="751"/>
      <c r="IYS126" s="751"/>
      <c r="IYT126" s="751"/>
      <c r="IYU126" s="751"/>
      <c r="IYV126" s="751"/>
      <c r="IYW126" s="751"/>
      <c r="IYX126" s="751"/>
      <c r="IYY126" s="751"/>
      <c r="IYZ126" s="751"/>
      <c r="IZA126" s="751"/>
      <c r="IZB126" s="751"/>
      <c r="IZC126" s="751"/>
      <c r="IZD126" s="751"/>
      <c r="IZE126" s="751"/>
      <c r="IZF126" s="751"/>
      <c r="IZG126" s="751"/>
      <c r="IZH126" s="751"/>
      <c r="IZI126" s="751"/>
      <c r="IZJ126" s="751"/>
      <c r="IZK126" s="751"/>
      <c r="IZL126" s="751"/>
      <c r="IZM126" s="751"/>
      <c r="IZN126" s="751"/>
      <c r="IZO126" s="751"/>
      <c r="IZP126" s="751"/>
      <c r="IZQ126" s="751"/>
      <c r="IZR126" s="751"/>
      <c r="IZS126" s="751"/>
      <c r="IZT126" s="751"/>
      <c r="IZU126" s="751"/>
      <c r="IZV126" s="751"/>
      <c r="IZW126" s="751"/>
      <c r="IZX126" s="751"/>
      <c r="IZY126" s="751"/>
      <c r="IZZ126" s="751"/>
      <c r="JAA126" s="751"/>
      <c r="JAB126" s="751"/>
      <c r="JAC126" s="751"/>
      <c r="JAD126" s="751"/>
      <c r="JAE126" s="751"/>
      <c r="JAF126" s="751"/>
      <c r="JAG126" s="751"/>
      <c r="JAH126" s="751"/>
      <c r="JAI126" s="751"/>
      <c r="JAJ126" s="751"/>
      <c r="JAK126" s="751"/>
      <c r="JAL126" s="751"/>
      <c r="JAM126" s="751"/>
      <c r="JAN126" s="751"/>
      <c r="JAO126" s="751"/>
      <c r="JAP126" s="751"/>
      <c r="JAQ126" s="751"/>
      <c r="JAR126" s="751"/>
      <c r="JAS126" s="751"/>
      <c r="JAT126" s="751"/>
      <c r="JAU126" s="751"/>
      <c r="JAV126" s="751"/>
      <c r="JAW126" s="751"/>
      <c r="JAX126" s="751"/>
      <c r="JAY126" s="751"/>
      <c r="JAZ126" s="751"/>
      <c r="JBA126" s="751"/>
      <c r="JBB126" s="751"/>
      <c r="JBC126" s="751"/>
      <c r="JBD126" s="751"/>
      <c r="JBE126" s="751"/>
      <c r="JBF126" s="751"/>
      <c r="JBG126" s="751"/>
      <c r="JBH126" s="751"/>
      <c r="JBI126" s="751"/>
      <c r="JBJ126" s="751"/>
      <c r="JBK126" s="751"/>
      <c r="JBL126" s="751"/>
      <c r="JBM126" s="751"/>
      <c r="JBN126" s="751"/>
      <c r="JBO126" s="751"/>
      <c r="JBP126" s="751"/>
      <c r="JBQ126" s="751"/>
      <c r="JBR126" s="751"/>
      <c r="JBS126" s="751"/>
      <c r="JBT126" s="751"/>
      <c r="JBU126" s="751"/>
      <c r="JBV126" s="751"/>
      <c r="JBW126" s="751"/>
      <c r="JBX126" s="751"/>
      <c r="JBY126" s="751"/>
      <c r="JBZ126" s="751"/>
      <c r="JCA126" s="751"/>
      <c r="JCB126" s="751"/>
      <c r="JCC126" s="751"/>
      <c r="JCD126" s="751"/>
      <c r="JCE126" s="751"/>
      <c r="JCF126" s="751"/>
      <c r="JCG126" s="751"/>
      <c r="JCH126" s="751"/>
      <c r="JCI126" s="751"/>
      <c r="JCJ126" s="751"/>
      <c r="JCK126" s="751"/>
      <c r="JCL126" s="751"/>
      <c r="JCM126" s="751"/>
      <c r="JCN126" s="751"/>
      <c r="JCO126" s="751"/>
      <c r="JCP126" s="751"/>
      <c r="JCQ126" s="751"/>
      <c r="JCR126" s="751"/>
      <c r="JCS126" s="751"/>
      <c r="JCT126" s="751"/>
      <c r="JCU126" s="751"/>
      <c r="JCV126" s="751"/>
      <c r="JCW126" s="751"/>
      <c r="JCX126" s="751"/>
      <c r="JCY126" s="751"/>
      <c r="JCZ126" s="751"/>
      <c r="JDA126" s="751"/>
      <c r="JDB126" s="751"/>
      <c r="JDC126" s="751"/>
      <c r="JDD126" s="751"/>
      <c r="JDE126" s="751"/>
      <c r="JDF126" s="751"/>
      <c r="JDG126" s="751"/>
      <c r="JDH126" s="751"/>
      <c r="JDI126" s="751"/>
      <c r="JDJ126" s="751"/>
      <c r="JDK126" s="751"/>
      <c r="JDL126" s="751"/>
      <c r="JDM126" s="751"/>
      <c r="JDN126" s="751"/>
      <c r="JDO126" s="751"/>
      <c r="JDP126" s="751"/>
      <c r="JDQ126" s="751"/>
      <c r="JDR126" s="751"/>
      <c r="JDS126" s="751"/>
      <c r="JDT126" s="751"/>
      <c r="JDU126" s="751"/>
      <c r="JDV126" s="751"/>
      <c r="JDW126" s="751"/>
      <c r="JDX126" s="751"/>
      <c r="JDY126" s="751"/>
      <c r="JDZ126" s="751"/>
      <c r="JEA126" s="751"/>
      <c r="JEB126" s="751"/>
      <c r="JEC126" s="751"/>
      <c r="JED126" s="751"/>
      <c r="JEE126" s="751"/>
      <c r="JEF126" s="751"/>
      <c r="JEG126" s="751"/>
      <c r="JEH126" s="751"/>
      <c r="JEI126" s="751"/>
      <c r="JEJ126" s="751"/>
      <c r="JEK126" s="751"/>
      <c r="JEL126" s="751"/>
      <c r="JEM126" s="751"/>
      <c r="JEN126" s="751"/>
      <c r="JEO126" s="751"/>
      <c r="JEP126" s="751"/>
      <c r="JEQ126" s="751"/>
      <c r="JER126" s="751"/>
      <c r="JES126" s="751"/>
      <c r="JET126" s="751"/>
      <c r="JEU126" s="751"/>
      <c r="JEV126" s="751"/>
      <c r="JEW126" s="751"/>
      <c r="JEX126" s="751"/>
      <c r="JEY126" s="751"/>
      <c r="JEZ126" s="751"/>
      <c r="JFA126" s="751"/>
      <c r="JFB126" s="751"/>
      <c r="JFC126" s="751"/>
      <c r="JFD126" s="751"/>
      <c r="JFE126" s="751"/>
      <c r="JFF126" s="751"/>
      <c r="JFG126" s="751"/>
      <c r="JFH126" s="751"/>
      <c r="JFI126" s="751"/>
      <c r="JFJ126" s="751"/>
      <c r="JFK126" s="751"/>
      <c r="JFL126" s="751"/>
      <c r="JFM126" s="751"/>
      <c r="JFN126" s="751"/>
      <c r="JFO126" s="751"/>
      <c r="JFP126" s="751"/>
      <c r="JFQ126" s="751"/>
      <c r="JFR126" s="751"/>
      <c r="JFS126" s="751"/>
      <c r="JFT126" s="751"/>
      <c r="JFU126" s="751"/>
      <c r="JFV126" s="751"/>
      <c r="JFW126" s="751"/>
      <c r="JFX126" s="751"/>
      <c r="JFY126" s="751"/>
      <c r="JFZ126" s="751"/>
      <c r="JGA126" s="751"/>
      <c r="JGB126" s="751"/>
      <c r="JGC126" s="751"/>
      <c r="JGD126" s="751"/>
      <c r="JGE126" s="751"/>
      <c r="JGF126" s="751"/>
      <c r="JGG126" s="751"/>
      <c r="JGH126" s="751"/>
      <c r="JGI126" s="751"/>
      <c r="JGJ126" s="751"/>
      <c r="JGK126" s="751"/>
      <c r="JGL126" s="751"/>
      <c r="JGM126" s="751"/>
      <c r="JGN126" s="751"/>
      <c r="JGO126" s="751"/>
      <c r="JGP126" s="751"/>
      <c r="JGQ126" s="751"/>
      <c r="JGR126" s="751"/>
      <c r="JGS126" s="751"/>
      <c r="JGT126" s="751"/>
      <c r="JGU126" s="751"/>
      <c r="JGV126" s="751"/>
      <c r="JGW126" s="751"/>
      <c r="JGX126" s="751"/>
      <c r="JGY126" s="751"/>
      <c r="JGZ126" s="751"/>
      <c r="JHA126" s="751"/>
      <c r="JHB126" s="751"/>
      <c r="JHC126" s="751"/>
      <c r="JHD126" s="751"/>
      <c r="JHE126" s="751"/>
      <c r="JHF126" s="751"/>
      <c r="JHG126" s="751"/>
      <c r="JHH126" s="751"/>
      <c r="JHI126" s="751"/>
      <c r="JHJ126" s="751"/>
      <c r="JHK126" s="751"/>
      <c r="JHL126" s="751"/>
      <c r="JHM126" s="751"/>
      <c r="JHN126" s="751"/>
      <c r="JHO126" s="751"/>
      <c r="JHP126" s="751"/>
      <c r="JHQ126" s="751"/>
      <c r="JHR126" s="751"/>
      <c r="JHS126" s="751"/>
      <c r="JHT126" s="751"/>
      <c r="JHU126" s="751"/>
      <c r="JHV126" s="751"/>
      <c r="JHW126" s="751"/>
      <c r="JHX126" s="751"/>
      <c r="JHY126" s="751"/>
      <c r="JHZ126" s="751"/>
      <c r="JIA126" s="751"/>
      <c r="JIB126" s="751"/>
      <c r="JIC126" s="751"/>
      <c r="JID126" s="751"/>
      <c r="JIE126" s="751"/>
      <c r="JIF126" s="751"/>
      <c r="JIG126" s="751"/>
      <c r="JIH126" s="751"/>
      <c r="JII126" s="751"/>
      <c r="JIJ126" s="751"/>
      <c r="JIK126" s="751"/>
      <c r="JIL126" s="751"/>
      <c r="JIM126" s="751"/>
      <c r="JIN126" s="751"/>
      <c r="JIO126" s="751"/>
      <c r="JIP126" s="751"/>
      <c r="JIQ126" s="751"/>
      <c r="JIR126" s="751"/>
      <c r="JIS126" s="751"/>
      <c r="JIT126" s="751"/>
      <c r="JIU126" s="751"/>
      <c r="JIV126" s="751"/>
      <c r="JIW126" s="751"/>
      <c r="JIX126" s="751"/>
      <c r="JIY126" s="751"/>
      <c r="JIZ126" s="751"/>
      <c r="JJA126" s="751"/>
      <c r="JJB126" s="751"/>
      <c r="JJC126" s="751"/>
      <c r="JJD126" s="751"/>
      <c r="JJE126" s="751"/>
      <c r="JJF126" s="751"/>
      <c r="JJG126" s="751"/>
      <c r="JJH126" s="751"/>
      <c r="JJI126" s="751"/>
      <c r="JJJ126" s="751"/>
      <c r="JJK126" s="751"/>
      <c r="JJL126" s="751"/>
      <c r="JJM126" s="751"/>
      <c r="JJN126" s="751"/>
      <c r="JJO126" s="751"/>
      <c r="JJP126" s="751"/>
      <c r="JJQ126" s="751"/>
      <c r="JJR126" s="751"/>
      <c r="JJS126" s="751"/>
      <c r="JJT126" s="751"/>
      <c r="JJU126" s="751"/>
      <c r="JJV126" s="751"/>
      <c r="JJW126" s="751"/>
      <c r="JJX126" s="751"/>
      <c r="JJY126" s="751"/>
      <c r="JJZ126" s="751"/>
      <c r="JKA126" s="751"/>
      <c r="JKB126" s="751"/>
      <c r="JKC126" s="751"/>
      <c r="JKD126" s="751"/>
      <c r="JKE126" s="751"/>
      <c r="JKF126" s="751"/>
      <c r="JKG126" s="751"/>
      <c r="JKH126" s="751"/>
      <c r="JKI126" s="751"/>
      <c r="JKJ126" s="751"/>
      <c r="JKK126" s="751"/>
      <c r="JKL126" s="751"/>
      <c r="JKM126" s="751"/>
      <c r="JKN126" s="751"/>
      <c r="JKO126" s="751"/>
      <c r="JKP126" s="751"/>
      <c r="JKQ126" s="751"/>
      <c r="JKR126" s="751"/>
      <c r="JKS126" s="751"/>
      <c r="JKT126" s="751"/>
      <c r="JKU126" s="751"/>
      <c r="JKV126" s="751"/>
      <c r="JKW126" s="751"/>
      <c r="JKX126" s="751"/>
      <c r="JKY126" s="751"/>
      <c r="JKZ126" s="751"/>
      <c r="JLA126" s="751"/>
      <c r="JLB126" s="751"/>
      <c r="JLC126" s="751"/>
      <c r="JLD126" s="751"/>
      <c r="JLE126" s="751"/>
      <c r="JLF126" s="751"/>
      <c r="JLG126" s="751"/>
      <c r="JLH126" s="751"/>
      <c r="JLI126" s="751"/>
      <c r="JLJ126" s="751"/>
      <c r="JLK126" s="751"/>
      <c r="JLL126" s="751"/>
      <c r="JLM126" s="751"/>
      <c r="JLN126" s="751"/>
      <c r="JLO126" s="751"/>
      <c r="JLP126" s="751"/>
      <c r="JLQ126" s="751"/>
      <c r="JLR126" s="751"/>
      <c r="JLS126" s="751"/>
      <c r="JLT126" s="751"/>
      <c r="JLU126" s="751"/>
      <c r="JLV126" s="751"/>
      <c r="JLW126" s="751"/>
      <c r="JLX126" s="751"/>
      <c r="JLY126" s="751"/>
      <c r="JLZ126" s="751"/>
      <c r="JMA126" s="751"/>
      <c r="JMB126" s="751"/>
      <c r="JMC126" s="751"/>
      <c r="JMD126" s="751"/>
      <c r="JME126" s="751"/>
      <c r="JMF126" s="751"/>
      <c r="JMG126" s="751"/>
      <c r="JMH126" s="751"/>
      <c r="JMI126" s="751"/>
      <c r="JMJ126" s="751"/>
      <c r="JMK126" s="751"/>
      <c r="JML126" s="751"/>
      <c r="JMM126" s="751"/>
      <c r="JMN126" s="751"/>
      <c r="JMO126" s="751"/>
      <c r="JMP126" s="751"/>
      <c r="JMQ126" s="751"/>
      <c r="JMR126" s="751"/>
      <c r="JMS126" s="751"/>
      <c r="JMT126" s="751"/>
      <c r="JMU126" s="751"/>
      <c r="JMV126" s="751"/>
      <c r="JMW126" s="751"/>
      <c r="JMX126" s="751"/>
      <c r="JMY126" s="751"/>
      <c r="JMZ126" s="751"/>
      <c r="JNA126" s="751"/>
      <c r="JNB126" s="751"/>
      <c r="JNC126" s="751"/>
      <c r="JND126" s="751"/>
      <c r="JNE126" s="751"/>
      <c r="JNF126" s="751"/>
      <c r="JNG126" s="751"/>
      <c r="JNH126" s="751"/>
      <c r="JNI126" s="751"/>
      <c r="JNJ126" s="751"/>
      <c r="JNK126" s="751"/>
      <c r="JNL126" s="751"/>
      <c r="JNM126" s="751"/>
      <c r="JNN126" s="751"/>
      <c r="JNO126" s="751"/>
      <c r="JNP126" s="751"/>
      <c r="JNQ126" s="751"/>
      <c r="JNR126" s="751"/>
      <c r="JNS126" s="751"/>
      <c r="JNT126" s="751"/>
      <c r="JNU126" s="751"/>
      <c r="JNV126" s="751"/>
      <c r="JNW126" s="751"/>
      <c r="JNX126" s="751"/>
      <c r="JNY126" s="751"/>
      <c r="JNZ126" s="751"/>
      <c r="JOA126" s="751"/>
      <c r="JOB126" s="751"/>
      <c r="JOC126" s="751"/>
      <c r="JOD126" s="751"/>
      <c r="JOE126" s="751"/>
      <c r="JOF126" s="751"/>
      <c r="JOG126" s="751"/>
      <c r="JOH126" s="751"/>
      <c r="JOI126" s="751"/>
      <c r="JOJ126" s="751"/>
      <c r="JOK126" s="751"/>
      <c r="JOL126" s="751"/>
      <c r="JOM126" s="751"/>
      <c r="JON126" s="751"/>
      <c r="JOO126" s="751"/>
      <c r="JOP126" s="751"/>
      <c r="JOQ126" s="751"/>
      <c r="JOR126" s="751"/>
      <c r="JOS126" s="751"/>
      <c r="JOT126" s="751"/>
      <c r="JOU126" s="751"/>
      <c r="JOV126" s="751"/>
      <c r="JOW126" s="751"/>
      <c r="JOX126" s="751"/>
      <c r="JOY126" s="751"/>
      <c r="JOZ126" s="751"/>
      <c r="JPA126" s="751"/>
      <c r="JPB126" s="751"/>
      <c r="JPC126" s="751"/>
      <c r="JPD126" s="751"/>
      <c r="JPE126" s="751"/>
      <c r="JPF126" s="751"/>
      <c r="JPG126" s="751"/>
      <c r="JPH126" s="751"/>
      <c r="JPI126" s="751"/>
      <c r="JPJ126" s="751"/>
      <c r="JPK126" s="751"/>
      <c r="JPL126" s="751"/>
      <c r="JPM126" s="751"/>
      <c r="JPN126" s="751"/>
      <c r="JPO126" s="751"/>
      <c r="JPP126" s="751"/>
      <c r="JPQ126" s="751"/>
      <c r="JPR126" s="751"/>
      <c r="JPS126" s="751"/>
      <c r="JPT126" s="751"/>
      <c r="JPU126" s="751"/>
      <c r="JPV126" s="751"/>
      <c r="JPW126" s="751"/>
      <c r="JPX126" s="751"/>
      <c r="JPY126" s="751"/>
      <c r="JPZ126" s="751"/>
      <c r="JQA126" s="751"/>
      <c r="JQB126" s="751"/>
      <c r="JQC126" s="751"/>
      <c r="JQD126" s="751"/>
      <c r="JQE126" s="751"/>
      <c r="JQF126" s="751"/>
      <c r="JQG126" s="751"/>
      <c r="JQH126" s="751"/>
      <c r="JQI126" s="751"/>
      <c r="JQJ126" s="751"/>
      <c r="JQK126" s="751"/>
      <c r="JQL126" s="751"/>
      <c r="JQM126" s="751"/>
      <c r="JQN126" s="751"/>
      <c r="JQO126" s="751"/>
      <c r="JQP126" s="751"/>
      <c r="JQQ126" s="751"/>
      <c r="JQR126" s="751"/>
      <c r="JQS126" s="751"/>
      <c r="JQT126" s="751"/>
      <c r="JQU126" s="751"/>
      <c r="JQV126" s="751"/>
      <c r="JQW126" s="751"/>
      <c r="JQX126" s="751"/>
      <c r="JQY126" s="751"/>
      <c r="JQZ126" s="751"/>
      <c r="JRA126" s="751"/>
      <c r="JRB126" s="751"/>
      <c r="JRC126" s="751"/>
      <c r="JRD126" s="751"/>
      <c r="JRE126" s="751"/>
      <c r="JRF126" s="751"/>
      <c r="JRG126" s="751"/>
      <c r="JRH126" s="751"/>
      <c r="JRI126" s="751"/>
      <c r="JRJ126" s="751"/>
      <c r="JRK126" s="751"/>
      <c r="JRL126" s="751"/>
      <c r="JRM126" s="751"/>
      <c r="JRN126" s="751"/>
      <c r="JRO126" s="751"/>
      <c r="JRP126" s="751"/>
      <c r="JRQ126" s="751"/>
      <c r="JRR126" s="751"/>
      <c r="JRS126" s="751"/>
      <c r="JRT126" s="751"/>
      <c r="JRU126" s="751"/>
      <c r="JRV126" s="751"/>
      <c r="JRW126" s="751"/>
      <c r="JRX126" s="751"/>
      <c r="JRY126" s="751"/>
      <c r="JRZ126" s="751"/>
      <c r="JSA126" s="751"/>
      <c r="JSB126" s="751"/>
      <c r="JSC126" s="751"/>
      <c r="JSD126" s="751"/>
      <c r="JSE126" s="751"/>
      <c r="JSF126" s="751"/>
      <c r="JSG126" s="751"/>
      <c r="JSH126" s="751"/>
      <c r="JSI126" s="751"/>
      <c r="JSJ126" s="751"/>
      <c r="JSK126" s="751"/>
      <c r="JSL126" s="751"/>
      <c r="JSM126" s="751"/>
      <c r="JSN126" s="751"/>
      <c r="JSO126" s="751"/>
      <c r="JSP126" s="751"/>
      <c r="JSQ126" s="751"/>
      <c r="JSR126" s="751"/>
      <c r="JSS126" s="751"/>
      <c r="JST126" s="751"/>
      <c r="JSU126" s="751"/>
      <c r="JSV126" s="751"/>
      <c r="JSW126" s="751"/>
      <c r="JSX126" s="751"/>
      <c r="JSY126" s="751"/>
      <c r="JSZ126" s="751"/>
      <c r="JTA126" s="751"/>
      <c r="JTB126" s="751"/>
      <c r="JTC126" s="751"/>
      <c r="JTD126" s="751"/>
      <c r="JTE126" s="751"/>
      <c r="JTF126" s="751"/>
      <c r="JTG126" s="751"/>
      <c r="JTH126" s="751"/>
      <c r="JTI126" s="751"/>
      <c r="JTJ126" s="751"/>
      <c r="JTK126" s="751"/>
      <c r="JTL126" s="751"/>
      <c r="JTM126" s="751"/>
      <c r="JTN126" s="751"/>
      <c r="JTO126" s="751"/>
      <c r="JTP126" s="751"/>
      <c r="JTQ126" s="751"/>
      <c r="JTR126" s="751"/>
      <c r="JTS126" s="751"/>
      <c r="JTT126" s="751"/>
      <c r="JTU126" s="751"/>
      <c r="JTV126" s="751"/>
      <c r="JTW126" s="751"/>
      <c r="JTX126" s="751"/>
      <c r="JTY126" s="751"/>
      <c r="JTZ126" s="751"/>
      <c r="JUA126" s="751"/>
      <c r="JUB126" s="751"/>
      <c r="JUC126" s="751"/>
      <c r="JUD126" s="751"/>
      <c r="JUE126" s="751"/>
      <c r="JUF126" s="751"/>
      <c r="JUG126" s="751"/>
      <c r="JUH126" s="751"/>
      <c r="JUI126" s="751"/>
      <c r="JUJ126" s="751"/>
      <c r="JUK126" s="751"/>
      <c r="JUL126" s="751"/>
      <c r="JUM126" s="751"/>
      <c r="JUN126" s="751"/>
      <c r="JUO126" s="751"/>
      <c r="JUP126" s="751"/>
      <c r="JUQ126" s="751"/>
      <c r="JUR126" s="751"/>
      <c r="JUS126" s="751"/>
      <c r="JUT126" s="751"/>
      <c r="JUU126" s="751"/>
      <c r="JUV126" s="751"/>
      <c r="JUW126" s="751"/>
      <c r="JUX126" s="751"/>
      <c r="JUY126" s="751"/>
      <c r="JUZ126" s="751"/>
      <c r="JVA126" s="751"/>
      <c r="JVB126" s="751"/>
      <c r="JVC126" s="751"/>
      <c r="JVD126" s="751"/>
      <c r="JVE126" s="751"/>
      <c r="JVF126" s="751"/>
      <c r="JVG126" s="751"/>
      <c r="JVH126" s="751"/>
      <c r="JVI126" s="751"/>
      <c r="JVJ126" s="751"/>
      <c r="JVK126" s="751"/>
      <c r="JVL126" s="751"/>
      <c r="JVM126" s="751"/>
      <c r="JVN126" s="751"/>
      <c r="JVO126" s="751"/>
      <c r="JVP126" s="751"/>
      <c r="JVQ126" s="751"/>
      <c r="JVR126" s="751"/>
      <c r="JVS126" s="751"/>
      <c r="JVT126" s="751"/>
      <c r="JVU126" s="751"/>
      <c r="JVV126" s="751"/>
      <c r="JVW126" s="751"/>
      <c r="JVX126" s="751"/>
      <c r="JVY126" s="751"/>
      <c r="JVZ126" s="751"/>
      <c r="JWA126" s="751"/>
      <c r="JWB126" s="751"/>
      <c r="JWC126" s="751"/>
      <c r="JWD126" s="751"/>
      <c r="JWE126" s="751"/>
      <c r="JWF126" s="751"/>
      <c r="JWG126" s="751"/>
      <c r="JWH126" s="751"/>
      <c r="JWI126" s="751"/>
      <c r="JWJ126" s="751"/>
      <c r="JWK126" s="751"/>
      <c r="JWL126" s="751"/>
      <c r="JWM126" s="751"/>
      <c r="JWN126" s="751"/>
      <c r="JWO126" s="751"/>
      <c r="JWP126" s="751"/>
      <c r="JWQ126" s="751"/>
      <c r="JWR126" s="751"/>
      <c r="JWS126" s="751"/>
      <c r="JWT126" s="751"/>
      <c r="JWU126" s="751"/>
      <c r="JWV126" s="751"/>
      <c r="JWW126" s="751"/>
      <c r="JWX126" s="751"/>
      <c r="JWY126" s="751"/>
      <c r="JWZ126" s="751"/>
      <c r="JXA126" s="751"/>
      <c r="JXB126" s="751"/>
      <c r="JXC126" s="751"/>
      <c r="JXD126" s="751"/>
      <c r="JXE126" s="751"/>
      <c r="JXF126" s="751"/>
      <c r="JXG126" s="751"/>
      <c r="JXH126" s="751"/>
      <c r="JXI126" s="751"/>
      <c r="JXJ126" s="751"/>
      <c r="JXK126" s="751"/>
      <c r="JXL126" s="751"/>
      <c r="JXM126" s="751"/>
      <c r="JXN126" s="751"/>
      <c r="JXO126" s="751"/>
      <c r="JXP126" s="751"/>
      <c r="JXQ126" s="751"/>
      <c r="JXR126" s="751"/>
      <c r="JXS126" s="751"/>
      <c r="JXT126" s="751"/>
      <c r="JXU126" s="751"/>
      <c r="JXV126" s="751"/>
      <c r="JXW126" s="751"/>
      <c r="JXX126" s="751"/>
      <c r="JXY126" s="751"/>
      <c r="JXZ126" s="751"/>
      <c r="JYA126" s="751"/>
      <c r="JYB126" s="751"/>
      <c r="JYC126" s="751"/>
      <c r="JYD126" s="751"/>
      <c r="JYE126" s="751"/>
      <c r="JYF126" s="751"/>
      <c r="JYG126" s="751"/>
      <c r="JYH126" s="751"/>
      <c r="JYI126" s="751"/>
      <c r="JYJ126" s="751"/>
      <c r="JYK126" s="751"/>
      <c r="JYL126" s="751"/>
      <c r="JYM126" s="751"/>
      <c r="JYN126" s="751"/>
      <c r="JYO126" s="751"/>
      <c r="JYP126" s="751"/>
      <c r="JYQ126" s="751"/>
      <c r="JYR126" s="751"/>
      <c r="JYS126" s="751"/>
      <c r="JYT126" s="751"/>
      <c r="JYU126" s="751"/>
      <c r="JYV126" s="751"/>
      <c r="JYW126" s="751"/>
      <c r="JYX126" s="751"/>
      <c r="JYY126" s="751"/>
      <c r="JYZ126" s="751"/>
      <c r="JZA126" s="751"/>
      <c r="JZB126" s="751"/>
      <c r="JZC126" s="751"/>
      <c r="JZD126" s="751"/>
      <c r="JZE126" s="751"/>
      <c r="JZF126" s="751"/>
      <c r="JZG126" s="751"/>
      <c r="JZH126" s="751"/>
      <c r="JZI126" s="751"/>
      <c r="JZJ126" s="751"/>
      <c r="JZK126" s="751"/>
      <c r="JZL126" s="751"/>
      <c r="JZM126" s="751"/>
      <c r="JZN126" s="751"/>
      <c r="JZO126" s="751"/>
      <c r="JZP126" s="751"/>
      <c r="JZQ126" s="751"/>
      <c r="JZR126" s="751"/>
      <c r="JZS126" s="751"/>
      <c r="JZT126" s="751"/>
      <c r="JZU126" s="751"/>
      <c r="JZV126" s="751"/>
      <c r="JZW126" s="751"/>
      <c r="JZX126" s="751"/>
      <c r="JZY126" s="751"/>
      <c r="JZZ126" s="751"/>
      <c r="KAA126" s="751"/>
      <c r="KAB126" s="751"/>
      <c r="KAC126" s="751"/>
      <c r="KAD126" s="751"/>
      <c r="KAE126" s="751"/>
      <c r="KAF126" s="751"/>
      <c r="KAG126" s="751"/>
      <c r="KAH126" s="751"/>
      <c r="KAI126" s="751"/>
      <c r="KAJ126" s="751"/>
      <c r="KAK126" s="751"/>
      <c r="KAL126" s="751"/>
      <c r="KAM126" s="751"/>
      <c r="KAN126" s="751"/>
      <c r="KAO126" s="751"/>
      <c r="KAP126" s="751"/>
      <c r="KAQ126" s="751"/>
      <c r="KAR126" s="751"/>
      <c r="KAS126" s="751"/>
      <c r="KAT126" s="751"/>
      <c r="KAU126" s="751"/>
      <c r="KAV126" s="751"/>
      <c r="KAW126" s="751"/>
      <c r="KAX126" s="751"/>
      <c r="KAY126" s="751"/>
      <c r="KAZ126" s="751"/>
      <c r="KBA126" s="751"/>
      <c r="KBB126" s="751"/>
      <c r="KBC126" s="751"/>
      <c r="KBD126" s="751"/>
      <c r="KBE126" s="751"/>
      <c r="KBF126" s="751"/>
      <c r="KBG126" s="751"/>
      <c r="KBH126" s="751"/>
      <c r="KBI126" s="751"/>
      <c r="KBJ126" s="751"/>
      <c r="KBK126" s="751"/>
      <c r="KBL126" s="751"/>
      <c r="KBM126" s="751"/>
      <c r="KBN126" s="751"/>
      <c r="KBO126" s="751"/>
      <c r="KBP126" s="751"/>
      <c r="KBQ126" s="751"/>
      <c r="KBR126" s="751"/>
      <c r="KBS126" s="751"/>
      <c r="KBT126" s="751"/>
      <c r="KBU126" s="751"/>
      <c r="KBV126" s="751"/>
      <c r="KBW126" s="751"/>
      <c r="KBX126" s="751"/>
      <c r="KBY126" s="751"/>
      <c r="KBZ126" s="751"/>
      <c r="KCA126" s="751"/>
      <c r="KCB126" s="751"/>
      <c r="KCC126" s="751"/>
      <c r="KCD126" s="751"/>
      <c r="KCE126" s="751"/>
      <c r="KCF126" s="751"/>
      <c r="KCG126" s="751"/>
      <c r="KCH126" s="751"/>
      <c r="KCI126" s="751"/>
      <c r="KCJ126" s="751"/>
      <c r="KCK126" s="751"/>
      <c r="KCL126" s="751"/>
      <c r="KCM126" s="751"/>
      <c r="KCN126" s="751"/>
      <c r="KCO126" s="751"/>
      <c r="KCP126" s="751"/>
      <c r="KCQ126" s="751"/>
      <c r="KCR126" s="751"/>
      <c r="KCS126" s="751"/>
      <c r="KCT126" s="751"/>
      <c r="KCU126" s="751"/>
      <c r="KCV126" s="751"/>
      <c r="KCW126" s="751"/>
      <c r="KCX126" s="751"/>
      <c r="KCY126" s="751"/>
      <c r="KCZ126" s="751"/>
      <c r="KDA126" s="751"/>
      <c r="KDB126" s="751"/>
      <c r="KDC126" s="751"/>
      <c r="KDD126" s="751"/>
      <c r="KDE126" s="751"/>
      <c r="KDF126" s="751"/>
      <c r="KDG126" s="751"/>
      <c r="KDH126" s="751"/>
      <c r="KDI126" s="751"/>
      <c r="KDJ126" s="751"/>
      <c r="KDK126" s="751"/>
      <c r="KDL126" s="751"/>
      <c r="KDM126" s="751"/>
      <c r="KDN126" s="751"/>
      <c r="KDO126" s="751"/>
      <c r="KDP126" s="751"/>
      <c r="KDQ126" s="751"/>
      <c r="KDR126" s="751"/>
      <c r="KDS126" s="751"/>
      <c r="KDT126" s="751"/>
      <c r="KDU126" s="751"/>
      <c r="KDV126" s="751"/>
      <c r="KDW126" s="751"/>
      <c r="KDX126" s="751"/>
      <c r="KDY126" s="751"/>
      <c r="KDZ126" s="751"/>
      <c r="KEA126" s="751"/>
      <c r="KEB126" s="751"/>
      <c r="KEC126" s="751"/>
      <c r="KED126" s="751"/>
      <c r="KEE126" s="751"/>
      <c r="KEF126" s="751"/>
      <c r="KEG126" s="751"/>
      <c r="KEH126" s="751"/>
      <c r="KEI126" s="751"/>
      <c r="KEJ126" s="751"/>
      <c r="KEK126" s="751"/>
      <c r="KEL126" s="751"/>
      <c r="KEM126" s="751"/>
      <c r="KEN126" s="751"/>
      <c r="KEO126" s="751"/>
      <c r="KEP126" s="751"/>
      <c r="KEQ126" s="751"/>
      <c r="KER126" s="751"/>
      <c r="KES126" s="751"/>
      <c r="KET126" s="751"/>
      <c r="KEU126" s="751"/>
      <c r="KEV126" s="751"/>
      <c r="KEW126" s="751"/>
      <c r="KEX126" s="751"/>
      <c r="KEY126" s="751"/>
      <c r="KEZ126" s="751"/>
      <c r="KFA126" s="751"/>
      <c r="KFB126" s="751"/>
      <c r="KFC126" s="751"/>
      <c r="KFD126" s="751"/>
      <c r="KFE126" s="751"/>
      <c r="KFF126" s="751"/>
      <c r="KFG126" s="751"/>
      <c r="KFH126" s="751"/>
      <c r="KFI126" s="751"/>
      <c r="KFJ126" s="751"/>
      <c r="KFK126" s="751"/>
      <c r="KFL126" s="751"/>
      <c r="KFM126" s="751"/>
      <c r="KFN126" s="751"/>
      <c r="KFO126" s="751"/>
      <c r="KFP126" s="751"/>
      <c r="KFQ126" s="751"/>
      <c r="KFR126" s="751"/>
      <c r="KFS126" s="751"/>
      <c r="KFT126" s="751"/>
      <c r="KFU126" s="751"/>
      <c r="KFV126" s="751"/>
      <c r="KFW126" s="751"/>
      <c r="KFX126" s="751"/>
      <c r="KFY126" s="751"/>
      <c r="KFZ126" s="751"/>
      <c r="KGA126" s="751"/>
      <c r="KGB126" s="751"/>
      <c r="KGC126" s="751"/>
      <c r="KGD126" s="751"/>
      <c r="KGE126" s="751"/>
      <c r="KGF126" s="751"/>
      <c r="KGG126" s="751"/>
      <c r="KGH126" s="751"/>
      <c r="KGI126" s="751"/>
      <c r="KGJ126" s="751"/>
      <c r="KGK126" s="751"/>
      <c r="KGL126" s="751"/>
      <c r="KGM126" s="751"/>
      <c r="KGN126" s="751"/>
      <c r="KGO126" s="751"/>
      <c r="KGP126" s="751"/>
      <c r="KGQ126" s="751"/>
      <c r="KGR126" s="751"/>
      <c r="KGS126" s="751"/>
      <c r="KGT126" s="751"/>
      <c r="KGU126" s="751"/>
      <c r="KGV126" s="751"/>
      <c r="KGW126" s="751"/>
      <c r="KGX126" s="751"/>
      <c r="KGY126" s="751"/>
      <c r="KGZ126" s="751"/>
      <c r="KHA126" s="751"/>
      <c r="KHB126" s="751"/>
      <c r="KHC126" s="751"/>
      <c r="KHD126" s="751"/>
      <c r="KHE126" s="751"/>
      <c r="KHF126" s="751"/>
      <c r="KHG126" s="751"/>
      <c r="KHH126" s="751"/>
      <c r="KHI126" s="751"/>
      <c r="KHJ126" s="751"/>
      <c r="KHK126" s="751"/>
      <c r="KHL126" s="751"/>
      <c r="KHM126" s="751"/>
      <c r="KHN126" s="751"/>
      <c r="KHO126" s="751"/>
      <c r="KHP126" s="751"/>
      <c r="KHQ126" s="751"/>
      <c r="KHR126" s="751"/>
      <c r="KHS126" s="751"/>
      <c r="KHT126" s="751"/>
      <c r="KHU126" s="751"/>
      <c r="KHV126" s="751"/>
      <c r="KHW126" s="751"/>
      <c r="KHX126" s="751"/>
      <c r="KHY126" s="751"/>
      <c r="KHZ126" s="751"/>
      <c r="KIA126" s="751"/>
      <c r="KIB126" s="751"/>
      <c r="KIC126" s="751"/>
      <c r="KID126" s="751"/>
      <c r="KIE126" s="751"/>
      <c r="KIF126" s="751"/>
      <c r="KIG126" s="751"/>
      <c r="KIH126" s="751"/>
      <c r="KII126" s="751"/>
      <c r="KIJ126" s="751"/>
      <c r="KIK126" s="751"/>
      <c r="KIL126" s="751"/>
      <c r="KIM126" s="751"/>
      <c r="KIN126" s="751"/>
      <c r="KIO126" s="751"/>
      <c r="KIP126" s="751"/>
      <c r="KIQ126" s="751"/>
      <c r="KIR126" s="751"/>
      <c r="KIS126" s="751"/>
      <c r="KIT126" s="751"/>
      <c r="KIU126" s="751"/>
      <c r="KIV126" s="751"/>
      <c r="KIW126" s="751"/>
      <c r="KIX126" s="751"/>
      <c r="KIY126" s="751"/>
      <c r="KIZ126" s="751"/>
      <c r="KJA126" s="751"/>
      <c r="KJB126" s="751"/>
      <c r="KJC126" s="751"/>
      <c r="KJD126" s="751"/>
      <c r="KJE126" s="751"/>
      <c r="KJF126" s="751"/>
      <c r="KJG126" s="751"/>
      <c r="KJH126" s="751"/>
      <c r="KJI126" s="751"/>
      <c r="KJJ126" s="751"/>
      <c r="KJK126" s="751"/>
      <c r="KJL126" s="751"/>
      <c r="KJM126" s="751"/>
      <c r="KJN126" s="751"/>
      <c r="KJO126" s="751"/>
      <c r="KJP126" s="751"/>
      <c r="KJQ126" s="751"/>
      <c r="KJR126" s="751"/>
      <c r="KJS126" s="751"/>
      <c r="KJT126" s="751"/>
      <c r="KJU126" s="751"/>
      <c r="KJV126" s="751"/>
      <c r="KJW126" s="751"/>
      <c r="KJX126" s="751"/>
      <c r="KJY126" s="751"/>
      <c r="KJZ126" s="751"/>
      <c r="KKA126" s="751"/>
      <c r="KKB126" s="751"/>
      <c r="KKC126" s="751"/>
      <c r="KKD126" s="751"/>
      <c r="KKE126" s="751"/>
      <c r="KKF126" s="751"/>
      <c r="KKG126" s="751"/>
      <c r="KKH126" s="751"/>
      <c r="KKI126" s="751"/>
      <c r="KKJ126" s="751"/>
      <c r="KKK126" s="751"/>
      <c r="KKL126" s="751"/>
      <c r="KKM126" s="751"/>
      <c r="KKN126" s="751"/>
      <c r="KKO126" s="751"/>
      <c r="KKP126" s="751"/>
      <c r="KKQ126" s="751"/>
      <c r="KKR126" s="751"/>
      <c r="KKS126" s="751"/>
      <c r="KKT126" s="751"/>
      <c r="KKU126" s="751"/>
      <c r="KKV126" s="751"/>
      <c r="KKW126" s="751"/>
      <c r="KKX126" s="751"/>
      <c r="KKY126" s="751"/>
      <c r="KKZ126" s="751"/>
      <c r="KLA126" s="751"/>
      <c r="KLB126" s="751"/>
      <c r="KLC126" s="751"/>
      <c r="KLD126" s="751"/>
      <c r="KLE126" s="751"/>
      <c r="KLF126" s="751"/>
      <c r="KLG126" s="751"/>
      <c r="KLH126" s="751"/>
      <c r="KLI126" s="751"/>
      <c r="KLJ126" s="751"/>
      <c r="KLK126" s="751"/>
      <c r="KLL126" s="751"/>
      <c r="KLM126" s="751"/>
      <c r="KLN126" s="751"/>
      <c r="KLO126" s="751"/>
      <c r="KLP126" s="751"/>
      <c r="KLQ126" s="751"/>
      <c r="KLR126" s="751"/>
      <c r="KLS126" s="751"/>
      <c r="KLT126" s="751"/>
      <c r="KLU126" s="751"/>
      <c r="KLV126" s="751"/>
      <c r="KLW126" s="751"/>
      <c r="KLX126" s="751"/>
      <c r="KLY126" s="751"/>
      <c r="KLZ126" s="751"/>
      <c r="KMA126" s="751"/>
      <c r="KMB126" s="751"/>
      <c r="KMC126" s="751"/>
      <c r="KMD126" s="751"/>
      <c r="KME126" s="751"/>
      <c r="KMF126" s="751"/>
      <c r="KMG126" s="751"/>
      <c r="KMH126" s="751"/>
      <c r="KMI126" s="751"/>
      <c r="KMJ126" s="751"/>
      <c r="KMK126" s="751"/>
      <c r="KML126" s="751"/>
      <c r="KMM126" s="751"/>
      <c r="KMN126" s="751"/>
      <c r="KMO126" s="751"/>
      <c r="KMP126" s="751"/>
      <c r="KMQ126" s="751"/>
      <c r="KMR126" s="751"/>
      <c r="KMS126" s="751"/>
      <c r="KMT126" s="751"/>
      <c r="KMU126" s="751"/>
      <c r="KMV126" s="751"/>
      <c r="KMW126" s="751"/>
      <c r="KMX126" s="751"/>
      <c r="KMY126" s="751"/>
      <c r="KMZ126" s="751"/>
      <c r="KNA126" s="751"/>
      <c r="KNB126" s="751"/>
      <c r="KNC126" s="751"/>
      <c r="KND126" s="751"/>
      <c r="KNE126" s="751"/>
      <c r="KNF126" s="751"/>
      <c r="KNG126" s="751"/>
      <c r="KNH126" s="751"/>
      <c r="KNI126" s="751"/>
      <c r="KNJ126" s="751"/>
      <c r="KNK126" s="751"/>
      <c r="KNL126" s="751"/>
      <c r="KNM126" s="751"/>
      <c r="KNN126" s="751"/>
      <c r="KNO126" s="751"/>
      <c r="KNP126" s="751"/>
      <c r="KNQ126" s="751"/>
      <c r="KNR126" s="751"/>
      <c r="KNS126" s="751"/>
      <c r="KNT126" s="751"/>
      <c r="KNU126" s="751"/>
      <c r="KNV126" s="751"/>
      <c r="KNW126" s="751"/>
      <c r="KNX126" s="751"/>
      <c r="KNY126" s="751"/>
      <c r="KNZ126" s="751"/>
      <c r="KOA126" s="751"/>
      <c r="KOB126" s="751"/>
      <c r="KOC126" s="751"/>
      <c r="KOD126" s="751"/>
      <c r="KOE126" s="751"/>
      <c r="KOF126" s="751"/>
      <c r="KOG126" s="751"/>
      <c r="KOH126" s="751"/>
      <c r="KOI126" s="751"/>
      <c r="KOJ126" s="751"/>
      <c r="KOK126" s="751"/>
      <c r="KOL126" s="751"/>
      <c r="KOM126" s="751"/>
      <c r="KON126" s="751"/>
      <c r="KOO126" s="751"/>
      <c r="KOP126" s="751"/>
      <c r="KOQ126" s="751"/>
      <c r="KOR126" s="751"/>
      <c r="KOS126" s="751"/>
      <c r="KOT126" s="751"/>
      <c r="KOU126" s="751"/>
      <c r="KOV126" s="751"/>
      <c r="KOW126" s="751"/>
      <c r="KOX126" s="751"/>
      <c r="KOY126" s="751"/>
      <c r="KOZ126" s="751"/>
      <c r="KPA126" s="751"/>
      <c r="KPB126" s="751"/>
      <c r="KPC126" s="751"/>
      <c r="KPD126" s="751"/>
      <c r="KPE126" s="751"/>
      <c r="KPF126" s="751"/>
      <c r="KPG126" s="751"/>
      <c r="KPH126" s="751"/>
      <c r="KPI126" s="751"/>
      <c r="KPJ126" s="751"/>
      <c r="KPK126" s="751"/>
      <c r="KPL126" s="751"/>
      <c r="KPM126" s="751"/>
      <c r="KPN126" s="751"/>
      <c r="KPO126" s="751"/>
      <c r="KPP126" s="751"/>
      <c r="KPQ126" s="751"/>
      <c r="KPR126" s="751"/>
      <c r="KPS126" s="751"/>
      <c r="KPT126" s="751"/>
      <c r="KPU126" s="751"/>
      <c r="KPV126" s="751"/>
      <c r="KPW126" s="751"/>
      <c r="KPX126" s="751"/>
      <c r="KPY126" s="751"/>
      <c r="KPZ126" s="751"/>
      <c r="KQA126" s="751"/>
      <c r="KQB126" s="751"/>
      <c r="KQC126" s="751"/>
      <c r="KQD126" s="751"/>
      <c r="KQE126" s="751"/>
      <c r="KQF126" s="751"/>
      <c r="KQG126" s="751"/>
      <c r="KQH126" s="751"/>
      <c r="KQI126" s="751"/>
      <c r="KQJ126" s="751"/>
      <c r="KQK126" s="751"/>
      <c r="KQL126" s="751"/>
      <c r="KQM126" s="751"/>
      <c r="KQN126" s="751"/>
      <c r="KQO126" s="751"/>
      <c r="KQP126" s="751"/>
      <c r="KQQ126" s="751"/>
      <c r="KQR126" s="751"/>
      <c r="KQS126" s="751"/>
      <c r="KQT126" s="751"/>
      <c r="KQU126" s="751"/>
      <c r="KQV126" s="751"/>
      <c r="KQW126" s="751"/>
      <c r="KQX126" s="751"/>
      <c r="KQY126" s="751"/>
      <c r="KQZ126" s="751"/>
      <c r="KRA126" s="751"/>
      <c r="KRB126" s="751"/>
      <c r="KRC126" s="751"/>
      <c r="KRD126" s="751"/>
      <c r="KRE126" s="751"/>
      <c r="KRF126" s="751"/>
      <c r="KRG126" s="751"/>
      <c r="KRH126" s="751"/>
      <c r="KRI126" s="751"/>
      <c r="KRJ126" s="751"/>
      <c r="KRK126" s="751"/>
      <c r="KRL126" s="751"/>
      <c r="KRM126" s="751"/>
      <c r="KRN126" s="751"/>
      <c r="KRO126" s="751"/>
      <c r="KRP126" s="751"/>
      <c r="KRQ126" s="751"/>
      <c r="KRR126" s="751"/>
      <c r="KRS126" s="751"/>
      <c r="KRT126" s="751"/>
      <c r="KRU126" s="751"/>
      <c r="KRV126" s="751"/>
      <c r="KRW126" s="751"/>
      <c r="KRX126" s="751"/>
      <c r="KRY126" s="751"/>
      <c r="KRZ126" s="751"/>
      <c r="KSA126" s="751"/>
      <c r="KSB126" s="751"/>
      <c r="KSC126" s="751"/>
      <c r="KSD126" s="751"/>
      <c r="KSE126" s="751"/>
      <c r="KSF126" s="751"/>
      <c r="KSG126" s="751"/>
      <c r="KSH126" s="751"/>
      <c r="KSI126" s="751"/>
      <c r="KSJ126" s="751"/>
      <c r="KSK126" s="751"/>
      <c r="KSL126" s="751"/>
      <c r="KSM126" s="751"/>
      <c r="KSN126" s="751"/>
      <c r="KSO126" s="751"/>
      <c r="KSP126" s="751"/>
      <c r="KSQ126" s="751"/>
      <c r="KSR126" s="751"/>
      <c r="KSS126" s="751"/>
      <c r="KST126" s="751"/>
      <c r="KSU126" s="751"/>
      <c r="KSV126" s="751"/>
      <c r="KSW126" s="751"/>
      <c r="KSX126" s="751"/>
      <c r="KSY126" s="751"/>
      <c r="KSZ126" s="751"/>
      <c r="KTA126" s="751"/>
      <c r="KTB126" s="751"/>
      <c r="KTC126" s="751"/>
      <c r="KTD126" s="751"/>
      <c r="KTE126" s="751"/>
      <c r="KTF126" s="751"/>
      <c r="KTG126" s="751"/>
      <c r="KTH126" s="751"/>
      <c r="KTI126" s="751"/>
      <c r="KTJ126" s="751"/>
      <c r="KTK126" s="751"/>
      <c r="KTL126" s="751"/>
      <c r="KTM126" s="751"/>
      <c r="KTN126" s="751"/>
      <c r="KTO126" s="751"/>
      <c r="KTP126" s="751"/>
      <c r="KTQ126" s="751"/>
      <c r="KTR126" s="751"/>
      <c r="KTS126" s="751"/>
      <c r="KTT126" s="751"/>
      <c r="KTU126" s="751"/>
      <c r="KTV126" s="751"/>
      <c r="KTW126" s="751"/>
      <c r="KTX126" s="751"/>
      <c r="KTY126" s="751"/>
      <c r="KTZ126" s="751"/>
      <c r="KUA126" s="751"/>
      <c r="KUB126" s="751"/>
      <c r="KUC126" s="751"/>
      <c r="KUD126" s="751"/>
      <c r="KUE126" s="751"/>
      <c r="KUF126" s="751"/>
      <c r="KUG126" s="751"/>
      <c r="KUH126" s="751"/>
      <c r="KUI126" s="751"/>
      <c r="KUJ126" s="751"/>
      <c r="KUK126" s="751"/>
      <c r="KUL126" s="751"/>
      <c r="KUM126" s="751"/>
      <c r="KUN126" s="751"/>
      <c r="KUO126" s="751"/>
      <c r="KUP126" s="751"/>
      <c r="KUQ126" s="751"/>
      <c r="KUR126" s="751"/>
      <c r="KUS126" s="751"/>
      <c r="KUT126" s="751"/>
      <c r="KUU126" s="751"/>
      <c r="KUV126" s="751"/>
      <c r="KUW126" s="751"/>
      <c r="KUX126" s="751"/>
      <c r="KUY126" s="751"/>
      <c r="KUZ126" s="751"/>
      <c r="KVA126" s="751"/>
      <c r="KVB126" s="751"/>
      <c r="KVC126" s="751"/>
      <c r="KVD126" s="751"/>
      <c r="KVE126" s="751"/>
      <c r="KVF126" s="751"/>
      <c r="KVG126" s="751"/>
      <c r="KVH126" s="751"/>
      <c r="KVI126" s="751"/>
      <c r="KVJ126" s="751"/>
      <c r="KVK126" s="751"/>
      <c r="KVL126" s="751"/>
      <c r="KVM126" s="751"/>
      <c r="KVN126" s="751"/>
      <c r="KVO126" s="751"/>
      <c r="KVP126" s="751"/>
      <c r="KVQ126" s="751"/>
      <c r="KVR126" s="751"/>
      <c r="KVS126" s="751"/>
      <c r="KVT126" s="751"/>
      <c r="KVU126" s="751"/>
      <c r="KVV126" s="751"/>
      <c r="KVW126" s="751"/>
      <c r="KVX126" s="751"/>
      <c r="KVY126" s="751"/>
      <c r="KVZ126" s="751"/>
      <c r="KWA126" s="751"/>
      <c r="KWB126" s="751"/>
      <c r="KWC126" s="751"/>
      <c r="KWD126" s="751"/>
      <c r="KWE126" s="751"/>
      <c r="KWF126" s="751"/>
      <c r="KWG126" s="751"/>
      <c r="KWH126" s="751"/>
      <c r="KWI126" s="751"/>
      <c r="KWJ126" s="751"/>
      <c r="KWK126" s="751"/>
      <c r="KWL126" s="751"/>
      <c r="KWM126" s="751"/>
      <c r="KWN126" s="751"/>
      <c r="KWO126" s="751"/>
      <c r="KWP126" s="751"/>
      <c r="KWQ126" s="751"/>
      <c r="KWR126" s="751"/>
      <c r="KWS126" s="751"/>
      <c r="KWT126" s="751"/>
      <c r="KWU126" s="751"/>
      <c r="KWV126" s="751"/>
      <c r="KWW126" s="751"/>
      <c r="KWX126" s="751"/>
      <c r="KWY126" s="751"/>
      <c r="KWZ126" s="751"/>
      <c r="KXA126" s="751"/>
      <c r="KXB126" s="751"/>
      <c r="KXC126" s="751"/>
      <c r="KXD126" s="751"/>
      <c r="KXE126" s="751"/>
      <c r="KXF126" s="751"/>
      <c r="KXG126" s="751"/>
      <c r="KXH126" s="751"/>
      <c r="KXI126" s="751"/>
      <c r="KXJ126" s="751"/>
      <c r="KXK126" s="751"/>
      <c r="KXL126" s="751"/>
      <c r="KXM126" s="751"/>
      <c r="KXN126" s="751"/>
      <c r="KXO126" s="751"/>
      <c r="KXP126" s="751"/>
      <c r="KXQ126" s="751"/>
      <c r="KXR126" s="751"/>
      <c r="KXS126" s="751"/>
      <c r="KXT126" s="751"/>
      <c r="KXU126" s="751"/>
      <c r="KXV126" s="751"/>
      <c r="KXW126" s="751"/>
      <c r="KXX126" s="751"/>
      <c r="KXY126" s="751"/>
      <c r="KXZ126" s="751"/>
      <c r="KYA126" s="751"/>
      <c r="KYB126" s="751"/>
      <c r="KYC126" s="751"/>
      <c r="KYD126" s="751"/>
      <c r="KYE126" s="751"/>
      <c r="KYF126" s="751"/>
      <c r="KYG126" s="751"/>
      <c r="KYH126" s="751"/>
      <c r="KYI126" s="751"/>
      <c r="KYJ126" s="751"/>
      <c r="KYK126" s="751"/>
      <c r="KYL126" s="751"/>
      <c r="KYM126" s="751"/>
      <c r="KYN126" s="751"/>
      <c r="KYO126" s="751"/>
      <c r="KYP126" s="751"/>
      <c r="KYQ126" s="751"/>
      <c r="KYR126" s="751"/>
      <c r="KYS126" s="751"/>
      <c r="KYT126" s="751"/>
      <c r="KYU126" s="751"/>
      <c r="KYV126" s="751"/>
      <c r="KYW126" s="751"/>
      <c r="KYX126" s="751"/>
      <c r="KYY126" s="751"/>
      <c r="KYZ126" s="751"/>
      <c r="KZA126" s="751"/>
      <c r="KZB126" s="751"/>
      <c r="KZC126" s="751"/>
      <c r="KZD126" s="751"/>
      <c r="KZE126" s="751"/>
      <c r="KZF126" s="751"/>
      <c r="KZG126" s="751"/>
      <c r="KZH126" s="751"/>
      <c r="KZI126" s="751"/>
      <c r="KZJ126" s="751"/>
      <c r="KZK126" s="751"/>
      <c r="KZL126" s="751"/>
      <c r="KZM126" s="751"/>
      <c r="KZN126" s="751"/>
      <c r="KZO126" s="751"/>
      <c r="KZP126" s="751"/>
      <c r="KZQ126" s="751"/>
      <c r="KZR126" s="751"/>
      <c r="KZS126" s="751"/>
      <c r="KZT126" s="751"/>
      <c r="KZU126" s="751"/>
      <c r="KZV126" s="751"/>
      <c r="KZW126" s="751"/>
      <c r="KZX126" s="751"/>
      <c r="KZY126" s="751"/>
      <c r="KZZ126" s="751"/>
      <c r="LAA126" s="751"/>
      <c r="LAB126" s="751"/>
      <c r="LAC126" s="751"/>
      <c r="LAD126" s="751"/>
      <c r="LAE126" s="751"/>
      <c r="LAF126" s="751"/>
      <c r="LAG126" s="751"/>
      <c r="LAH126" s="751"/>
      <c r="LAI126" s="751"/>
      <c r="LAJ126" s="751"/>
      <c r="LAK126" s="751"/>
      <c r="LAL126" s="751"/>
      <c r="LAM126" s="751"/>
      <c r="LAN126" s="751"/>
      <c r="LAO126" s="751"/>
      <c r="LAP126" s="751"/>
      <c r="LAQ126" s="751"/>
      <c r="LAR126" s="751"/>
      <c r="LAS126" s="751"/>
      <c r="LAT126" s="751"/>
      <c r="LAU126" s="751"/>
      <c r="LAV126" s="751"/>
      <c r="LAW126" s="751"/>
      <c r="LAX126" s="751"/>
      <c r="LAY126" s="751"/>
      <c r="LAZ126" s="751"/>
      <c r="LBA126" s="751"/>
      <c r="LBB126" s="751"/>
      <c r="LBC126" s="751"/>
      <c r="LBD126" s="751"/>
      <c r="LBE126" s="751"/>
      <c r="LBF126" s="751"/>
      <c r="LBG126" s="751"/>
      <c r="LBH126" s="751"/>
      <c r="LBI126" s="751"/>
      <c r="LBJ126" s="751"/>
      <c r="LBK126" s="751"/>
      <c r="LBL126" s="751"/>
      <c r="LBM126" s="751"/>
      <c r="LBN126" s="751"/>
      <c r="LBO126" s="751"/>
      <c r="LBP126" s="751"/>
      <c r="LBQ126" s="751"/>
      <c r="LBR126" s="751"/>
      <c r="LBS126" s="751"/>
      <c r="LBT126" s="751"/>
      <c r="LBU126" s="751"/>
      <c r="LBV126" s="751"/>
      <c r="LBW126" s="751"/>
      <c r="LBX126" s="751"/>
      <c r="LBY126" s="751"/>
      <c r="LBZ126" s="751"/>
      <c r="LCA126" s="751"/>
      <c r="LCB126" s="751"/>
      <c r="LCC126" s="751"/>
      <c r="LCD126" s="751"/>
      <c r="LCE126" s="751"/>
      <c r="LCF126" s="751"/>
      <c r="LCG126" s="751"/>
      <c r="LCH126" s="751"/>
      <c r="LCI126" s="751"/>
      <c r="LCJ126" s="751"/>
      <c r="LCK126" s="751"/>
      <c r="LCL126" s="751"/>
      <c r="LCM126" s="751"/>
      <c r="LCN126" s="751"/>
      <c r="LCO126" s="751"/>
      <c r="LCP126" s="751"/>
      <c r="LCQ126" s="751"/>
      <c r="LCR126" s="751"/>
      <c r="LCS126" s="751"/>
      <c r="LCT126" s="751"/>
      <c r="LCU126" s="751"/>
      <c r="LCV126" s="751"/>
      <c r="LCW126" s="751"/>
      <c r="LCX126" s="751"/>
      <c r="LCY126" s="751"/>
      <c r="LCZ126" s="751"/>
      <c r="LDA126" s="751"/>
      <c r="LDB126" s="751"/>
      <c r="LDC126" s="751"/>
      <c r="LDD126" s="751"/>
      <c r="LDE126" s="751"/>
      <c r="LDF126" s="751"/>
      <c r="LDG126" s="751"/>
      <c r="LDH126" s="751"/>
      <c r="LDI126" s="751"/>
      <c r="LDJ126" s="751"/>
      <c r="LDK126" s="751"/>
      <c r="LDL126" s="751"/>
      <c r="LDM126" s="751"/>
      <c r="LDN126" s="751"/>
      <c r="LDO126" s="751"/>
      <c r="LDP126" s="751"/>
      <c r="LDQ126" s="751"/>
      <c r="LDR126" s="751"/>
      <c r="LDS126" s="751"/>
      <c r="LDT126" s="751"/>
      <c r="LDU126" s="751"/>
      <c r="LDV126" s="751"/>
      <c r="LDW126" s="751"/>
      <c r="LDX126" s="751"/>
      <c r="LDY126" s="751"/>
      <c r="LDZ126" s="751"/>
      <c r="LEA126" s="751"/>
      <c r="LEB126" s="751"/>
      <c r="LEC126" s="751"/>
      <c r="LED126" s="751"/>
      <c r="LEE126" s="751"/>
      <c r="LEF126" s="751"/>
      <c r="LEG126" s="751"/>
      <c r="LEH126" s="751"/>
      <c r="LEI126" s="751"/>
      <c r="LEJ126" s="751"/>
      <c r="LEK126" s="751"/>
      <c r="LEL126" s="751"/>
      <c r="LEM126" s="751"/>
      <c r="LEN126" s="751"/>
      <c r="LEO126" s="751"/>
      <c r="LEP126" s="751"/>
      <c r="LEQ126" s="751"/>
      <c r="LER126" s="751"/>
      <c r="LES126" s="751"/>
      <c r="LET126" s="751"/>
      <c r="LEU126" s="751"/>
      <c r="LEV126" s="751"/>
      <c r="LEW126" s="751"/>
      <c r="LEX126" s="751"/>
      <c r="LEY126" s="751"/>
      <c r="LEZ126" s="751"/>
      <c r="LFA126" s="751"/>
      <c r="LFB126" s="751"/>
      <c r="LFC126" s="751"/>
      <c r="LFD126" s="751"/>
      <c r="LFE126" s="751"/>
      <c r="LFF126" s="751"/>
      <c r="LFG126" s="751"/>
      <c r="LFH126" s="751"/>
      <c r="LFI126" s="751"/>
      <c r="LFJ126" s="751"/>
      <c r="LFK126" s="751"/>
      <c r="LFL126" s="751"/>
      <c r="LFM126" s="751"/>
      <c r="LFN126" s="751"/>
      <c r="LFO126" s="751"/>
      <c r="LFP126" s="751"/>
      <c r="LFQ126" s="751"/>
      <c r="LFR126" s="751"/>
      <c r="LFS126" s="751"/>
      <c r="LFT126" s="751"/>
      <c r="LFU126" s="751"/>
      <c r="LFV126" s="751"/>
      <c r="LFW126" s="751"/>
      <c r="LFX126" s="751"/>
      <c r="LFY126" s="751"/>
      <c r="LFZ126" s="751"/>
      <c r="LGA126" s="751"/>
      <c r="LGB126" s="751"/>
      <c r="LGC126" s="751"/>
      <c r="LGD126" s="751"/>
      <c r="LGE126" s="751"/>
      <c r="LGF126" s="751"/>
      <c r="LGG126" s="751"/>
      <c r="LGH126" s="751"/>
      <c r="LGI126" s="751"/>
      <c r="LGJ126" s="751"/>
      <c r="LGK126" s="751"/>
      <c r="LGL126" s="751"/>
      <c r="LGM126" s="751"/>
      <c r="LGN126" s="751"/>
      <c r="LGO126" s="751"/>
      <c r="LGP126" s="751"/>
      <c r="LGQ126" s="751"/>
      <c r="LGR126" s="751"/>
      <c r="LGS126" s="751"/>
      <c r="LGT126" s="751"/>
      <c r="LGU126" s="751"/>
      <c r="LGV126" s="751"/>
      <c r="LGW126" s="751"/>
      <c r="LGX126" s="751"/>
      <c r="LGY126" s="751"/>
      <c r="LGZ126" s="751"/>
      <c r="LHA126" s="751"/>
      <c r="LHB126" s="751"/>
      <c r="LHC126" s="751"/>
      <c r="LHD126" s="751"/>
      <c r="LHE126" s="751"/>
      <c r="LHF126" s="751"/>
      <c r="LHG126" s="751"/>
      <c r="LHH126" s="751"/>
      <c r="LHI126" s="751"/>
      <c r="LHJ126" s="751"/>
      <c r="LHK126" s="751"/>
      <c r="LHL126" s="751"/>
      <c r="LHM126" s="751"/>
      <c r="LHN126" s="751"/>
      <c r="LHO126" s="751"/>
      <c r="LHP126" s="751"/>
      <c r="LHQ126" s="751"/>
      <c r="LHR126" s="751"/>
      <c r="LHS126" s="751"/>
      <c r="LHT126" s="751"/>
      <c r="LHU126" s="751"/>
      <c r="LHV126" s="751"/>
      <c r="LHW126" s="751"/>
      <c r="LHX126" s="751"/>
      <c r="LHY126" s="751"/>
      <c r="LHZ126" s="751"/>
      <c r="LIA126" s="751"/>
      <c r="LIB126" s="751"/>
      <c r="LIC126" s="751"/>
      <c r="LID126" s="751"/>
      <c r="LIE126" s="751"/>
      <c r="LIF126" s="751"/>
      <c r="LIG126" s="751"/>
      <c r="LIH126" s="751"/>
      <c r="LII126" s="751"/>
      <c r="LIJ126" s="751"/>
      <c r="LIK126" s="751"/>
      <c r="LIL126" s="751"/>
      <c r="LIM126" s="751"/>
      <c r="LIN126" s="751"/>
      <c r="LIO126" s="751"/>
      <c r="LIP126" s="751"/>
      <c r="LIQ126" s="751"/>
      <c r="LIR126" s="751"/>
      <c r="LIS126" s="751"/>
      <c r="LIT126" s="751"/>
      <c r="LIU126" s="751"/>
      <c r="LIV126" s="751"/>
      <c r="LIW126" s="751"/>
      <c r="LIX126" s="751"/>
      <c r="LIY126" s="751"/>
      <c r="LIZ126" s="751"/>
      <c r="LJA126" s="751"/>
      <c r="LJB126" s="751"/>
      <c r="LJC126" s="751"/>
      <c r="LJD126" s="751"/>
      <c r="LJE126" s="751"/>
      <c r="LJF126" s="751"/>
      <c r="LJG126" s="751"/>
      <c r="LJH126" s="751"/>
      <c r="LJI126" s="751"/>
      <c r="LJJ126" s="751"/>
      <c r="LJK126" s="751"/>
      <c r="LJL126" s="751"/>
      <c r="LJM126" s="751"/>
      <c r="LJN126" s="751"/>
      <c r="LJO126" s="751"/>
      <c r="LJP126" s="751"/>
      <c r="LJQ126" s="751"/>
      <c r="LJR126" s="751"/>
      <c r="LJS126" s="751"/>
      <c r="LJT126" s="751"/>
      <c r="LJU126" s="751"/>
      <c r="LJV126" s="751"/>
      <c r="LJW126" s="751"/>
      <c r="LJX126" s="751"/>
      <c r="LJY126" s="751"/>
      <c r="LJZ126" s="751"/>
      <c r="LKA126" s="751"/>
      <c r="LKB126" s="751"/>
      <c r="LKC126" s="751"/>
      <c r="LKD126" s="751"/>
      <c r="LKE126" s="751"/>
      <c r="LKF126" s="751"/>
      <c r="LKG126" s="751"/>
      <c r="LKH126" s="751"/>
      <c r="LKI126" s="751"/>
      <c r="LKJ126" s="751"/>
      <c r="LKK126" s="751"/>
      <c r="LKL126" s="751"/>
      <c r="LKM126" s="751"/>
      <c r="LKN126" s="751"/>
      <c r="LKO126" s="751"/>
      <c r="LKP126" s="751"/>
      <c r="LKQ126" s="751"/>
      <c r="LKR126" s="751"/>
      <c r="LKS126" s="751"/>
      <c r="LKT126" s="751"/>
      <c r="LKU126" s="751"/>
      <c r="LKV126" s="751"/>
      <c r="LKW126" s="751"/>
      <c r="LKX126" s="751"/>
      <c r="LKY126" s="751"/>
      <c r="LKZ126" s="751"/>
      <c r="LLA126" s="751"/>
      <c r="LLB126" s="751"/>
      <c r="LLC126" s="751"/>
      <c r="LLD126" s="751"/>
      <c r="LLE126" s="751"/>
      <c r="LLF126" s="751"/>
      <c r="LLG126" s="751"/>
      <c r="LLH126" s="751"/>
      <c r="LLI126" s="751"/>
      <c r="LLJ126" s="751"/>
      <c r="LLK126" s="751"/>
      <c r="LLL126" s="751"/>
      <c r="LLM126" s="751"/>
      <c r="LLN126" s="751"/>
      <c r="LLO126" s="751"/>
      <c r="LLP126" s="751"/>
      <c r="LLQ126" s="751"/>
      <c r="LLR126" s="751"/>
      <c r="LLS126" s="751"/>
      <c r="LLT126" s="751"/>
      <c r="LLU126" s="751"/>
      <c r="LLV126" s="751"/>
      <c r="LLW126" s="751"/>
      <c r="LLX126" s="751"/>
      <c r="LLY126" s="751"/>
      <c r="LLZ126" s="751"/>
      <c r="LMA126" s="751"/>
      <c r="LMB126" s="751"/>
      <c r="LMC126" s="751"/>
      <c r="LMD126" s="751"/>
      <c r="LME126" s="751"/>
      <c r="LMF126" s="751"/>
      <c r="LMG126" s="751"/>
      <c r="LMH126" s="751"/>
      <c r="LMI126" s="751"/>
      <c r="LMJ126" s="751"/>
      <c r="LMK126" s="751"/>
      <c r="LML126" s="751"/>
      <c r="LMM126" s="751"/>
      <c r="LMN126" s="751"/>
      <c r="LMO126" s="751"/>
      <c r="LMP126" s="751"/>
      <c r="LMQ126" s="751"/>
      <c r="LMR126" s="751"/>
      <c r="LMS126" s="751"/>
      <c r="LMT126" s="751"/>
      <c r="LMU126" s="751"/>
      <c r="LMV126" s="751"/>
      <c r="LMW126" s="751"/>
      <c r="LMX126" s="751"/>
      <c r="LMY126" s="751"/>
      <c r="LMZ126" s="751"/>
      <c r="LNA126" s="751"/>
      <c r="LNB126" s="751"/>
      <c r="LNC126" s="751"/>
      <c r="LND126" s="751"/>
      <c r="LNE126" s="751"/>
      <c r="LNF126" s="751"/>
      <c r="LNG126" s="751"/>
      <c r="LNH126" s="751"/>
      <c r="LNI126" s="751"/>
      <c r="LNJ126" s="751"/>
      <c r="LNK126" s="751"/>
      <c r="LNL126" s="751"/>
      <c r="LNM126" s="751"/>
      <c r="LNN126" s="751"/>
      <c r="LNO126" s="751"/>
      <c r="LNP126" s="751"/>
      <c r="LNQ126" s="751"/>
      <c r="LNR126" s="751"/>
      <c r="LNS126" s="751"/>
      <c r="LNT126" s="751"/>
      <c r="LNU126" s="751"/>
      <c r="LNV126" s="751"/>
      <c r="LNW126" s="751"/>
      <c r="LNX126" s="751"/>
      <c r="LNY126" s="751"/>
      <c r="LNZ126" s="751"/>
      <c r="LOA126" s="751"/>
      <c r="LOB126" s="751"/>
      <c r="LOC126" s="751"/>
      <c r="LOD126" s="751"/>
      <c r="LOE126" s="751"/>
      <c r="LOF126" s="751"/>
      <c r="LOG126" s="751"/>
      <c r="LOH126" s="751"/>
      <c r="LOI126" s="751"/>
      <c r="LOJ126" s="751"/>
      <c r="LOK126" s="751"/>
      <c r="LOL126" s="751"/>
      <c r="LOM126" s="751"/>
      <c r="LON126" s="751"/>
      <c r="LOO126" s="751"/>
      <c r="LOP126" s="751"/>
      <c r="LOQ126" s="751"/>
      <c r="LOR126" s="751"/>
      <c r="LOS126" s="751"/>
      <c r="LOT126" s="751"/>
      <c r="LOU126" s="751"/>
      <c r="LOV126" s="751"/>
      <c r="LOW126" s="751"/>
      <c r="LOX126" s="751"/>
      <c r="LOY126" s="751"/>
      <c r="LOZ126" s="751"/>
      <c r="LPA126" s="751"/>
      <c r="LPB126" s="751"/>
      <c r="LPC126" s="751"/>
      <c r="LPD126" s="751"/>
      <c r="LPE126" s="751"/>
      <c r="LPF126" s="751"/>
      <c r="LPG126" s="751"/>
      <c r="LPH126" s="751"/>
      <c r="LPI126" s="751"/>
      <c r="LPJ126" s="751"/>
      <c r="LPK126" s="751"/>
      <c r="LPL126" s="751"/>
      <c r="LPM126" s="751"/>
      <c r="LPN126" s="751"/>
      <c r="LPO126" s="751"/>
      <c r="LPP126" s="751"/>
      <c r="LPQ126" s="751"/>
      <c r="LPR126" s="751"/>
      <c r="LPS126" s="751"/>
      <c r="LPT126" s="751"/>
      <c r="LPU126" s="751"/>
      <c r="LPV126" s="751"/>
      <c r="LPW126" s="751"/>
      <c r="LPX126" s="751"/>
      <c r="LPY126" s="751"/>
      <c r="LPZ126" s="751"/>
      <c r="LQA126" s="751"/>
      <c r="LQB126" s="751"/>
      <c r="LQC126" s="751"/>
      <c r="LQD126" s="751"/>
      <c r="LQE126" s="751"/>
      <c r="LQF126" s="751"/>
      <c r="LQG126" s="751"/>
      <c r="LQH126" s="751"/>
      <c r="LQI126" s="751"/>
      <c r="LQJ126" s="751"/>
      <c r="LQK126" s="751"/>
      <c r="LQL126" s="751"/>
      <c r="LQM126" s="751"/>
      <c r="LQN126" s="751"/>
      <c r="LQO126" s="751"/>
      <c r="LQP126" s="751"/>
      <c r="LQQ126" s="751"/>
      <c r="LQR126" s="751"/>
      <c r="LQS126" s="751"/>
      <c r="LQT126" s="751"/>
      <c r="LQU126" s="751"/>
      <c r="LQV126" s="751"/>
      <c r="LQW126" s="751"/>
      <c r="LQX126" s="751"/>
      <c r="LQY126" s="751"/>
      <c r="LQZ126" s="751"/>
      <c r="LRA126" s="751"/>
      <c r="LRB126" s="751"/>
      <c r="LRC126" s="751"/>
      <c r="LRD126" s="751"/>
      <c r="LRE126" s="751"/>
      <c r="LRF126" s="751"/>
      <c r="LRG126" s="751"/>
      <c r="LRH126" s="751"/>
      <c r="LRI126" s="751"/>
      <c r="LRJ126" s="751"/>
      <c r="LRK126" s="751"/>
      <c r="LRL126" s="751"/>
      <c r="LRM126" s="751"/>
      <c r="LRN126" s="751"/>
      <c r="LRO126" s="751"/>
      <c r="LRP126" s="751"/>
      <c r="LRQ126" s="751"/>
      <c r="LRR126" s="751"/>
      <c r="LRS126" s="751"/>
      <c r="LRT126" s="751"/>
      <c r="LRU126" s="751"/>
      <c r="LRV126" s="751"/>
      <c r="LRW126" s="751"/>
      <c r="LRX126" s="751"/>
      <c r="LRY126" s="751"/>
      <c r="LRZ126" s="751"/>
      <c r="LSA126" s="751"/>
      <c r="LSB126" s="751"/>
      <c r="LSC126" s="751"/>
      <c r="LSD126" s="751"/>
      <c r="LSE126" s="751"/>
      <c r="LSF126" s="751"/>
      <c r="LSG126" s="751"/>
      <c r="LSH126" s="751"/>
      <c r="LSI126" s="751"/>
      <c r="LSJ126" s="751"/>
      <c r="LSK126" s="751"/>
      <c r="LSL126" s="751"/>
      <c r="LSM126" s="751"/>
      <c r="LSN126" s="751"/>
      <c r="LSO126" s="751"/>
      <c r="LSP126" s="751"/>
      <c r="LSQ126" s="751"/>
      <c r="LSR126" s="751"/>
      <c r="LSS126" s="751"/>
      <c r="LST126" s="751"/>
      <c r="LSU126" s="751"/>
      <c r="LSV126" s="751"/>
      <c r="LSW126" s="751"/>
      <c r="LSX126" s="751"/>
      <c r="LSY126" s="751"/>
      <c r="LSZ126" s="751"/>
      <c r="LTA126" s="751"/>
      <c r="LTB126" s="751"/>
      <c r="LTC126" s="751"/>
      <c r="LTD126" s="751"/>
      <c r="LTE126" s="751"/>
      <c r="LTF126" s="751"/>
      <c r="LTG126" s="751"/>
      <c r="LTH126" s="751"/>
      <c r="LTI126" s="751"/>
      <c r="LTJ126" s="751"/>
      <c r="LTK126" s="751"/>
      <c r="LTL126" s="751"/>
      <c r="LTM126" s="751"/>
      <c r="LTN126" s="751"/>
      <c r="LTO126" s="751"/>
      <c r="LTP126" s="751"/>
      <c r="LTQ126" s="751"/>
      <c r="LTR126" s="751"/>
      <c r="LTS126" s="751"/>
      <c r="LTT126" s="751"/>
      <c r="LTU126" s="751"/>
      <c r="LTV126" s="751"/>
      <c r="LTW126" s="751"/>
      <c r="LTX126" s="751"/>
      <c r="LTY126" s="751"/>
      <c r="LTZ126" s="751"/>
      <c r="LUA126" s="751"/>
      <c r="LUB126" s="751"/>
      <c r="LUC126" s="751"/>
      <c r="LUD126" s="751"/>
      <c r="LUE126" s="751"/>
      <c r="LUF126" s="751"/>
      <c r="LUG126" s="751"/>
      <c r="LUH126" s="751"/>
      <c r="LUI126" s="751"/>
      <c r="LUJ126" s="751"/>
      <c r="LUK126" s="751"/>
      <c r="LUL126" s="751"/>
      <c r="LUM126" s="751"/>
      <c r="LUN126" s="751"/>
      <c r="LUO126" s="751"/>
      <c r="LUP126" s="751"/>
      <c r="LUQ126" s="751"/>
      <c r="LUR126" s="751"/>
      <c r="LUS126" s="751"/>
      <c r="LUT126" s="751"/>
      <c r="LUU126" s="751"/>
      <c r="LUV126" s="751"/>
      <c r="LUW126" s="751"/>
      <c r="LUX126" s="751"/>
      <c r="LUY126" s="751"/>
      <c r="LUZ126" s="751"/>
      <c r="LVA126" s="751"/>
      <c r="LVB126" s="751"/>
      <c r="LVC126" s="751"/>
      <c r="LVD126" s="751"/>
      <c r="LVE126" s="751"/>
      <c r="LVF126" s="751"/>
      <c r="LVG126" s="751"/>
      <c r="LVH126" s="751"/>
      <c r="LVI126" s="751"/>
      <c r="LVJ126" s="751"/>
      <c r="LVK126" s="751"/>
      <c r="LVL126" s="751"/>
      <c r="LVM126" s="751"/>
      <c r="LVN126" s="751"/>
      <c r="LVO126" s="751"/>
      <c r="LVP126" s="751"/>
      <c r="LVQ126" s="751"/>
      <c r="LVR126" s="751"/>
      <c r="LVS126" s="751"/>
      <c r="LVT126" s="751"/>
      <c r="LVU126" s="751"/>
      <c r="LVV126" s="751"/>
      <c r="LVW126" s="751"/>
      <c r="LVX126" s="751"/>
      <c r="LVY126" s="751"/>
      <c r="LVZ126" s="751"/>
      <c r="LWA126" s="751"/>
      <c r="LWB126" s="751"/>
      <c r="LWC126" s="751"/>
      <c r="LWD126" s="751"/>
      <c r="LWE126" s="751"/>
      <c r="LWF126" s="751"/>
      <c r="LWG126" s="751"/>
      <c r="LWH126" s="751"/>
      <c r="LWI126" s="751"/>
      <c r="LWJ126" s="751"/>
      <c r="LWK126" s="751"/>
      <c r="LWL126" s="751"/>
      <c r="LWM126" s="751"/>
      <c r="LWN126" s="751"/>
      <c r="LWO126" s="751"/>
      <c r="LWP126" s="751"/>
      <c r="LWQ126" s="751"/>
      <c r="LWR126" s="751"/>
      <c r="LWS126" s="751"/>
      <c r="LWT126" s="751"/>
      <c r="LWU126" s="751"/>
      <c r="LWV126" s="751"/>
      <c r="LWW126" s="751"/>
      <c r="LWX126" s="751"/>
      <c r="LWY126" s="751"/>
      <c r="LWZ126" s="751"/>
      <c r="LXA126" s="751"/>
      <c r="LXB126" s="751"/>
      <c r="LXC126" s="751"/>
      <c r="LXD126" s="751"/>
      <c r="LXE126" s="751"/>
      <c r="LXF126" s="751"/>
      <c r="LXG126" s="751"/>
      <c r="LXH126" s="751"/>
      <c r="LXI126" s="751"/>
      <c r="LXJ126" s="751"/>
      <c r="LXK126" s="751"/>
      <c r="LXL126" s="751"/>
      <c r="LXM126" s="751"/>
      <c r="LXN126" s="751"/>
      <c r="LXO126" s="751"/>
      <c r="LXP126" s="751"/>
      <c r="LXQ126" s="751"/>
      <c r="LXR126" s="751"/>
      <c r="LXS126" s="751"/>
      <c r="LXT126" s="751"/>
      <c r="LXU126" s="751"/>
      <c r="LXV126" s="751"/>
      <c r="LXW126" s="751"/>
      <c r="LXX126" s="751"/>
      <c r="LXY126" s="751"/>
      <c r="LXZ126" s="751"/>
      <c r="LYA126" s="751"/>
      <c r="LYB126" s="751"/>
      <c r="LYC126" s="751"/>
      <c r="LYD126" s="751"/>
      <c r="LYE126" s="751"/>
      <c r="LYF126" s="751"/>
      <c r="LYG126" s="751"/>
      <c r="LYH126" s="751"/>
      <c r="LYI126" s="751"/>
      <c r="LYJ126" s="751"/>
      <c r="LYK126" s="751"/>
      <c r="LYL126" s="751"/>
      <c r="LYM126" s="751"/>
      <c r="LYN126" s="751"/>
      <c r="LYO126" s="751"/>
      <c r="LYP126" s="751"/>
      <c r="LYQ126" s="751"/>
      <c r="LYR126" s="751"/>
      <c r="LYS126" s="751"/>
      <c r="LYT126" s="751"/>
      <c r="LYU126" s="751"/>
      <c r="LYV126" s="751"/>
      <c r="LYW126" s="751"/>
      <c r="LYX126" s="751"/>
      <c r="LYY126" s="751"/>
      <c r="LYZ126" s="751"/>
      <c r="LZA126" s="751"/>
      <c r="LZB126" s="751"/>
      <c r="LZC126" s="751"/>
      <c r="LZD126" s="751"/>
      <c r="LZE126" s="751"/>
      <c r="LZF126" s="751"/>
      <c r="LZG126" s="751"/>
      <c r="LZH126" s="751"/>
      <c r="LZI126" s="751"/>
      <c r="LZJ126" s="751"/>
      <c r="LZK126" s="751"/>
      <c r="LZL126" s="751"/>
      <c r="LZM126" s="751"/>
      <c r="LZN126" s="751"/>
      <c r="LZO126" s="751"/>
      <c r="LZP126" s="751"/>
      <c r="LZQ126" s="751"/>
      <c r="LZR126" s="751"/>
      <c r="LZS126" s="751"/>
      <c r="LZT126" s="751"/>
      <c r="LZU126" s="751"/>
      <c r="LZV126" s="751"/>
      <c r="LZW126" s="751"/>
      <c r="LZX126" s="751"/>
      <c r="LZY126" s="751"/>
      <c r="LZZ126" s="751"/>
      <c r="MAA126" s="751"/>
      <c r="MAB126" s="751"/>
      <c r="MAC126" s="751"/>
      <c r="MAD126" s="751"/>
      <c r="MAE126" s="751"/>
      <c r="MAF126" s="751"/>
      <c r="MAG126" s="751"/>
      <c r="MAH126" s="751"/>
      <c r="MAI126" s="751"/>
      <c r="MAJ126" s="751"/>
      <c r="MAK126" s="751"/>
      <c r="MAL126" s="751"/>
      <c r="MAM126" s="751"/>
      <c r="MAN126" s="751"/>
      <c r="MAO126" s="751"/>
      <c r="MAP126" s="751"/>
      <c r="MAQ126" s="751"/>
      <c r="MAR126" s="751"/>
      <c r="MAS126" s="751"/>
      <c r="MAT126" s="751"/>
      <c r="MAU126" s="751"/>
      <c r="MAV126" s="751"/>
      <c r="MAW126" s="751"/>
      <c r="MAX126" s="751"/>
      <c r="MAY126" s="751"/>
      <c r="MAZ126" s="751"/>
      <c r="MBA126" s="751"/>
      <c r="MBB126" s="751"/>
      <c r="MBC126" s="751"/>
      <c r="MBD126" s="751"/>
      <c r="MBE126" s="751"/>
      <c r="MBF126" s="751"/>
      <c r="MBG126" s="751"/>
      <c r="MBH126" s="751"/>
      <c r="MBI126" s="751"/>
      <c r="MBJ126" s="751"/>
      <c r="MBK126" s="751"/>
      <c r="MBL126" s="751"/>
      <c r="MBM126" s="751"/>
      <c r="MBN126" s="751"/>
      <c r="MBO126" s="751"/>
      <c r="MBP126" s="751"/>
      <c r="MBQ126" s="751"/>
      <c r="MBR126" s="751"/>
      <c r="MBS126" s="751"/>
      <c r="MBT126" s="751"/>
      <c r="MBU126" s="751"/>
      <c r="MBV126" s="751"/>
      <c r="MBW126" s="751"/>
      <c r="MBX126" s="751"/>
      <c r="MBY126" s="751"/>
      <c r="MBZ126" s="751"/>
      <c r="MCA126" s="751"/>
      <c r="MCB126" s="751"/>
      <c r="MCC126" s="751"/>
      <c r="MCD126" s="751"/>
      <c r="MCE126" s="751"/>
      <c r="MCF126" s="751"/>
      <c r="MCG126" s="751"/>
      <c r="MCH126" s="751"/>
      <c r="MCI126" s="751"/>
      <c r="MCJ126" s="751"/>
      <c r="MCK126" s="751"/>
      <c r="MCL126" s="751"/>
      <c r="MCM126" s="751"/>
      <c r="MCN126" s="751"/>
      <c r="MCO126" s="751"/>
      <c r="MCP126" s="751"/>
      <c r="MCQ126" s="751"/>
      <c r="MCR126" s="751"/>
      <c r="MCS126" s="751"/>
      <c r="MCT126" s="751"/>
      <c r="MCU126" s="751"/>
      <c r="MCV126" s="751"/>
      <c r="MCW126" s="751"/>
      <c r="MCX126" s="751"/>
      <c r="MCY126" s="751"/>
      <c r="MCZ126" s="751"/>
      <c r="MDA126" s="751"/>
      <c r="MDB126" s="751"/>
      <c r="MDC126" s="751"/>
      <c r="MDD126" s="751"/>
      <c r="MDE126" s="751"/>
      <c r="MDF126" s="751"/>
      <c r="MDG126" s="751"/>
      <c r="MDH126" s="751"/>
      <c r="MDI126" s="751"/>
      <c r="MDJ126" s="751"/>
      <c r="MDK126" s="751"/>
      <c r="MDL126" s="751"/>
      <c r="MDM126" s="751"/>
      <c r="MDN126" s="751"/>
      <c r="MDO126" s="751"/>
      <c r="MDP126" s="751"/>
      <c r="MDQ126" s="751"/>
      <c r="MDR126" s="751"/>
      <c r="MDS126" s="751"/>
      <c r="MDT126" s="751"/>
      <c r="MDU126" s="751"/>
      <c r="MDV126" s="751"/>
      <c r="MDW126" s="751"/>
      <c r="MDX126" s="751"/>
      <c r="MDY126" s="751"/>
      <c r="MDZ126" s="751"/>
      <c r="MEA126" s="751"/>
      <c r="MEB126" s="751"/>
      <c r="MEC126" s="751"/>
      <c r="MED126" s="751"/>
      <c r="MEE126" s="751"/>
      <c r="MEF126" s="751"/>
      <c r="MEG126" s="751"/>
      <c r="MEH126" s="751"/>
      <c r="MEI126" s="751"/>
      <c r="MEJ126" s="751"/>
      <c r="MEK126" s="751"/>
      <c r="MEL126" s="751"/>
      <c r="MEM126" s="751"/>
      <c r="MEN126" s="751"/>
      <c r="MEO126" s="751"/>
      <c r="MEP126" s="751"/>
      <c r="MEQ126" s="751"/>
      <c r="MER126" s="751"/>
      <c r="MES126" s="751"/>
      <c r="MET126" s="751"/>
      <c r="MEU126" s="751"/>
      <c r="MEV126" s="751"/>
      <c r="MEW126" s="751"/>
      <c r="MEX126" s="751"/>
      <c r="MEY126" s="751"/>
      <c r="MEZ126" s="751"/>
      <c r="MFA126" s="751"/>
      <c r="MFB126" s="751"/>
      <c r="MFC126" s="751"/>
      <c r="MFD126" s="751"/>
      <c r="MFE126" s="751"/>
      <c r="MFF126" s="751"/>
      <c r="MFG126" s="751"/>
      <c r="MFH126" s="751"/>
      <c r="MFI126" s="751"/>
      <c r="MFJ126" s="751"/>
      <c r="MFK126" s="751"/>
      <c r="MFL126" s="751"/>
      <c r="MFM126" s="751"/>
      <c r="MFN126" s="751"/>
      <c r="MFO126" s="751"/>
      <c r="MFP126" s="751"/>
      <c r="MFQ126" s="751"/>
      <c r="MFR126" s="751"/>
      <c r="MFS126" s="751"/>
      <c r="MFT126" s="751"/>
      <c r="MFU126" s="751"/>
      <c r="MFV126" s="751"/>
      <c r="MFW126" s="751"/>
      <c r="MFX126" s="751"/>
      <c r="MFY126" s="751"/>
      <c r="MFZ126" s="751"/>
      <c r="MGA126" s="751"/>
      <c r="MGB126" s="751"/>
      <c r="MGC126" s="751"/>
      <c r="MGD126" s="751"/>
      <c r="MGE126" s="751"/>
      <c r="MGF126" s="751"/>
      <c r="MGG126" s="751"/>
      <c r="MGH126" s="751"/>
      <c r="MGI126" s="751"/>
      <c r="MGJ126" s="751"/>
      <c r="MGK126" s="751"/>
      <c r="MGL126" s="751"/>
      <c r="MGM126" s="751"/>
      <c r="MGN126" s="751"/>
      <c r="MGO126" s="751"/>
      <c r="MGP126" s="751"/>
      <c r="MGQ126" s="751"/>
      <c r="MGR126" s="751"/>
      <c r="MGS126" s="751"/>
      <c r="MGT126" s="751"/>
      <c r="MGU126" s="751"/>
      <c r="MGV126" s="751"/>
      <c r="MGW126" s="751"/>
      <c r="MGX126" s="751"/>
      <c r="MGY126" s="751"/>
      <c r="MGZ126" s="751"/>
      <c r="MHA126" s="751"/>
      <c r="MHB126" s="751"/>
      <c r="MHC126" s="751"/>
      <c r="MHD126" s="751"/>
      <c r="MHE126" s="751"/>
      <c r="MHF126" s="751"/>
      <c r="MHG126" s="751"/>
      <c r="MHH126" s="751"/>
      <c r="MHI126" s="751"/>
      <c r="MHJ126" s="751"/>
      <c r="MHK126" s="751"/>
      <c r="MHL126" s="751"/>
      <c r="MHM126" s="751"/>
      <c r="MHN126" s="751"/>
      <c r="MHO126" s="751"/>
      <c r="MHP126" s="751"/>
      <c r="MHQ126" s="751"/>
      <c r="MHR126" s="751"/>
      <c r="MHS126" s="751"/>
      <c r="MHT126" s="751"/>
      <c r="MHU126" s="751"/>
      <c r="MHV126" s="751"/>
      <c r="MHW126" s="751"/>
      <c r="MHX126" s="751"/>
      <c r="MHY126" s="751"/>
      <c r="MHZ126" s="751"/>
      <c r="MIA126" s="751"/>
      <c r="MIB126" s="751"/>
      <c r="MIC126" s="751"/>
      <c r="MID126" s="751"/>
      <c r="MIE126" s="751"/>
      <c r="MIF126" s="751"/>
      <c r="MIG126" s="751"/>
      <c r="MIH126" s="751"/>
      <c r="MII126" s="751"/>
      <c r="MIJ126" s="751"/>
      <c r="MIK126" s="751"/>
      <c r="MIL126" s="751"/>
      <c r="MIM126" s="751"/>
      <c r="MIN126" s="751"/>
      <c r="MIO126" s="751"/>
      <c r="MIP126" s="751"/>
      <c r="MIQ126" s="751"/>
      <c r="MIR126" s="751"/>
      <c r="MIS126" s="751"/>
      <c r="MIT126" s="751"/>
      <c r="MIU126" s="751"/>
      <c r="MIV126" s="751"/>
      <c r="MIW126" s="751"/>
      <c r="MIX126" s="751"/>
      <c r="MIY126" s="751"/>
      <c r="MIZ126" s="751"/>
      <c r="MJA126" s="751"/>
      <c r="MJB126" s="751"/>
      <c r="MJC126" s="751"/>
      <c r="MJD126" s="751"/>
      <c r="MJE126" s="751"/>
      <c r="MJF126" s="751"/>
      <c r="MJG126" s="751"/>
      <c r="MJH126" s="751"/>
      <c r="MJI126" s="751"/>
      <c r="MJJ126" s="751"/>
      <c r="MJK126" s="751"/>
      <c r="MJL126" s="751"/>
      <c r="MJM126" s="751"/>
      <c r="MJN126" s="751"/>
      <c r="MJO126" s="751"/>
      <c r="MJP126" s="751"/>
      <c r="MJQ126" s="751"/>
      <c r="MJR126" s="751"/>
      <c r="MJS126" s="751"/>
      <c r="MJT126" s="751"/>
      <c r="MJU126" s="751"/>
      <c r="MJV126" s="751"/>
      <c r="MJW126" s="751"/>
      <c r="MJX126" s="751"/>
      <c r="MJY126" s="751"/>
      <c r="MJZ126" s="751"/>
      <c r="MKA126" s="751"/>
      <c r="MKB126" s="751"/>
      <c r="MKC126" s="751"/>
      <c r="MKD126" s="751"/>
      <c r="MKE126" s="751"/>
      <c r="MKF126" s="751"/>
      <c r="MKG126" s="751"/>
      <c r="MKH126" s="751"/>
      <c r="MKI126" s="751"/>
      <c r="MKJ126" s="751"/>
      <c r="MKK126" s="751"/>
      <c r="MKL126" s="751"/>
      <c r="MKM126" s="751"/>
      <c r="MKN126" s="751"/>
      <c r="MKO126" s="751"/>
      <c r="MKP126" s="751"/>
      <c r="MKQ126" s="751"/>
      <c r="MKR126" s="751"/>
      <c r="MKS126" s="751"/>
      <c r="MKT126" s="751"/>
      <c r="MKU126" s="751"/>
      <c r="MKV126" s="751"/>
      <c r="MKW126" s="751"/>
      <c r="MKX126" s="751"/>
      <c r="MKY126" s="751"/>
      <c r="MKZ126" s="751"/>
      <c r="MLA126" s="751"/>
      <c r="MLB126" s="751"/>
      <c r="MLC126" s="751"/>
      <c r="MLD126" s="751"/>
      <c r="MLE126" s="751"/>
      <c r="MLF126" s="751"/>
      <c r="MLG126" s="751"/>
      <c r="MLH126" s="751"/>
      <c r="MLI126" s="751"/>
      <c r="MLJ126" s="751"/>
      <c r="MLK126" s="751"/>
      <c r="MLL126" s="751"/>
      <c r="MLM126" s="751"/>
      <c r="MLN126" s="751"/>
      <c r="MLO126" s="751"/>
      <c r="MLP126" s="751"/>
      <c r="MLQ126" s="751"/>
      <c r="MLR126" s="751"/>
      <c r="MLS126" s="751"/>
      <c r="MLT126" s="751"/>
      <c r="MLU126" s="751"/>
      <c r="MLV126" s="751"/>
      <c r="MLW126" s="751"/>
      <c r="MLX126" s="751"/>
      <c r="MLY126" s="751"/>
      <c r="MLZ126" s="751"/>
      <c r="MMA126" s="751"/>
      <c r="MMB126" s="751"/>
      <c r="MMC126" s="751"/>
      <c r="MMD126" s="751"/>
      <c r="MME126" s="751"/>
      <c r="MMF126" s="751"/>
      <c r="MMG126" s="751"/>
      <c r="MMH126" s="751"/>
      <c r="MMI126" s="751"/>
      <c r="MMJ126" s="751"/>
      <c r="MMK126" s="751"/>
      <c r="MML126" s="751"/>
      <c r="MMM126" s="751"/>
      <c r="MMN126" s="751"/>
      <c r="MMO126" s="751"/>
      <c r="MMP126" s="751"/>
      <c r="MMQ126" s="751"/>
      <c r="MMR126" s="751"/>
      <c r="MMS126" s="751"/>
      <c r="MMT126" s="751"/>
      <c r="MMU126" s="751"/>
      <c r="MMV126" s="751"/>
      <c r="MMW126" s="751"/>
      <c r="MMX126" s="751"/>
      <c r="MMY126" s="751"/>
      <c r="MMZ126" s="751"/>
      <c r="MNA126" s="751"/>
      <c r="MNB126" s="751"/>
      <c r="MNC126" s="751"/>
      <c r="MND126" s="751"/>
      <c r="MNE126" s="751"/>
      <c r="MNF126" s="751"/>
      <c r="MNG126" s="751"/>
      <c r="MNH126" s="751"/>
      <c r="MNI126" s="751"/>
      <c r="MNJ126" s="751"/>
      <c r="MNK126" s="751"/>
      <c r="MNL126" s="751"/>
      <c r="MNM126" s="751"/>
      <c r="MNN126" s="751"/>
      <c r="MNO126" s="751"/>
      <c r="MNP126" s="751"/>
      <c r="MNQ126" s="751"/>
      <c r="MNR126" s="751"/>
      <c r="MNS126" s="751"/>
      <c r="MNT126" s="751"/>
      <c r="MNU126" s="751"/>
      <c r="MNV126" s="751"/>
      <c r="MNW126" s="751"/>
      <c r="MNX126" s="751"/>
      <c r="MNY126" s="751"/>
      <c r="MNZ126" s="751"/>
      <c r="MOA126" s="751"/>
      <c r="MOB126" s="751"/>
      <c r="MOC126" s="751"/>
      <c r="MOD126" s="751"/>
      <c r="MOE126" s="751"/>
      <c r="MOF126" s="751"/>
      <c r="MOG126" s="751"/>
      <c r="MOH126" s="751"/>
      <c r="MOI126" s="751"/>
      <c r="MOJ126" s="751"/>
      <c r="MOK126" s="751"/>
      <c r="MOL126" s="751"/>
      <c r="MOM126" s="751"/>
      <c r="MON126" s="751"/>
      <c r="MOO126" s="751"/>
      <c r="MOP126" s="751"/>
      <c r="MOQ126" s="751"/>
      <c r="MOR126" s="751"/>
      <c r="MOS126" s="751"/>
      <c r="MOT126" s="751"/>
      <c r="MOU126" s="751"/>
      <c r="MOV126" s="751"/>
      <c r="MOW126" s="751"/>
      <c r="MOX126" s="751"/>
      <c r="MOY126" s="751"/>
      <c r="MOZ126" s="751"/>
      <c r="MPA126" s="751"/>
      <c r="MPB126" s="751"/>
      <c r="MPC126" s="751"/>
      <c r="MPD126" s="751"/>
      <c r="MPE126" s="751"/>
      <c r="MPF126" s="751"/>
      <c r="MPG126" s="751"/>
      <c r="MPH126" s="751"/>
      <c r="MPI126" s="751"/>
      <c r="MPJ126" s="751"/>
      <c r="MPK126" s="751"/>
      <c r="MPL126" s="751"/>
      <c r="MPM126" s="751"/>
      <c r="MPN126" s="751"/>
      <c r="MPO126" s="751"/>
      <c r="MPP126" s="751"/>
      <c r="MPQ126" s="751"/>
      <c r="MPR126" s="751"/>
      <c r="MPS126" s="751"/>
      <c r="MPT126" s="751"/>
      <c r="MPU126" s="751"/>
      <c r="MPV126" s="751"/>
      <c r="MPW126" s="751"/>
      <c r="MPX126" s="751"/>
      <c r="MPY126" s="751"/>
      <c r="MPZ126" s="751"/>
      <c r="MQA126" s="751"/>
      <c r="MQB126" s="751"/>
      <c r="MQC126" s="751"/>
      <c r="MQD126" s="751"/>
      <c r="MQE126" s="751"/>
      <c r="MQF126" s="751"/>
      <c r="MQG126" s="751"/>
      <c r="MQH126" s="751"/>
      <c r="MQI126" s="751"/>
      <c r="MQJ126" s="751"/>
      <c r="MQK126" s="751"/>
      <c r="MQL126" s="751"/>
      <c r="MQM126" s="751"/>
      <c r="MQN126" s="751"/>
      <c r="MQO126" s="751"/>
      <c r="MQP126" s="751"/>
      <c r="MQQ126" s="751"/>
      <c r="MQR126" s="751"/>
      <c r="MQS126" s="751"/>
      <c r="MQT126" s="751"/>
      <c r="MQU126" s="751"/>
      <c r="MQV126" s="751"/>
      <c r="MQW126" s="751"/>
      <c r="MQX126" s="751"/>
      <c r="MQY126" s="751"/>
      <c r="MQZ126" s="751"/>
      <c r="MRA126" s="751"/>
      <c r="MRB126" s="751"/>
      <c r="MRC126" s="751"/>
      <c r="MRD126" s="751"/>
      <c r="MRE126" s="751"/>
      <c r="MRF126" s="751"/>
      <c r="MRG126" s="751"/>
      <c r="MRH126" s="751"/>
      <c r="MRI126" s="751"/>
      <c r="MRJ126" s="751"/>
      <c r="MRK126" s="751"/>
      <c r="MRL126" s="751"/>
      <c r="MRM126" s="751"/>
      <c r="MRN126" s="751"/>
      <c r="MRO126" s="751"/>
      <c r="MRP126" s="751"/>
      <c r="MRQ126" s="751"/>
      <c r="MRR126" s="751"/>
      <c r="MRS126" s="751"/>
      <c r="MRT126" s="751"/>
      <c r="MRU126" s="751"/>
      <c r="MRV126" s="751"/>
      <c r="MRW126" s="751"/>
      <c r="MRX126" s="751"/>
      <c r="MRY126" s="751"/>
      <c r="MRZ126" s="751"/>
      <c r="MSA126" s="751"/>
      <c r="MSB126" s="751"/>
      <c r="MSC126" s="751"/>
      <c r="MSD126" s="751"/>
      <c r="MSE126" s="751"/>
      <c r="MSF126" s="751"/>
      <c r="MSG126" s="751"/>
      <c r="MSH126" s="751"/>
      <c r="MSI126" s="751"/>
      <c r="MSJ126" s="751"/>
      <c r="MSK126" s="751"/>
      <c r="MSL126" s="751"/>
      <c r="MSM126" s="751"/>
      <c r="MSN126" s="751"/>
      <c r="MSO126" s="751"/>
      <c r="MSP126" s="751"/>
      <c r="MSQ126" s="751"/>
      <c r="MSR126" s="751"/>
      <c r="MSS126" s="751"/>
      <c r="MST126" s="751"/>
      <c r="MSU126" s="751"/>
      <c r="MSV126" s="751"/>
      <c r="MSW126" s="751"/>
      <c r="MSX126" s="751"/>
      <c r="MSY126" s="751"/>
      <c r="MSZ126" s="751"/>
      <c r="MTA126" s="751"/>
      <c r="MTB126" s="751"/>
      <c r="MTC126" s="751"/>
      <c r="MTD126" s="751"/>
      <c r="MTE126" s="751"/>
      <c r="MTF126" s="751"/>
      <c r="MTG126" s="751"/>
      <c r="MTH126" s="751"/>
      <c r="MTI126" s="751"/>
      <c r="MTJ126" s="751"/>
      <c r="MTK126" s="751"/>
      <c r="MTL126" s="751"/>
      <c r="MTM126" s="751"/>
      <c r="MTN126" s="751"/>
      <c r="MTO126" s="751"/>
      <c r="MTP126" s="751"/>
      <c r="MTQ126" s="751"/>
      <c r="MTR126" s="751"/>
      <c r="MTS126" s="751"/>
      <c r="MTT126" s="751"/>
      <c r="MTU126" s="751"/>
      <c r="MTV126" s="751"/>
      <c r="MTW126" s="751"/>
      <c r="MTX126" s="751"/>
      <c r="MTY126" s="751"/>
      <c r="MTZ126" s="751"/>
      <c r="MUA126" s="751"/>
      <c r="MUB126" s="751"/>
      <c r="MUC126" s="751"/>
      <c r="MUD126" s="751"/>
      <c r="MUE126" s="751"/>
      <c r="MUF126" s="751"/>
      <c r="MUG126" s="751"/>
      <c r="MUH126" s="751"/>
      <c r="MUI126" s="751"/>
      <c r="MUJ126" s="751"/>
      <c r="MUK126" s="751"/>
      <c r="MUL126" s="751"/>
      <c r="MUM126" s="751"/>
      <c r="MUN126" s="751"/>
      <c r="MUO126" s="751"/>
      <c r="MUP126" s="751"/>
      <c r="MUQ126" s="751"/>
      <c r="MUR126" s="751"/>
      <c r="MUS126" s="751"/>
      <c r="MUT126" s="751"/>
      <c r="MUU126" s="751"/>
      <c r="MUV126" s="751"/>
      <c r="MUW126" s="751"/>
      <c r="MUX126" s="751"/>
      <c r="MUY126" s="751"/>
      <c r="MUZ126" s="751"/>
      <c r="MVA126" s="751"/>
      <c r="MVB126" s="751"/>
      <c r="MVC126" s="751"/>
      <c r="MVD126" s="751"/>
      <c r="MVE126" s="751"/>
      <c r="MVF126" s="751"/>
      <c r="MVG126" s="751"/>
      <c r="MVH126" s="751"/>
      <c r="MVI126" s="751"/>
      <c r="MVJ126" s="751"/>
      <c r="MVK126" s="751"/>
      <c r="MVL126" s="751"/>
      <c r="MVM126" s="751"/>
      <c r="MVN126" s="751"/>
      <c r="MVO126" s="751"/>
      <c r="MVP126" s="751"/>
      <c r="MVQ126" s="751"/>
      <c r="MVR126" s="751"/>
      <c r="MVS126" s="751"/>
      <c r="MVT126" s="751"/>
      <c r="MVU126" s="751"/>
      <c r="MVV126" s="751"/>
      <c r="MVW126" s="751"/>
      <c r="MVX126" s="751"/>
      <c r="MVY126" s="751"/>
      <c r="MVZ126" s="751"/>
      <c r="MWA126" s="751"/>
      <c r="MWB126" s="751"/>
      <c r="MWC126" s="751"/>
      <c r="MWD126" s="751"/>
      <c r="MWE126" s="751"/>
      <c r="MWF126" s="751"/>
      <c r="MWG126" s="751"/>
      <c r="MWH126" s="751"/>
      <c r="MWI126" s="751"/>
      <c r="MWJ126" s="751"/>
      <c r="MWK126" s="751"/>
      <c r="MWL126" s="751"/>
      <c r="MWM126" s="751"/>
      <c r="MWN126" s="751"/>
      <c r="MWO126" s="751"/>
      <c r="MWP126" s="751"/>
      <c r="MWQ126" s="751"/>
      <c r="MWR126" s="751"/>
      <c r="MWS126" s="751"/>
      <c r="MWT126" s="751"/>
      <c r="MWU126" s="751"/>
      <c r="MWV126" s="751"/>
      <c r="MWW126" s="751"/>
      <c r="MWX126" s="751"/>
      <c r="MWY126" s="751"/>
      <c r="MWZ126" s="751"/>
      <c r="MXA126" s="751"/>
      <c r="MXB126" s="751"/>
      <c r="MXC126" s="751"/>
      <c r="MXD126" s="751"/>
      <c r="MXE126" s="751"/>
      <c r="MXF126" s="751"/>
      <c r="MXG126" s="751"/>
      <c r="MXH126" s="751"/>
      <c r="MXI126" s="751"/>
      <c r="MXJ126" s="751"/>
      <c r="MXK126" s="751"/>
      <c r="MXL126" s="751"/>
      <c r="MXM126" s="751"/>
      <c r="MXN126" s="751"/>
      <c r="MXO126" s="751"/>
      <c r="MXP126" s="751"/>
      <c r="MXQ126" s="751"/>
      <c r="MXR126" s="751"/>
      <c r="MXS126" s="751"/>
      <c r="MXT126" s="751"/>
      <c r="MXU126" s="751"/>
      <c r="MXV126" s="751"/>
      <c r="MXW126" s="751"/>
      <c r="MXX126" s="751"/>
      <c r="MXY126" s="751"/>
      <c r="MXZ126" s="751"/>
      <c r="MYA126" s="751"/>
      <c r="MYB126" s="751"/>
      <c r="MYC126" s="751"/>
      <c r="MYD126" s="751"/>
      <c r="MYE126" s="751"/>
      <c r="MYF126" s="751"/>
      <c r="MYG126" s="751"/>
      <c r="MYH126" s="751"/>
      <c r="MYI126" s="751"/>
      <c r="MYJ126" s="751"/>
      <c r="MYK126" s="751"/>
      <c r="MYL126" s="751"/>
      <c r="MYM126" s="751"/>
      <c r="MYN126" s="751"/>
      <c r="MYO126" s="751"/>
      <c r="MYP126" s="751"/>
      <c r="MYQ126" s="751"/>
      <c r="MYR126" s="751"/>
      <c r="MYS126" s="751"/>
      <c r="MYT126" s="751"/>
      <c r="MYU126" s="751"/>
      <c r="MYV126" s="751"/>
      <c r="MYW126" s="751"/>
      <c r="MYX126" s="751"/>
      <c r="MYY126" s="751"/>
      <c r="MYZ126" s="751"/>
      <c r="MZA126" s="751"/>
      <c r="MZB126" s="751"/>
      <c r="MZC126" s="751"/>
      <c r="MZD126" s="751"/>
      <c r="MZE126" s="751"/>
      <c r="MZF126" s="751"/>
      <c r="MZG126" s="751"/>
      <c r="MZH126" s="751"/>
      <c r="MZI126" s="751"/>
      <c r="MZJ126" s="751"/>
      <c r="MZK126" s="751"/>
      <c r="MZL126" s="751"/>
      <c r="MZM126" s="751"/>
      <c r="MZN126" s="751"/>
      <c r="MZO126" s="751"/>
      <c r="MZP126" s="751"/>
      <c r="MZQ126" s="751"/>
      <c r="MZR126" s="751"/>
      <c r="MZS126" s="751"/>
      <c r="MZT126" s="751"/>
      <c r="MZU126" s="751"/>
      <c r="MZV126" s="751"/>
      <c r="MZW126" s="751"/>
      <c r="MZX126" s="751"/>
      <c r="MZY126" s="751"/>
      <c r="MZZ126" s="751"/>
      <c r="NAA126" s="751"/>
      <c r="NAB126" s="751"/>
      <c r="NAC126" s="751"/>
      <c r="NAD126" s="751"/>
      <c r="NAE126" s="751"/>
      <c r="NAF126" s="751"/>
      <c r="NAG126" s="751"/>
      <c r="NAH126" s="751"/>
      <c r="NAI126" s="751"/>
      <c r="NAJ126" s="751"/>
      <c r="NAK126" s="751"/>
      <c r="NAL126" s="751"/>
      <c r="NAM126" s="751"/>
      <c r="NAN126" s="751"/>
      <c r="NAO126" s="751"/>
      <c r="NAP126" s="751"/>
      <c r="NAQ126" s="751"/>
      <c r="NAR126" s="751"/>
      <c r="NAS126" s="751"/>
      <c r="NAT126" s="751"/>
      <c r="NAU126" s="751"/>
      <c r="NAV126" s="751"/>
      <c r="NAW126" s="751"/>
      <c r="NAX126" s="751"/>
      <c r="NAY126" s="751"/>
      <c r="NAZ126" s="751"/>
      <c r="NBA126" s="751"/>
      <c r="NBB126" s="751"/>
      <c r="NBC126" s="751"/>
      <c r="NBD126" s="751"/>
      <c r="NBE126" s="751"/>
      <c r="NBF126" s="751"/>
      <c r="NBG126" s="751"/>
      <c r="NBH126" s="751"/>
      <c r="NBI126" s="751"/>
      <c r="NBJ126" s="751"/>
      <c r="NBK126" s="751"/>
      <c r="NBL126" s="751"/>
      <c r="NBM126" s="751"/>
      <c r="NBN126" s="751"/>
      <c r="NBO126" s="751"/>
      <c r="NBP126" s="751"/>
      <c r="NBQ126" s="751"/>
      <c r="NBR126" s="751"/>
      <c r="NBS126" s="751"/>
      <c r="NBT126" s="751"/>
      <c r="NBU126" s="751"/>
      <c r="NBV126" s="751"/>
      <c r="NBW126" s="751"/>
      <c r="NBX126" s="751"/>
      <c r="NBY126" s="751"/>
      <c r="NBZ126" s="751"/>
      <c r="NCA126" s="751"/>
      <c r="NCB126" s="751"/>
      <c r="NCC126" s="751"/>
      <c r="NCD126" s="751"/>
      <c r="NCE126" s="751"/>
      <c r="NCF126" s="751"/>
      <c r="NCG126" s="751"/>
      <c r="NCH126" s="751"/>
      <c r="NCI126" s="751"/>
      <c r="NCJ126" s="751"/>
      <c r="NCK126" s="751"/>
      <c r="NCL126" s="751"/>
      <c r="NCM126" s="751"/>
      <c r="NCN126" s="751"/>
      <c r="NCO126" s="751"/>
      <c r="NCP126" s="751"/>
      <c r="NCQ126" s="751"/>
      <c r="NCR126" s="751"/>
      <c r="NCS126" s="751"/>
      <c r="NCT126" s="751"/>
      <c r="NCU126" s="751"/>
      <c r="NCV126" s="751"/>
      <c r="NCW126" s="751"/>
      <c r="NCX126" s="751"/>
      <c r="NCY126" s="751"/>
      <c r="NCZ126" s="751"/>
      <c r="NDA126" s="751"/>
      <c r="NDB126" s="751"/>
      <c r="NDC126" s="751"/>
      <c r="NDD126" s="751"/>
      <c r="NDE126" s="751"/>
      <c r="NDF126" s="751"/>
      <c r="NDG126" s="751"/>
      <c r="NDH126" s="751"/>
      <c r="NDI126" s="751"/>
      <c r="NDJ126" s="751"/>
      <c r="NDK126" s="751"/>
      <c r="NDL126" s="751"/>
      <c r="NDM126" s="751"/>
      <c r="NDN126" s="751"/>
      <c r="NDO126" s="751"/>
      <c r="NDP126" s="751"/>
      <c r="NDQ126" s="751"/>
      <c r="NDR126" s="751"/>
      <c r="NDS126" s="751"/>
      <c r="NDT126" s="751"/>
      <c r="NDU126" s="751"/>
      <c r="NDV126" s="751"/>
      <c r="NDW126" s="751"/>
      <c r="NDX126" s="751"/>
      <c r="NDY126" s="751"/>
      <c r="NDZ126" s="751"/>
      <c r="NEA126" s="751"/>
      <c r="NEB126" s="751"/>
      <c r="NEC126" s="751"/>
      <c r="NED126" s="751"/>
      <c r="NEE126" s="751"/>
      <c r="NEF126" s="751"/>
      <c r="NEG126" s="751"/>
      <c r="NEH126" s="751"/>
      <c r="NEI126" s="751"/>
      <c r="NEJ126" s="751"/>
      <c r="NEK126" s="751"/>
      <c r="NEL126" s="751"/>
      <c r="NEM126" s="751"/>
      <c r="NEN126" s="751"/>
      <c r="NEO126" s="751"/>
      <c r="NEP126" s="751"/>
      <c r="NEQ126" s="751"/>
      <c r="NER126" s="751"/>
      <c r="NES126" s="751"/>
      <c r="NET126" s="751"/>
      <c r="NEU126" s="751"/>
      <c r="NEV126" s="751"/>
      <c r="NEW126" s="751"/>
      <c r="NEX126" s="751"/>
      <c r="NEY126" s="751"/>
      <c r="NEZ126" s="751"/>
      <c r="NFA126" s="751"/>
      <c r="NFB126" s="751"/>
      <c r="NFC126" s="751"/>
      <c r="NFD126" s="751"/>
      <c r="NFE126" s="751"/>
      <c r="NFF126" s="751"/>
      <c r="NFG126" s="751"/>
      <c r="NFH126" s="751"/>
      <c r="NFI126" s="751"/>
      <c r="NFJ126" s="751"/>
      <c r="NFK126" s="751"/>
      <c r="NFL126" s="751"/>
      <c r="NFM126" s="751"/>
      <c r="NFN126" s="751"/>
      <c r="NFO126" s="751"/>
      <c r="NFP126" s="751"/>
      <c r="NFQ126" s="751"/>
      <c r="NFR126" s="751"/>
      <c r="NFS126" s="751"/>
      <c r="NFT126" s="751"/>
      <c r="NFU126" s="751"/>
      <c r="NFV126" s="751"/>
      <c r="NFW126" s="751"/>
      <c r="NFX126" s="751"/>
      <c r="NFY126" s="751"/>
      <c r="NFZ126" s="751"/>
      <c r="NGA126" s="751"/>
      <c r="NGB126" s="751"/>
      <c r="NGC126" s="751"/>
      <c r="NGD126" s="751"/>
      <c r="NGE126" s="751"/>
      <c r="NGF126" s="751"/>
      <c r="NGG126" s="751"/>
      <c r="NGH126" s="751"/>
      <c r="NGI126" s="751"/>
      <c r="NGJ126" s="751"/>
      <c r="NGK126" s="751"/>
      <c r="NGL126" s="751"/>
      <c r="NGM126" s="751"/>
      <c r="NGN126" s="751"/>
      <c r="NGO126" s="751"/>
      <c r="NGP126" s="751"/>
      <c r="NGQ126" s="751"/>
      <c r="NGR126" s="751"/>
      <c r="NGS126" s="751"/>
      <c r="NGT126" s="751"/>
      <c r="NGU126" s="751"/>
      <c r="NGV126" s="751"/>
      <c r="NGW126" s="751"/>
      <c r="NGX126" s="751"/>
      <c r="NGY126" s="751"/>
      <c r="NGZ126" s="751"/>
      <c r="NHA126" s="751"/>
      <c r="NHB126" s="751"/>
      <c r="NHC126" s="751"/>
      <c r="NHD126" s="751"/>
      <c r="NHE126" s="751"/>
      <c r="NHF126" s="751"/>
      <c r="NHG126" s="751"/>
      <c r="NHH126" s="751"/>
      <c r="NHI126" s="751"/>
      <c r="NHJ126" s="751"/>
      <c r="NHK126" s="751"/>
      <c r="NHL126" s="751"/>
      <c r="NHM126" s="751"/>
      <c r="NHN126" s="751"/>
      <c r="NHO126" s="751"/>
      <c r="NHP126" s="751"/>
      <c r="NHQ126" s="751"/>
      <c r="NHR126" s="751"/>
      <c r="NHS126" s="751"/>
      <c r="NHT126" s="751"/>
      <c r="NHU126" s="751"/>
      <c r="NHV126" s="751"/>
      <c r="NHW126" s="751"/>
      <c r="NHX126" s="751"/>
      <c r="NHY126" s="751"/>
      <c r="NHZ126" s="751"/>
      <c r="NIA126" s="751"/>
      <c r="NIB126" s="751"/>
      <c r="NIC126" s="751"/>
      <c r="NID126" s="751"/>
      <c r="NIE126" s="751"/>
      <c r="NIF126" s="751"/>
      <c r="NIG126" s="751"/>
      <c r="NIH126" s="751"/>
      <c r="NII126" s="751"/>
      <c r="NIJ126" s="751"/>
      <c r="NIK126" s="751"/>
      <c r="NIL126" s="751"/>
      <c r="NIM126" s="751"/>
      <c r="NIN126" s="751"/>
      <c r="NIO126" s="751"/>
      <c r="NIP126" s="751"/>
      <c r="NIQ126" s="751"/>
      <c r="NIR126" s="751"/>
      <c r="NIS126" s="751"/>
      <c r="NIT126" s="751"/>
      <c r="NIU126" s="751"/>
      <c r="NIV126" s="751"/>
      <c r="NIW126" s="751"/>
      <c r="NIX126" s="751"/>
      <c r="NIY126" s="751"/>
      <c r="NIZ126" s="751"/>
      <c r="NJA126" s="751"/>
      <c r="NJB126" s="751"/>
      <c r="NJC126" s="751"/>
      <c r="NJD126" s="751"/>
      <c r="NJE126" s="751"/>
      <c r="NJF126" s="751"/>
      <c r="NJG126" s="751"/>
      <c r="NJH126" s="751"/>
      <c r="NJI126" s="751"/>
      <c r="NJJ126" s="751"/>
      <c r="NJK126" s="751"/>
      <c r="NJL126" s="751"/>
      <c r="NJM126" s="751"/>
      <c r="NJN126" s="751"/>
      <c r="NJO126" s="751"/>
      <c r="NJP126" s="751"/>
      <c r="NJQ126" s="751"/>
      <c r="NJR126" s="751"/>
      <c r="NJS126" s="751"/>
      <c r="NJT126" s="751"/>
      <c r="NJU126" s="751"/>
      <c r="NJV126" s="751"/>
      <c r="NJW126" s="751"/>
      <c r="NJX126" s="751"/>
      <c r="NJY126" s="751"/>
      <c r="NJZ126" s="751"/>
      <c r="NKA126" s="751"/>
      <c r="NKB126" s="751"/>
      <c r="NKC126" s="751"/>
      <c r="NKD126" s="751"/>
      <c r="NKE126" s="751"/>
      <c r="NKF126" s="751"/>
      <c r="NKG126" s="751"/>
      <c r="NKH126" s="751"/>
      <c r="NKI126" s="751"/>
      <c r="NKJ126" s="751"/>
      <c r="NKK126" s="751"/>
      <c r="NKL126" s="751"/>
      <c r="NKM126" s="751"/>
      <c r="NKN126" s="751"/>
      <c r="NKO126" s="751"/>
      <c r="NKP126" s="751"/>
      <c r="NKQ126" s="751"/>
      <c r="NKR126" s="751"/>
      <c r="NKS126" s="751"/>
      <c r="NKT126" s="751"/>
      <c r="NKU126" s="751"/>
      <c r="NKV126" s="751"/>
      <c r="NKW126" s="751"/>
      <c r="NKX126" s="751"/>
      <c r="NKY126" s="751"/>
      <c r="NKZ126" s="751"/>
      <c r="NLA126" s="751"/>
      <c r="NLB126" s="751"/>
      <c r="NLC126" s="751"/>
      <c r="NLD126" s="751"/>
      <c r="NLE126" s="751"/>
      <c r="NLF126" s="751"/>
      <c r="NLG126" s="751"/>
      <c r="NLH126" s="751"/>
      <c r="NLI126" s="751"/>
      <c r="NLJ126" s="751"/>
      <c r="NLK126" s="751"/>
      <c r="NLL126" s="751"/>
      <c r="NLM126" s="751"/>
      <c r="NLN126" s="751"/>
      <c r="NLO126" s="751"/>
      <c r="NLP126" s="751"/>
      <c r="NLQ126" s="751"/>
      <c r="NLR126" s="751"/>
      <c r="NLS126" s="751"/>
      <c r="NLT126" s="751"/>
      <c r="NLU126" s="751"/>
      <c r="NLV126" s="751"/>
      <c r="NLW126" s="751"/>
      <c r="NLX126" s="751"/>
      <c r="NLY126" s="751"/>
      <c r="NLZ126" s="751"/>
      <c r="NMA126" s="751"/>
      <c r="NMB126" s="751"/>
      <c r="NMC126" s="751"/>
      <c r="NMD126" s="751"/>
      <c r="NME126" s="751"/>
      <c r="NMF126" s="751"/>
      <c r="NMG126" s="751"/>
      <c r="NMH126" s="751"/>
      <c r="NMI126" s="751"/>
      <c r="NMJ126" s="751"/>
      <c r="NMK126" s="751"/>
      <c r="NML126" s="751"/>
      <c r="NMM126" s="751"/>
      <c r="NMN126" s="751"/>
      <c r="NMO126" s="751"/>
      <c r="NMP126" s="751"/>
      <c r="NMQ126" s="751"/>
      <c r="NMR126" s="751"/>
      <c r="NMS126" s="751"/>
      <c r="NMT126" s="751"/>
      <c r="NMU126" s="751"/>
      <c r="NMV126" s="751"/>
      <c r="NMW126" s="751"/>
      <c r="NMX126" s="751"/>
      <c r="NMY126" s="751"/>
      <c r="NMZ126" s="751"/>
      <c r="NNA126" s="751"/>
      <c r="NNB126" s="751"/>
      <c r="NNC126" s="751"/>
      <c r="NND126" s="751"/>
      <c r="NNE126" s="751"/>
      <c r="NNF126" s="751"/>
      <c r="NNG126" s="751"/>
      <c r="NNH126" s="751"/>
      <c r="NNI126" s="751"/>
      <c r="NNJ126" s="751"/>
      <c r="NNK126" s="751"/>
      <c r="NNL126" s="751"/>
      <c r="NNM126" s="751"/>
      <c r="NNN126" s="751"/>
      <c r="NNO126" s="751"/>
      <c r="NNP126" s="751"/>
      <c r="NNQ126" s="751"/>
      <c r="NNR126" s="751"/>
      <c r="NNS126" s="751"/>
      <c r="NNT126" s="751"/>
      <c r="NNU126" s="751"/>
      <c r="NNV126" s="751"/>
      <c r="NNW126" s="751"/>
      <c r="NNX126" s="751"/>
      <c r="NNY126" s="751"/>
      <c r="NNZ126" s="751"/>
      <c r="NOA126" s="751"/>
      <c r="NOB126" s="751"/>
      <c r="NOC126" s="751"/>
      <c r="NOD126" s="751"/>
      <c r="NOE126" s="751"/>
      <c r="NOF126" s="751"/>
      <c r="NOG126" s="751"/>
      <c r="NOH126" s="751"/>
      <c r="NOI126" s="751"/>
      <c r="NOJ126" s="751"/>
      <c r="NOK126" s="751"/>
      <c r="NOL126" s="751"/>
      <c r="NOM126" s="751"/>
      <c r="NON126" s="751"/>
      <c r="NOO126" s="751"/>
      <c r="NOP126" s="751"/>
      <c r="NOQ126" s="751"/>
      <c r="NOR126" s="751"/>
      <c r="NOS126" s="751"/>
      <c r="NOT126" s="751"/>
      <c r="NOU126" s="751"/>
      <c r="NOV126" s="751"/>
      <c r="NOW126" s="751"/>
      <c r="NOX126" s="751"/>
      <c r="NOY126" s="751"/>
      <c r="NOZ126" s="751"/>
      <c r="NPA126" s="751"/>
      <c r="NPB126" s="751"/>
      <c r="NPC126" s="751"/>
      <c r="NPD126" s="751"/>
      <c r="NPE126" s="751"/>
      <c r="NPF126" s="751"/>
      <c r="NPG126" s="751"/>
      <c r="NPH126" s="751"/>
      <c r="NPI126" s="751"/>
      <c r="NPJ126" s="751"/>
      <c r="NPK126" s="751"/>
      <c r="NPL126" s="751"/>
      <c r="NPM126" s="751"/>
      <c r="NPN126" s="751"/>
      <c r="NPO126" s="751"/>
      <c r="NPP126" s="751"/>
      <c r="NPQ126" s="751"/>
      <c r="NPR126" s="751"/>
      <c r="NPS126" s="751"/>
      <c r="NPT126" s="751"/>
      <c r="NPU126" s="751"/>
      <c r="NPV126" s="751"/>
      <c r="NPW126" s="751"/>
      <c r="NPX126" s="751"/>
      <c r="NPY126" s="751"/>
      <c r="NPZ126" s="751"/>
      <c r="NQA126" s="751"/>
      <c r="NQB126" s="751"/>
      <c r="NQC126" s="751"/>
      <c r="NQD126" s="751"/>
      <c r="NQE126" s="751"/>
      <c r="NQF126" s="751"/>
      <c r="NQG126" s="751"/>
      <c r="NQH126" s="751"/>
      <c r="NQI126" s="751"/>
      <c r="NQJ126" s="751"/>
      <c r="NQK126" s="751"/>
      <c r="NQL126" s="751"/>
      <c r="NQM126" s="751"/>
      <c r="NQN126" s="751"/>
      <c r="NQO126" s="751"/>
      <c r="NQP126" s="751"/>
      <c r="NQQ126" s="751"/>
      <c r="NQR126" s="751"/>
      <c r="NQS126" s="751"/>
      <c r="NQT126" s="751"/>
      <c r="NQU126" s="751"/>
      <c r="NQV126" s="751"/>
      <c r="NQW126" s="751"/>
      <c r="NQX126" s="751"/>
      <c r="NQY126" s="751"/>
      <c r="NQZ126" s="751"/>
      <c r="NRA126" s="751"/>
      <c r="NRB126" s="751"/>
      <c r="NRC126" s="751"/>
      <c r="NRD126" s="751"/>
      <c r="NRE126" s="751"/>
      <c r="NRF126" s="751"/>
      <c r="NRG126" s="751"/>
      <c r="NRH126" s="751"/>
      <c r="NRI126" s="751"/>
      <c r="NRJ126" s="751"/>
      <c r="NRK126" s="751"/>
      <c r="NRL126" s="751"/>
      <c r="NRM126" s="751"/>
      <c r="NRN126" s="751"/>
      <c r="NRO126" s="751"/>
      <c r="NRP126" s="751"/>
      <c r="NRQ126" s="751"/>
      <c r="NRR126" s="751"/>
      <c r="NRS126" s="751"/>
      <c r="NRT126" s="751"/>
      <c r="NRU126" s="751"/>
      <c r="NRV126" s="751"/>
      <c r="NRW126" s="751"/>
      <c r="NRX126" s="751"/>
      <c r="NRY126" s="751"/>
      <c r="NRZ126" s="751"/>
      <c r="NSA126" s="751"/>
      <c r="NSB126" s="751"/>
      <c r="NSC126" s="751"/>
      <c r="NSD126" s="751"/>
      <c r="NSE126" s="751"/>
      <c r="NSF126" s="751"/>
      <c r="NSG126" s="751"/>
      <c r="NSH126" s="751"/>
      <c r="NSI126" s="751"/>
      <c r="NSJ126" s="751"/>
      <c r="NSK126" s="751"/>
      <c r="NSL126" s="751"/>
      <c r="NSM126" s="751"/>
      <c r="NSN126" s="751"/>
      <c r="NSO126" s="751"/>
      <c r="NSP126" s="751"/>
      <c r="NSQ126" s="751"/>
      <c r="NSR126" s="751"/>
      <c r="NSS126" s="751"/>
      <c r="NST126" s="751"/>
      <c r="NSU126" s="751"/>
      <c r="NSV126" s="751"/>
      <c r="NSW126" s="751"/>
      <c r="NSX126" s="751"/>
      <c r="NSY126" s="751"/>
      <c r="NSZ126" s="751"/>
      <c r="NTA126" s="751"/>
      <c r="NTB126" s="751"/>
      <c r="NTC126" s="751"/>
      <c r="NTD126" s="751"/>
      <c r="NTE126" s="751"/>
      <c r="NTF126" s="751"/>
      <c r="NTG126" s="751"/>
      <c r="NTH126" s="751"/>
      <c r="NTI126" s="751"/>
      <c r="NTJ126" s="751"/>
      <c r="NTK126" s="751"/>
      <c r="NTL126" s="751"/>
      <c r="NTM126" s="751"/>
      <c r="NTN126" s="751"/>
      <c r="NTO126" s="751"/>
      <c r="NTP126" s="751"/>
      <c r="NTQ126" s="751"/>
      <c r="NTR126" s="751"/>
      <c r="NTS126" s="751"/>
      <c r="NTT126" s="751"/>
      <c r="NTU126" s="751"/>
      <c r="NTV126" s="751"/>
      <c r="NTW126" s="751"/>
      <c r="NTX126" s="751"/>
      <c r="NTY126" s="751"/>
      <c r="NTZ126" s="751"/>
      <c r="NUA126" s="751"/>
      <c r="NUB126" s="751"/>
      <c r="NUC126" s="751"/>
      <c r="NUD126" s="751"/>
      <c r="NUE126" s="751"/>
      <c r="NUF126" s="751"/>
      <c r="NUG126" s="751"/>
      <c r="NUH126" s="751"/>
      <c r="NUI126" s="751"/>
      <c r="NUJ126" s="751"/>
      <c r="NUK126" s="751"/>
      <c r="NUL126" s="751"/>
      <c r="NUM126" s="751"/>
      <c r="NUN126" s="751"/>
      <c r="NUO126" s="751"/>
      <c r="NUP126" s="751"/>
      <c r="NUQ126" s="751"/>
      <c r="NUR126" s="751"/>
      <c r="NUS126" s="751"/>
      <c r="NUT126" s="751"/>
      <c r="NUU126" s="751"/>
      <c r="NUV126" s="751"/>
      <c r="NUW126" s="751"/>
      <c r="NUX126" s="751"/>
      <c r="NUY126" s="751"/>
      <c r="NUZ126" s="751"/>
      <c r="NVA126" s="751"/>
      <c r="NVB126" s="751"/>
      <c r="NVC126" s="751"/>
      <c r="NVD126" s="751"/>
      <c r="NVE126" s="751"/>
      <c r="NVF126" s="751"/>
      <c r="NVG126" s="751"/>
      <c r="NVH126" s="751"/>
      <c r="NVI126" s="751"/>
      <c r="NVJ126" s="751"/>
      <c r="NVK126" s="751"/>
      <c r="NVL126" s="751"/>
      <c r="NVM126" s="751"/>
      <c r="NVN126" s="751"/>
      <c r="NVO126" s="751"/>
      <c r="NVP126" s="751"/>
      <c r="NVQ126" s="751"/>
      <c r="NVR126" s="751"/>
      <c r="NVS126" s="751"/>
      <c r="NVT126" s="751"/>
      <c r="NVU126" s="751"/>
      <c r="NVV126" s="751"/>
      <c r="NVW126" s="751"/>
      <c r="NVX126" s="751"/>
      <c r="NVY126" s="751"/>
      <c r="NVZ126" s="751"/>
      <c r="NWA126" s="751"/>
      <c r="NWB126" s="751"/>
      <c r="NWC126" s="751"/>
      <c r="NWD126" s="751"/>
      <c r="NWE126" s="751"/>
      <c r="NWF126" s="751"/>
      <c r="NWG126" s="751"/>
      <c r="NWH126" s="751"/>
      <c r="NWI126" s="751"/>
      <c r="NWJ126" s="751"/>
      <c r="NWK126" s="751"/>
      <c r="NWL126" s="751"/>
      <c r="NWM126" s="751"/>
      <c r="NWN126" s="751"/>
      <c r="NWO126" s="751"/>
      <c r="NWP126" s="751"/>
      <c r="NWQ126" s="751"/>
      <c r="NWR126" s="751"/>
      <c r="NWS126" s="751"/>
      <c r="NWT126" s="751"/>
      <c r="NWU126" s="751"/>
      <c r="NWV126" s="751"/>
      <c r="NWW126" s="751"/>
      <c r="NWX126" s="751"/>
      <c r="NWY126" s="751"/>
      <c r="NWZ126" s="751"/>
      <c r="NXA126" s="751"/>
      <c r="NXB126" s="751"/>
      <c r="NXC126" s="751"/>
      <c r="NXD126" s="751"/>
      <c r="NXE126" s="751"/>
      <c r="NXF126" s="751"/>
      <c r="NXG126" s="751"/>
      <c r="NXH126" s="751"/>
      <c r="NXI126" s="751"/>
      <c r="NXJ126" s="751"/>
      <c r="NXK126" s="751"/>
      <c r="NXL126" s="751"/>
      <c r="NXM126" s="751"/>
      <c r="NXN126" s="751"/>
      <c r="NXO126" s="751"/>
      <c r="NXP126" s="751"/>
      <c r="NXQ126" s="751"/>
      <c r="NXR126" s="751"/>
      <c r="NXS126" s="751"/>
      <c r="NXT126" s="751"/>
      <c r="NXU126" s="751"/>
      <c r="NXV126" s="751"/>
      <c r="NXW126" s="751"/>
      <c r="NXX126" s="751"/>
      <c r="NXY126" s="751"/>
      <c r="NXZ126" s="751"/>
      <c r="NYA126" s="751"/>
      <c r="NYB126" s="751"/>
      <c r="NYC126" s="751"/>
      <c r="NYD126" s="751"/>
      <c r="NYE126" s="751"/>
      <c r="NYF126" s="751"/>
      <c r="NYG126" s="751"/>
      <c r="NYH126" s="751"/>
      <c r="NYI126" s="751"/>
      <c r="NYJ126" s="751"/>
      <c r="NYK126" s="751"/>
      <c r="NYL126" s="751"/>
      <c r="NYM126" s="751"/>
      <c r="NYN126" s="751"/>
      <c r="NYO126" s="751"/>
      <c r="NYP126" s="751"/>
      <c r="NYQ126" s="751"/>
      <c r="NYR126" s="751"/>
      <c r="NYS126" s="751"/>
      <c r="NYT126" s="751"/>
      <c r="NYU126" s="751"/>
      <c r="NYV126" s="751"/>
      <c r="NYW126" s="751"/>
      <c r="NYX126" s="751"/>
      <c r="NYY126" s="751"/>
      <c r="NYZ126" s="751"/>
      <c r="NZA126" s="751"/>
      <c r="NZB126" s="751"/>
      <c r="NZC126" s="751"/>
      <c r="NZD126" s="751"/>
      <c r="NZE126" s="751"/>
      <c r="NZF126" s="751"/>
      <c r="NZG126" s="751"/>
      <c r="NZH126" s="751"/>
      <c r="NZI126" s="751"/>
      <c r="NZJ126" s="751"/>
      <c r="NZK126" s="751"/>
      <c r="NZL126" s="751"/>
      <c r="NZM126" s="751"/>
      <c r="NZN126" s="751"/>
      <c r="NZO126" s="751"/>
      <c r="NZP126" s="751"/>
      <c r="NZQ126" s="751"/>
      <c r="NZR126" s="751"/>
      <c r="NZS126" s="751"/>
      <c r="NZT126" s="751"/>
      <c r="NZU126" s="751"/>
      <c r="NZV126" s="751"/>
      <c r="NZW126" s="751"/>
      <c r="NZX126" s="751"/>
      <c r="NZY126" s="751"/>
      <c r="NZZ126" s="751"/>
      <c r="OAA126" s="751"/>
      <c r="OAB126" s="751"/>
      <c r="OAC126" s="751"/>
      <c r="OAD126" s="751"/>
      <c r="OAE126" s="751"/>
      <c r="OAF126" s="751"/>
      <c r="OAG126" s="751"/>
      <c r="OAH126" s="751"/>
      <c r="OAI126" s="751"/>
      <c r="OAJ126" s="751"/>
      <c r="OAK126" s="751"/>
      <c r="OAL126" s="751"/>
      <c r="OAM126" s="751"/>
      <c r="OAN126" s="751"/>
      <c r="OAO126" s="751"/>
      <c r="OAP126" s="751"/>
      <c r="OAQ126" s="751"/>
      <c r="OAR126" s="751"/>
      <c r="OAS126" s="751"/>
      <c r="OAT126" s="751"/>
      <c r="OAU126" s="751"/>
      <c r="OAV126" s="751"/>
      <c r="OAW126" s="751"/>
      <c r="OAX126" s="751"/>
      <c r="OAY126" s="751"/>
      <c r="OAZ126" s="751"/>
      <c r="OBA126" s="751"/>
      <c r="OBB126" s="751"/>
      <c r="OBC126" s="751"/>
      <c r="OBD126" s="751"/>
      <c r="OBE126" s="751"/>
      <c r="OBF126" s="751"/>
      <c r="OBG126" s="751"/>
      <c r="OBH126" s="751"/>
      <c r="OBI126" s="751"/>
      <c r="OBJ126" s="751"/>
      <c r="OBK126" s="751"/>
      <c r="OBL126" s="751"/>
      <c r="OBM126" s="751"/>
      <c r="OBN126" s="751"/>
      <c r="OBO126" s="751"/>
      <c r="OBP126" s="751"/>
      <c r="OBQ126" s="751"/>
      <c r="OBR126" s="751"/>
      <c r="OBS126" s="751"/>
      <c r="OBT126" s="751"/>
      <c r="OBU126" s="751"/>
      <c r="OBV126" s="751"/>
      <c r="OBW126" s="751"/>
      <c r="OBX126" s="751"/>
      <c r="OBY126" s="751"/>
      <c r="OBZ126" s="751"/>
      <c r="OCA126" s="751"/>
      <c r="OCB126" s="751"/>
      <c r="OCC126" s="751"/>
      <c r="OCD126" s="751"/>
      <c r="OCE126" s="751"/>
      <c r="OCF126" s="751"/>
      <c r="OCG126" s="751"/>
      <c r="OCH126" s="751"/>
      <c r="OCI126" s="751"/>
      <c r="OCJ126" s="751"/>
      <c r="OCK126" s="751"/>
      <c r="OCL126" s="751"/>
      <c r="OCM126" s="751"/>
      <c r="OCN126" s="751"/>
      <c r="OCO126" s="751"/>
      <c r="OCP126" s="751"/>
      <c r="OCQ126" s="751"/>
      <c r="OCR126" s="751"/>
      <c r="OCS126" s="751"/>
      <c r="OCT126" s="751"/>
      <c r="OCU126" s="751"/>
      <c r="OCV126" s="751"/>
      <c r="OCW126" s="751"/>
      <c r="OCX126" s="751"/>
      <c r="OCY126" s="751"/>
      <c r="OCZ126" s="751"/>
      <c r="ODA126" s="751"/>
      <c r="ODB126" s="751"/>
      <c r="ODC126" s="751"/>
      <c r="ODD126" s="751"/>
      <c r="ODE126" s="751"/>
      <c r="ODF126" s="751"/>
      <c r="ODG126" s="751"/>
      <c r="ODH126" s="751"/>
      <c r="ODI126" s="751"/>
      <c r="ODJ126" s="751"/>
      <c r="ODK126" s="751"/>
      <c r="ODL126" s="751"/>
      <c r="ODM126" s="751"/>
      <c r="ODN126" s="751"/>
      <c r="ODO126" s="751"/>
      <c r="ODP126" s="751"/>
      <c r="ODQ126" s="751"/>
      <c r="ODR126" s="751"/>
      <c r="ODS126" s="751"/>
      <c r="ODT126" s="751"/>
      <c r="ODU126" s="751"/>
      <c r="ODV126" s="751"/>
      <c r="ODW126" s="751"/>
      <c r="ODX126" s="751"/>
      <c r="ODY126" s="751"/>
      <c r="ODZ126" s="751"/>
      <c r="OEA126" s="751"/>
      <c r="OEB126" s="751"/>
      <c r="OEC126" s="751"/>
      <c r="OED126" s="751"/>
      <c r="OEE126" s="751"/>
      <c r="OEF126" s="751"/>
      <c r="OEG126" s="751"/>
      <c r="OEH126" s="751"/>
      <c r="OEI126" s="751"/>
      <c r="OEJ126" s="751"/>
      <c r="OEK126" s="751"/>
      <c r="OEL126" s="751"/>
      <c r="OEM126" s="751"/>
      <c r="OEN126" s="751"/>
      <c r="OEO126" s="751"/>
      <c r="OEP126" s="751"/>
      <c r="OEQ126" s="751"/>
      <c r="OER126" s="751"/>
      <c r="OES126" s="751"/>
      <c r="OET126" s="751"/>
      <c r="OEU126" s="751"/>
      <c r="OEV126" s="751"/>
      <c r="OEW126" s="751"/>
      <c r="OEX126" s="751"/>
      <c r="OEY126" s="751"/>
      <c r="OEZ126" s="751"/>
      <c r="OFA126" s="751"/>
      <c r="OFB126" s="751"/>
      <c r="OFC126" s="751"/>
      <c r="OFD126" s="751"/>
      <c r="OFE126" s="751"/>
      <c r="OFF126" s="751"/>
      <c r="OFG126" s="751"/>
      <c r="OFH126" s="751"/>
      <c r="OFI126" s="751"/>
      <c r="OFJ126" s="751"/>
      <c r="OFK126" s="751"/>
      <c r="OFL126" s="751"/>
      <c r="OFM126" s="751"/>
      <c r="OFN126" s="751"/>
      <c r="OFO126" s="751"/>
      <c r="OFP126" s="751"/>
      <c r="OFQ126" s="751"/>
      <c r="OFR126" s="751"/>
      <c r="OFS126" s="751"/>
      <c r="OFT126" s="751"/>
      <c r="OFU126" s="751"/>
      <c r="OFV126" s="751"/>
      <c r="OFW126" s="751"/>
      <c r="OFX126" s="751"/>
      <c r="OFY126" s="751"/>
      <c r="OFZ126" s="751"/>
      <c r="OGA126" s="751"/>
      <c r="OGB126" s="751"/>
      <c r="OGC126" s="751"/>
      <c r="OGD126" s="751"/>
      <c r="OGE126" s="751"/>
      <c r="OGF126" s="751"/>
      <c r="OGG126" s="751"/>
      <c r="OGH126" s="751"/>
      <c r="OGI126" s="751"/>
      <c r="OGJ126" s="751"/>
      <c r="OGK126" s="751"/>
      <c r="OGL126" s="751"/>
      <c r="OGM126" s="751"/>
      <c r="OGN126" s="751"/>
      <c r="OGO126" s="751"/>
      <c r="OGP126" s="751"/>
      <c r="OGQ126" s="751"/>
      <c r="OGR126" s="751"/>
      <c r="OGS126" s="751"/>
      <c r="OGT126" s="751"/>
      <c r="OGU126" s="751"/>
      <c r="OGV126" s="751"/>
      <c r="OGW126" s="751"/>
      <c r="OGX126" s="751"/>
      <c r="OGY126" s="751"/>
      <c r="OGZ126" s="751"/>
      <c r="OHA126" s="751"/>
      <c r="OHB126" s="751"/>
      <c r="OHC126" s="751"/>
      <c r="OHD126" s="751"/>
      <c r="OHE126" s="751"/>
      <c r="OHF126" s="751"/>
      <c r="OHG126" s="751"/>
      <c r="OHH126" s="751"/>
      <c r="OHI126" s="751"/>
      <c r="OHJ126" s="751"/>
      <c r="OHK126" s="751"/>
      <c r="OHL126" s="751"/>
      <c r="OHM126" s="751"/>
      <c r="OHN126" s="751"/>
      <c r="OHO126" s="751"/>
      <c r="OHP126" s="751"/>
      <c r="OHQ126" s="751"/>
      <c r="OHR126" s="751"/>
      <c r="OHS126" s="751"/>
      <c r="OHT126" s="751"/>
      <c r="OHU126" s="751"/>
      <c r="OHV126" s="751"/>
      <c r="OHW126" s="751"/>
      <c r="OHX126" s="751"/>
      <c r="OHY126" s="751"/>
      <c r="OHZ126" s="751"/>
      <c r="OIA126" s="751"/>
      <c r="OIB126" s="751"/>
      <c r="OIC126" s="751"/>
      <c r="OID126" s="751"/>
      <c r="OIE126" s="751"/>
      <c r="OIF126" s="751"/>
      <c r="OIG126" s="751"/>
      <c r="OIH126" s="751"/>
      <c r="OII126" s="751"/>
      <c r="OIJ126" s="751"/>
      <c r="OIK126" s="751"/>
      <c r="OIL126" s="751"/>
      <c r="OIM126" s="751"/>
      <c r="OIN126" s="751"/>
      <c r="OIO126" s="751"/>
      <c r="OIP126" s="751"/>
      <c r="OIQ126" s="751"/>
      <c r="OIR126" s="751"/>
      <c r="OIS126" s="751"/>
      <c r="OIT126" s="751"/>
      <c r="OIU126" s="751"/>
      <c r="OIV126" s="751"/>
      <c r="OIW126" s="751"/>
      <c r="OIX126" s="751"/>
      <c r="OIY126" s="751"/>
      <c r="OIZ126" s="751"/>
      <c r="OJA126" s="751"/>
      <c r="OJB126" s="751"/>
      <c r="OJC126" s="751"/>
      <c r="OJD126" s="751"/>
      <c r="OJE126" s="751"/>
      <c r="OJF126" s="751"/>
      <c r="OJG126" s="751"/>
      <c r="OJH126" s="751"/>
      <c r="OJI126" s="751"/>
      <c r="OJJ126" s="751"/>
      <c r="OJK126" s="751"/>
      <c r="OJL126" s="751"/>
      <c r="OJM126" s="751"/>
      <c r="OJN126" s="751"/>
      <c r="OJO126" s="751"/>
      <c r="OJP126" s="751"/>
      <c r="OJQ126" s="751"/>
      <c r="OJR126" s="751"/>
      <c r="OJS126" s="751"/>
      <c r="OJT126" s="751"/>
      <c r="OJU126" s="751"/>
      <c r="OJV126" s="751"/>
      <c r="OJW126" s="751"/>
      <c r="OJX126" s="751"/>
      <c r="OJY126" s="751"/>
      <c r="OJZ126" s="751"/>
      <c r="OKA126" s="751"/>
      <c r="OKB126" s="751"/>
      <c r="OKC126" s="751"/>
      <c r="OKD126" s="751"/>
      <c r="OKE126" s="751"/>
      <c r="OKF126" s="751"/>
      <c r="OKG126" s="751"/>
      <c r="OKH126" s="751"/>
      <c r="OKI126" s="751"/>
      <c r="OKJ126" s="751"/>
      <c r="OKK126" s="751"/>
      <c r="OKL126" s="751"/>
      <c r="OKM126" s="751"/>
      <c r="OKN126" s="751"/>
      <c r="OKO126" s="751"/>
      <c r="OKP126" s="751"/>
      <c r="OKQ126" s="751"/>
      <c r="OKR126" s="751"/>
      <c r="OKS126" s="751"/>
      <c r="OKT126" s="751"/>
      <c r="OKU126" s="751"/>
      <c r="OKV126" s="751"/>
      <c r="OKW126" s="751"/>
      <c r="OKX126" s="751"/>
      <c r="OKY126" s="751"/>
      <c r="OKZ126" s="751"/>
      <c r="OLA126" s="751"/>
      <c r="OLB126" s="751"/>
      <c r="OLC126" s="751"/>
      <c r="OLD126" s="751"/>
      <c r="OLE126" s="751"/>
      <c r="OLF126" s="751"/>
      <c r="OLG126" s="751"/>
      <c r="OLH126" s="751"/>
      <c r="OLI126" s="751"/>
      <c r="OLJ126" s="751"/>
      <c r="OLK126" s="751"/>
      <c r="OLL126" s="751"/>
      <c r="OLM126" s="751"/>
      <c r="OLN126" s="751"/>
      <c r="OLO126" s="751"/>
      <c r="OLP126" s="751"/>
      <c r="OLQ126" s="751"/>
      <c r="OLR126" s="751"/>
      <c r="OLS126" s="751"/>
      <c r="OLT126" s="751"/>
      <c r="OLU126" s="751"/>
      <c r="OLV126" s="751"/>
      <c r="OLW126" s="751"/>
      <c r="OLX126" s="751"/>
      <c r="OLY126" s="751"/>
      <c r="OLZ126" s="751"/>
      <c r="OMA126" s="751"/>
      <c r="OMB126" s="751"/>
      <c r="OMC126" s="751"/>
      <c r="OMD126" s="751"/>
      <c r="OME126" s="751"/>
      <c r="OMF126" s="751"/>
      <c r="OMG126" s="751"/>
      <c r="OMH126" s="751"/>
      <c r="OMI126" s="751"/>
      <c r="OMJ126" s="751"/>
      <c r="OMK126" s="751"/>
      <c r="OML126" s="751"/>
      <c r="OMM126" s="751"/>
      <c r="OMN126" s="751"/>
      <c r="OMO126" s="751"/>
      <c r="OMP126" s="751"/>
      <c r="OMQ126" s="751"/>
      <c r="OMR126" s="751"/>
      <c r="OMS126" s="751"/>
      <c r="OMT126" s="751"/>
      <c r="OMU126" s="751"/>
      <c r="OMV126" s="751"/>
      <c r="OMW126" s="751"/>
      <c r="OMX126" s="751"/>
      <c r="OMY126" s="751"/>
      <c r="OMZ126" s="751"/>
      <c r="ONA126" s="751"/>
      <c r="ONB126" s="751"/>
      <c r="ONC126" s="751"/>
      <c r="OND126" s="751"/>
      <c r="ONE126" s="751"/>
      <c r="ONF126" s="751"/>
      <c r="ONG126" s="751"/>
      <c r="ONH126" s="751"/>
      <c r="ONI126" s="751"/>
      <c r="ONJ126" s="751"/>
      <c r="ONK126" s="751"/>
      <c r="ONL126" s="751"/>
      <c r="ONM126" s="751"/>
      <c r="ONN126" s="751"/>
      <c r="ONO126" s="751"/>
      <c r="ONP126" s="751"/>
      <c r="ONQ126" s="751"/>
      <c r="ONR126" s="751"/>
      <c r="ONS126" s="751"/>
      <c r="ONT126" s="751"/>
      <c r="ONU126" s="751"/>
      <c r="ONV126" s="751"/>
      <c r="ONW126" s="751"/>
      <c r="ONX126" s="751"/>
      <c r="ONY126" s="751"/>
      <c r="ONZ126" s="751"/>
      <c r="OOA126" s="751"/>
      <c r="OOB126" s="751"/>
      <c r="OOC126" s="751"/>
      <c r="OOD126" s="751"/>
      <c r="OOE126" s="751"/>
      <c r="OOF126" s="751"/>
      <c r="OOG126" s="751"/>
      <c r="OOH126" s="751"/>
      <c r="OOI126" s="751"/>
      <c r="OOJ126" s="751"/>
      <c r="OOK126" s="751"/>
      <c r="OOL126" s="751"/>
      <c r="OOM126" s="751"/>
      <c r="OON126" s="751"/>
      <c r="OOO126" s="751"/>
      <c r="OOP126" s="751"/>
      <c r="OOQ126" s="751"/>
      <c r="OOR126" s="751"/>
      <c r="OOS126" s="751"/>
      <c r="OOT126" s="751"/>
      <c r="OOU126" s="751"/>
      <c r="OOV126" s="751"/>
      <c r="OOW126" s="751"/>
      <c r="OOX126" s="751"/>
      <c r="OOY126" s="751"/>
      <c r="OOZ126" s="751"/>
      <c r="OPA126" s="751"/>
      <c r="OPB126" s="751"/>
      <c r="OPC126" s="751"/>
      <c r="OPD126" s="751"/>
      <c r="OPE126" s="751"/>
      <c r="OPF126" s="751"/>
      <c r="OPG126" s="751"/>
      <c r="OPH126" s="751"/>
      <c r="OPI126" s="751"/>
      <c r="OPJ126" s="751"/>
      <c r="OPK126" s="751"/>
      <c r="OPL126" s="751"/>
      <c r="OPM126" s="751"/>
      <c r="OPN126" s="751"/>
      <c r="OPO126" s="751"/>
      <c r="OPP126" s="751"/>
      <c r="OPQ126" s="751"/>
      <c r="OPR126" s="751"/>
      <c r="OPS126" s="751"/>
      <c r="OPT126" s="751"/>
      <c r="OPU126" s="751"/>
      <c r="OPV126" s="751"/>
      <c r="OPW126" s="751"/>
      <c r="OPX126" s="751"/>
      <c r="OPY126" s="751"/>
      <c r="OPZ126" s="751"/>
      <c r="OQA126" s="751"/>
      <c r="OQB126" s="751"/>
      <c r="OQC126" s="751"/>
      <c r="OQD126" s="751"/>
      <c r="OQE126" s="751"/>
      <c r="OQF126" s="751"/>
      <c r="OQG126" s="751"/>
      <c r="OQH126" s="751"/>
      <c r="OQI126" s="751"/>
      <c r="OQJ126" s="751"/>
      <c r="OQK126" s="751"/>
      <c r="OQL126" s="751"/>
      <c r="OQM126" s="751"/>
      <c r="OQN126" s="751"/>
      <c r="OQO126" s="751"/>
      <c r="OQP126" s="751"/>
      <c r="OQQ126" s="751"/>
      <c r="OQR126" s="751"/>
      <c r="OQS126" s="751"/>
      <c r="OQT126" s="751"/>
      <c r="OQU126" s="751"/>
      <c r="OQV126" s="751"/>
      <c r="OQW126" s="751"/>
      <c r="OQX126" s="751"/>
      <c r="OQY126" s="751"/>
      <c r="OQZ126" s="751"/>
      <c r="ORA126" s="751"/>
      <c r="ORB126" s="751"/>
      <c r="ORC126" s="751"/>
      <c r="ORD126" s="751"/>
      <c r="ORE126" s="751"/>
      <c r="ORF126" s="751"/>
      <c r="ORG126" s="751"/>
      <c r="ORH126" s="751"/>
      <c r="ORI126" s="751"/>
      <c r="ORJ126" s="751"/>
      <c r="ORK126" s="751"/>
      <c r="ORL126" s="751"/>
      <c r="ORM126" s="751"/>
      <c r="ORN126" s="751"/>
      <c r="ORO126" s="751"/>
      <c r="ORP126" s="751"/>
      <c r="ORQ126" s="751"/>
      <c r="ORR126" s="751"/>
      <c r="ORS126" s="751"/>
      <c r="ORT126" s="751"/>
      <c r="ORU126" s="751"/>
      <c r="ORV126" s="751"/>
      <c r="ORW126" s="751"/>
      <c r="ORX126" s="751"/>
      <c r="ORY126" s="751"/>
      <c r="ORZ126" s="751"/>
      <c r="OSA126" s="751"/>
      <c r="OSB126" s="751"/>
      <c r="OSC126" s="751"/>
      <c r="OSD126" s="751"/>
      <c r="OSE126" s="751"/>
      <c r="OSF126" s="751"/>
      <c r="OSG126" s="751"/>
      <c r="OSH126" s="751"/>
      <c r="OSI126" s="751"/>
      <c r="OSJ126" s="751"/>
      <c r="OSK126" s="751"/>
      <c r="OSL126" s="751"/>
      <c r="OSM126" s="751"/>
      <c r="OSN126" s="751"/>
      <c r="OSO126" s="751"/>
      <c r="OSP126" s="751"/>
      <c r="OSQ126" s="751"/>
      <c r="OSR126" s="751"/>
      <c r="OSS126" s="751"/>
      <c r="OST126" s="751"/>
      <c r="OSU126" s="751"/>
      <c r="OSV126" s="751"/>
      <c r="OSW126" s="751"/>
      <c r="OSX126" s="751"/>
      <c r="OSY126" s="751"/>
      <c r="OSZ126" s="751"/>
      <c r="OTA126" s="751"/>
      <c r="OTB126" s="751"/>
      <c r="OTC126" s="751"/>
      <c r="OTD126" s="751"/>
      <c r="OTE126" s="751"/>
      <c r="OTF126" s="751"/>
      <c r="OTG126" s="751"/>
      <c r="OTH126" s="751"/>
      <c r="OTI126" s="751"/>
      <c r="OTJ126" s="751"/>
      <c r="OTK126" s="751"/>
      <c r="OTL126" s="751"/>
      <c r="OTM126" s="751"/>
      <c r="OTN126" s="751"/>
      <c r="OTO126" s="751"/>
      <c r="OTP126" s="751"/>
      <c r="OTQ126" s="751"/>
      <c r="OTR126" s="751"/>
      <c r="OTS126" s="751"/>
      <c r="OTT126" s="751"/>
      <c r="OTU126" s="751"/>
      <c r="OTV126" s="751"/>
      <c r="OTW126" s="751"/>
      <c r="OTX126" s="751"/>
      <c r="OTY126" s="751"/>
      <c r="OTZ126" s="751"/>
      <c r="OUA126" s="751"/>
      <c r="OUB126" s="751"/>
      <c r="OUC126" s="751"/>
      <c r="OUD126" s="751"/>
      <c r="OUE126" s="751"/>
      <c r="OUF126" s="751"/>
      <c r="OUG126" s="751"/>
      <c r="OUH126" s="751"/>
      <c r="OUI126" s="751"/>
      <c r="OUJ126" s="751"/>
      <c r="OUK126" s="751"/>
      <c r="OUL126" s="751"/>
      <c r="OUM126" s="751"/>
      <c r="OUN126" s="751"/>
      <c r="OUO126" s="751"/>
      <c r="OUP126" s="751"/>
      <c r="OUQ126" s="751"/>
      <c r="OUR126" s="751"/>
      <c r="OUS126" s="751"/>
      <c r="OUT126" s="751"/>
      <c r="OUU126" s="751"/>
      <c r="OUV126" s="751"/>
      <c r="OUW126" s="751"/>
      <c r="OUX126" s="751"/>
      <c r="OUY126" s="751"/>
      <c r="OUZ126" s="751"/>
      <c r="OVA126" s="751"/>
      <c r="OVB126" s="751"/>
      <c r="OVC126" s="751"/>
      <c r="OVD126" s="751"/>
      <c r="OVE126" s="751"/>
      <c r="OVF126" s="751"/>
      <c r="OVG126" s="751"/>
      <c r="OVH126" s="751"/>
      <c r="OVI126" s="751"/>
      <c r="OVJ126" s="751"/>
      <c r="OVK126" s="751"/>
      <c r="OVL126" s="751"/>
      <c r="OVM126" s="751"/>
      <c r="OVN126" s="751"/>
      <c r="OVO126" s="751"/>
      <c r="OVP126" s="751"/>
      <c r="OVQ126" s="751"/>
      <c r="OVR126" s="751"/>
      <c r="OVS126" s="751"/>
      <c r="OVT126" s="751"/>
      <c r="OVU126" s="751"/>
      <c r="OVV126" s="751"/>
      <c r="OVW126" s="751"/>
      <c r="OVX126" s="751"/>
      <c r="OVY126" s="751"/>
      <c r="OVZ126" s="751"/>
      <c r="OWA126" s="751"/>
      <c r="OWB126" s="751"/>
      <c r="OWC126" s="751"/>
      <c r="OWD126" s="751"/>
      <c r="OWE126" s="751"/>
      <c r="OWF126" s="751"/>
      <c r="OWG126" s="751"/>
      <c r="OWH126" s="751"/>
      <c r="OWI126" s="751"/>
      <c r="OWJ126" s="751"/>
      <c r="OWK126" s="751"/>
      <c r="OWL126" s="751"/>
      <c r="OWM126" s="751"/>
      <c r="OWN126" s="751"/>
      <c r="OWO126" s="751"/>
      <c r="OWP126" s="751"/>
      <c r="OWQ126" s="751"/>
      <c r="OWR126" s="751"/>
      <c r="OWS126" s="751"/>
      <c r="OWT126" s="751"/>
      <c r="OWU126" s="751"/>
      <c r="OWV126" s="751"/>
      <c r="OWW126" s="751"/>
      <c r="OWX126" s="751"/>
      <c r="OWY126" s="751"/>
      <c r="OWZ126" s="751"/>
      <c r="OXA126" s="751"/>
      <c r="OXB126" s="751"/>
      <c r="OXC126" s="751"/>
      <c r="OXD126" s="751"/>
      <c r="OXE126" s="751"/>
      <c r="OXF126" s="751"/>
      <c r="OXG126" s="751"/>
      <c r="OXH126" s="751"/>
      <c r="OXI126" s="751"/>
      <c r="OXJ126" s="751"/>
      <c r="OXK126" s="751"/>
      <c r="OXL126" s="751"/>
      <c r="OXM126" s="751"/>
      <c r="OXN126" s="751"/>
      <c r="OXO126" s="751"/>
      <c r="OXP126" s="751"/>
      <c r="OXQ126" s="751"/>
      <c r="OXR126" s="751"/>
      <c r="OXS126" s="751"/>
      <c r="OXT126" s="751"/>
      <c r="OXU126" s="751"/>
      <c r="OXV126" s="751"/>
      <c r="OXW126" s="751"/>
      <c r="OXX126" s="751"/>
      <c r="OXY126" s="751"/>
      <c r="OXZ126" s="751"/>
      <c r="OYA126" s="751"/>
      <c r="OYB126" s="751"/>
      <c r="OYC126" s="751"/>
      <c r="OYD126" s="751"/>
      <c r="OYE126" s="751"/>
      <c r="OYF126" s="751"/>
      <c r="OYG126" s="751"/>
      <c r="OYH126" s="751"/>
      <c r="OYI126" s="751"/>
      <c r="OYJ126" s="751"/>
      <c r="OYK126" s="751"/>
      <c r="OYL126" s="751"/>
      <c r="OYM126" s="751"/>
      <c r="OYN126" s="751"/>
      <c r="OYO126" s="751"/>
      <c r="OYP126" s="751"/>
      <c r="OYQ126" s="751"/>
      <c r="OYR126" s="751"/>
      <c r="OYS126" s="751"/>
      <c r="OYT126" s="751"/>
      <c r="OYU126" s="751"/>
      <c r="OYV126" s="751"/>
      <c r="OYW126" s="751"/>
      <c r="OYX126" s="751"/>
      <c r="OYY126" s="751"/>
      <c r="OYZ126" s="751"/>
      <c r="OZA126" s="751"/>
      <c r="OZB126" s="751"/>
      <c r="OZC126" s="751"/>
      <c r="OZD126" s="751"/>
      <c r="OZE126" s="751"/>
      <c r="OZF126" s="751"/>
      <c r="OZG126" s="751"/>
      <c r="OZH126" s="751"/>
      <c r="OZI126" s="751"/>
      <c r="OZJ126" s="751"/>
      <c r="OZK126" s="751"/>
      <c r="OZL126" s="751"/>
      <c r="OZM126" s="751"/>
      <c r="OZN126" s="751"/>
      <c r="OZO126" s="751"/>
      <c r="OZP126" s="751"/>
      <c r="OZQ126" s="751"/>
      <c r="OZR126" s="751"/>
      <c r="OZS126" s="751"/>
      <c r="OZT126" s="751"/>
      <c r="OZU126" s="751"/>
      <c r="OZV126" s="751"/>
      <c r="OZW126" s="751"/>
      <c r="OZX126" s="751"/>
      <c r="OZY126" s="751"/>
      <c r="OZZ126" s="751"/>
      <c r="PAA126" s="751"/>
      <c r="PAB126" s="751"/>
      <c r="PAC126" s="751"/>
      <c r="PAD126" s="751"/>
      <c r="PAE126" s="751"/>
      <c r="PAF126" s="751"/>
      <c r="PAG126" s="751"/>
      <c r="PAH126" s="751"/>
      <c r="PAI126" s="751"/>
      <c r="PAJ126" s="751"/>
      <c r="PAK126" s="751"/>
      <c r="PAL126" s="751"/>
      <c r="PAM126" s="751"/>
      <c r="PAN126" s="751"/>
      <c r="PAO126" s="751"/>
      <c r="PAP126" s="751"/>
      <c r="PAQ126" s="751"/>
      <c r="PAR126" s="751"/>
      <c r="PAS126" s="751"/>
      <c r="PAT126" s="751"/>
      <c r="PAU126" s="751"/>
      <c r="PAV126" s="751"/>
      <c r="PAW126" s="751"/>
      <c r="PAX126" s="751"/>
      <c r="PAY126" s="751"/>
      <c r="PAZ126" s="751"/>
      <c r="PBA126" s="751"/>
      <c r="PBB126" s="751"/>
      <c r="PBC126" s="751"/>
      <c r="PBD126" s="751"/>
      <c r="PBE126" s="751"/>
      <c r="PBF126" s="751"/>
      <c r="PBG126" s="751"/>
      <c r="PBH126" s="751"/>
      <c r="PBI126" s="751"/>
      <c r="PBJ126" s="751"/>
      <c r="PBK126" s="751"/>
      <c r="PBL126" s="751"/>
      <c r="PBM126" s="751"/>
      <c r="PBN126" s="751"/>
      <c r="PBO126" s="751"/>
      <c r="PBP126" s="751"/>
      <c r="PBQ126" s="751"/>
      <c r="PBR126" s="751"/>
      <c r="PBS126" s="751"/>
      <c r="PBT126" s="751"/>
      <c r="PBU126" s="751"/>
      <c r="PBV126" s="751"/>
      <c r="PBW126" s="751"/>
      <c r="PBX126" s="751"/>
      <c r="PBY126" s="751"/>
      <c r="PBZ126" s="751"/>
      <c r="PCA126" s="751"/>
      <c r="PCB126" s="751"/>
      <c r="PCC126" s="751"/>
      <c r="PCD126" s="751"/>
      <c r="PCE126" s="751"/>
      <c r="PCF126" s="751"/>
      <c r="PCG126" s="751"/>
      <c r="PCH126" s="751"/>
      <c r="PCI126" s="751"/>
      <c r="PCJ126" s="751"/>
      <c r="PCK126" s="751"/>
      <c r="PCL126" s="751"/>
      <c r="PCM126" s="751"/>
      <c r="PCN126" s="751"/>
      <c r="PCO126" s="751"/>
      <c r="PCP126" s="751"/>
      <c r="PCQ126" s="751"/>
      <c r="PCR126" s="751"/>
      <c r="PCS126" s="751"/>
      <c r="PCT126" s="751"/>
      <c r="PCU126" s="751"/>
      <c r="PCV126" s="751"/>
      <c r="PCW126" s="751"/>
      <c r="PCX126" s="751"/>
      <c r="PCY126" s="751"/>
      <c r="PCZ126" s="751"/>
      <c r="PDA126" s="751"/>
      <c r="PDB126" s="751"/>
      <c r="PDC126" s="751"/>
      <c r="PDD126" s="751"/>
      <c r="PDE126" s="751"/>
      <c r="PDF126" s="751"/>
      <c r="PDG126" s="751"/>
      <c r="PDH126" s="751"/>
      <c r="PDI126" s="751"/>
      <c r="PDJ126" s="751"/>
      <c r="PDK126" s="751"/>
      <c r="PDL126" s="751"/>
      <c r="PDM126" s="751"/>
      <c r="PDN126" s="751"/>
      <c r="PDO126" s="751"/>
      <c r="PDP126" s="751"/>
      <c r="PDQ126" s="751"/>
      <c r="PDR126" s="751"/>
      <c r="PDS126" s="751"/>
      <c r="PDT126" s="751"/>
      <c r="PDU126" s="751"/>
      <c r="PDV126" s="751"/>
      <c r="PDW126" s="751"/>
      <c r="PDX126" s="751"/>
      <c r="PDY126" s="751"/>
      <c r="PDZ126" s="751"/>
      <c r="PEA126" s="751"/>
      <c r="PEB126" s="751"/>
      <c r="PEC126" s="751"/>
      <c r="PED126" s="751"/>
      <c r="PEE126" s="751"/>
      <c r="PEF126" s="751"/>
      <c r="PEG126" s="751"/>
      <c r="PEH126" s="751"/>
      <c r="PEI126" s="751"/>
      <c r="PEJ126" s="751"/>
      <c r="PEK126" s="751"/>
      <c r="PEL126" s="751"/>
      <c r="PEM126" s="751"/>
      <c r="PEN126" s="751"/>
      <c r="PEO126" s="751"/>
      <c r="PEP126" s="751"/>
      <c r="PEQ126" s="751"/>
      <c r="PER126" s="751"/>
      <c r="PES126" s="751"/>
      <c r="PET126" s="751"/>
      <c r="PEU126" s="751"/>
      <c r="PEV126" s="751"/>
      <c r="PEW126" s="751"/>
      <c r="PEX126" s="751"/>
      <c r="PEY126" s="751"/>
      <c r="PEZ126" s="751"/>
      <c r="PFA126" s="751"/>
      <c r="PFB126" s="751"/>
      <c r="PFC126" s="751"/>
      <c r="PFD126" s="751"/>
      <c r="PFE126" s="751"/>
      <c r="PFF126" s="751"/>
      <c r="PFG126" s="751"/>
      <c r="PFH126" s="751"/>
      <c r="PFI126" s="751"/>
      <c r="PFJ126" s="751"/>
      <c r="PFK126" s="751"/>
      <c r="PFL126" s="751"/>
      <c r="PFM126" s="751"/>
      <c r="PFN126" s="751"/>
      <c r="PFO126" s="751"/>
      <c r="PFP126" s="751"/>
      <c r="PFQ126" s="751"/>
      <c r="PFR126" s="751"/>
      <c r="PFS126" s="751"/>
      <c r="PFT126" s="751"/>
      <c r="PFU126" s="751"/>
      <c r="PFV126" s="751"/>
      <c r="PFW126" s="751"/>
      <c r="PFX126" s="751"/>
      <c r="PFY126" s="751"/>
      <c r="PFZ126" s="751"/>
      <c r="PGA126" s="751"/>
      <c r="PGB126" s="751"/>
      <c r="PGC126" s="751"/>
      <c r="PGD126" s="751"/>
      <c r="PGE126" s="751"/>
      <c r="PGF126" s="751"/>
      <c r="PGG126" s="751"/>
      <c r="PGH126" s="751"/>
      <c r="PGI126" s="751"/>
      <c r="PGJ126" s="751"/>
      <c r="PGK126" s="751"/>
      <c r="PGL126" s="751"/>
      <c r="PGM126" s="751"/>
      <c r="PGN126" s="751"/>
      <c r="PGO126" s="751"/>
      <c r="PGP126" s="751"/>
      <c r="PGQ126" s="751"/>
      <c r="PGR126" s="751"/>
      <c r="PGS126" s="751"/>
      <c r="PGT126" s="751"/>
      <c r="PGU126" s="751"/>
      <c r="PGV126" s="751"/>
      <c r="PGW126" s="751"/>
      <c r="PGX126" s="751"/>
      <c r="PGY126" s="751"/>
      <c r="PGZ126" s="751"/>
      <c r="PHA126" s="751"/>
      <c r="PHB126" s="751"/>
      <c r="PHC126" s="751"/>
      <c r="PHD126" s="751"/>
      <c r="PHE126" s="751"/>
      <c r="PHF126" s="751"/>
      <c r="PHG126" s="751"/>
      <c r="PHH126" s="751"/>
      <c r="PHI126" s="751"/>
      <c r="PHJ126" s="751"/>
      <c r="PHK126" s="751"/>
      <c r="PHL126" s="751"/>
      <c r="PHM126" s="751"/>
      <c r="PHN126" s="751"/>
      <c r="PHO126" s="751"/>
      <c r="PHP126" s="751"/>
      <c r="PHQ126" s="751"/>
      <c r="PHR126" s="751"/>
      <c r="PHS126" s="751"/>
      <c r="PHT126" s="751"/>
      <c r="PHU126" s="751"/>
      <c r="PHV126" s="751"/>
      <c r="PHW126" s="751"/>
      <c r="PHX126" s="751"/>
      <c r="PHY126" s="751"/>
      <c r="PHZ126" s="751"/>
      <c r="PIA126" s="751"/>
      <c r="PIB126" s="751"/>
      <c r="PIC126" s="751"/>
      <c r="PID126" s="751"/>
      <c r="PIE126" s="751"/>
      <c r="PIF126" s="751"/>
      <c r="PIG126" s="751"/>
      <c r="PIH126" s="751"/>
      <c r="PII126" s="751"/>
      <c r="PIJ126" s="751"/>
      <c r="PIK126" s="751"/>
      <c r="PIL126" s="751"/>
      <c r="PIM126" s="751"/>
      <c r="PIN126" s="751"/>
      <c r="PIO126" s="751"/>
      <c r="PIP126" s="751"/>
      <c r="PIQ126" s="751"/>
      <c r="PIR126" s="751"/>
      <c r="PIS126" s="751"/>
      <c r="PIT126" s="751"/>
      <c r="PIU126" s="751"/>
      <c r="PIV126" s="751"/>
      <c r="PIW126" s="751"/>
      <c r="PIX126" s="751"/>
      <c r="PIY126" s="751"/>
      <c r="PIZ126" s="751"/>
      <c r="PJA126" s="751"/>
      <c r="PJB126" s="751"/>
      <c r="PJC126" s="751"/>
      <c r="PJD126" s="751"/>
      <c r="PJE126" s="751"/>
      <c r="PJF126" s="751"/>
      <c r="PJG126" s="751"/>
      <c r="PJH126" s="751"/>
      <c r="PJI126" s="751"/>
      <c r="PJJ126" s="751"/>
      <c r="PJK126" s="751"/>
      <c r="PJL126" s="751"/>
      <c r="PJM126" s="751"/>
      <c r="PJN126" s="751"/>
      <c r="PJO126" s="751"/>
      <c r="PJP126" s="751"/>
      <c r="PJQ126" s="751"/>
      <c r="PJR126" s="751"/>
      <c r="PJS126" s="751"/>
      <c r="PJT126" s="751"/>
      <c r="PJU126" s="751"/>
      <c r="PJV126" s="751"/>
      <c r="PJW126" s="751"/>
      <c r="PJX126" s="751"/>
      <c r="PJY126" s="751"/>
      <c r="PJZ126" s="751"/>
      <c r="PKA126" s="751"/>
      <c r="PKB126" s="751"/>
      <c r="PKC126" s="751"/>
      <c r="PKD126" s="751"/>
      <c r="PKE126" s="751"/>
      <c r="PKF126" s="751"/>
      <c r="PKG126" s="751"/>
      <c r="PKH126" s="751"/>
      <c r="PKI126" s="751"/>
      <c r="PKJ126" s="751"/>
      <c r="PKK126" s="751"/>
      <c r="PKL126" s="751"/>
      <c r="PKM126" s="751"/>
      <c r="PKN126" s="751"/>
      <c r="PKO126" s="751"/>
      <c r="PKP126" s="751"/>
      <c r="PKQ126" s="751"/>
      <c r="PKR126" s="751"/>
      <c r="PKS126" s="751"/>
      <c r="PKT126" s="751"/>
      <c r="PKU126" s="751"/>
      <c r="PKV126" s="751"/>
      <c r="PKW126" s="751"/>
      <c r="PKX126" s="751"/>
      <c r="PKY126" s="751"/>
      <c r="PKZ126" s="751"/>
      <c r="PLA126" s="751"/>
      <c r="PLB126" s="751"/>
      <c r="PLC126" s="751"/>
      <c r="PLD126" s="751"/>
      <c r="PLE126" s="751"/>
      <c r="PLF126" s="751"/>
      <c r="PLG126" s="751"/>
      <c r="PLH126" s="751"/>
      <c r="PLI126" s="751"/>
      <c r="PLJ126" s="751"/>
      <c r="PLK126" s="751"/>
      <c r="PLL126" s="751"/>
      <c r="PLM126" s="751"/>
      <c r="PLN126" s="751"/>
      <c r="PLO126" s="751"/>
      <c r="PLP126" s="751"/>
      <c r="PLQ126" s="751"/>
      <c r="PLR126" s="751"/>
      <c r="PLS126" s="751"/>
      <c r="PLT126" s="751"/>
      <c r="PLU126" s="751"/>
      <c r="PLV126" s="751"/>
      <c r="PLW126" s="751"/>
      <c r="PLX126" s="751"/>
      <c r="PLY126" s="751"/>
      <c r="PLZ126" s="751"/>
      <c r="PMA126" s="751"/>
      <c r="PMB126" s="751"/>
      <c r="PMC126" s="751"/>
      <c r="PMD126" s="751"/>
      <c r="PME126" s="751"/>
      <c r="PMF126" s="751"/>
      <c r="PMG126" s="751"/>
      <c r="PMH126" s="751"/>
      <c r="PMI126" s="751"/>
      <c r="PMJ126" s="751"/>
      <c r="PMK126" s="751"/>
      <c r="PML126" s="751"/>
      <c r="PMM126" s="751"/>
      <c r="PMN126" s="751"/>
      <c r="PMO126" s="751"/>
      <c r="PMP126" s="751"/>
      <c r="PMQ126" s="751"/>
      <c r="PMR126" s="751"/>
      <c r="PMS126" s="751"/>
      <c r="PMT126" s="751"/>
      <c r="PMU126" s="751"/>
      <c r="PMV126" s="751"/>
      <c r="PMW126" s="751"/>
      <c r="PMX126" s="751"/>
      <c r="PMY126" s="751"/>
      <c r="PMZ126" s="751"/>
      <c r="PNA126" s="751"/>
      <c r="PNB126" s="751"/>
      <c r="PNC126" s="751"/>
      <c r="PND126" s="751"/>
      <c r="PNE126" s="751"/>
      <c r="PNF126" s="751"/>
      <c r="PNG126" s="751"/>
      <c r="PNH126" s="751"/>
      <c r="PNI126" s="751"/>
      <c r="PNJ126" s="751"/>
      <c r="PNK126" s="751"/>
      <c r="PNL126" s="751"/>
      <c r="PNM126" s="751"/>
      <c r="PNN126" s="751"/>
      <c r="PNO126" s="751"/>
      <c r="PNP126" s="751"/>
      <c r="PNQ126" s="751"/>
      <c r="PNR126" s="751"/>
      <c r="PNS126" s="751"/>
      <c r="PNT126" s="751"/>
      <c r="PNU126" s="751"/>
      <c r="PNV126" s="751"/>
      <c r="PNW126" s="751"/>
      <c r="PNX126" s="751"/>
      <c r="PNY126" s="751"/>
      <c r="PNZ126" s="751"/>
      <c r="POA126" s="751"/>
      <c r="POB126" s="751"/>
      <c r="POC126" s="751"/>
      <c r="POD126" s="751"/>
      <c r="POE126" s="751"/>
      <c r="POF126" s="751"/>
      <c r="POG126" s="751"/>
      <c r="POH126" s="751"/>
      <c r="POI126" s="751"/>
      <c r="POJ126" s="751"/>
      <c r="POK126" s="751"/>
      <c r="POL126" s="751"/>
      <c r="POM126" s="751"/>
      <c r="PON126" s="751"/>
      <c r="POO126" s="751"/>
      <c r="POP126" s="751"/>
      <c r="POQ126" s="751"/>
      <c r="POR126" s="751"/>
      <c r="POS126" s="751"/>
      <c r="POT126" s="751"/>
      <c r="POU126" s="751"/>
      <c r="POV126" s="751"/>
      <c r="POW126" s="751"/>
      <c r="POX126" s="751"/>
      <c r="POY126" s="751"/>
      <c r="POZ126" s="751"/>
      <c r="PPA126" s="751"/>
      <c r="PPB126" s="751"/>
      <c r="PPC126" s="751"/>
      <c r="PPD126" s="751"/>
      <c r="PPE126" s="751"/>
      <c r="PPF126" s="751"/>
      <c r="PPG126" s="751"/>
      <c r="PPH126" s="751"/>
      <c r="PPI126" s="751"/>
      <c r="PPJ126" s="751"/>
      <c r="PPK126" s="751"/>
      <c r="PPL126" s="751"/>
      <c r="PPM126" s="751"/>
      <c r="PPN126" s="751"/>
      <c r="PPO126" s="751"/>
      <c r="PPP126" s="751"/>
      <c r="PPQ126" s="751"/>
      <c r="PPR126" s="751"/>
      <c r="PPS126" s="751"/>
      <c r="PPT126" s="751"/>
      <c r="PPU126" s="751"/>
      <c r="PPV126" s="751"/>
      <c r="PPW126" s="751"/>
      <c r="PPX126" s="751"/>
      <c r="PPY126" s="751"/>
      <c r="PPZ126" s="751"/>
      <c r="PQA126" s="751"/>
      <c r="PQB126" s="751"/>
      <c r="PQC126" s="751"/>
      <c r="PQD126" s="751"/>
      <c r="PQE126" s="751"/>
      <c r="PQF126" s="751"/>
      <c r="PQG126" s="751"/>
      <c r="PQH126" s="751"/>
      <c r="PQI126" s="751"/>
      <c r="PQJ126" s="751"/>
      <c r="PQK126" s="751"/>
      <c r="PQL126" s="751"/>
      <c r="PQM126" s="751"/>
      <c r="PQN126" s="751"/>
      <c r="PQO126" s="751"/>
      <c r="PQP126" s="751"/>
      <c r="PQQ126" s="751"/>
      <c r="PQR126" s="751"/>
      <c r="PQS126" s="751"/>
      <c r="PQT126" s="751"/>
      <c r="PQU126" s="751"/>
      <c r="PQV126" s="751"/>
      <c r="PQW126" s="751"/>
      <c r="PQX126" s="751"/>
      <c r="PQY126" s="751"/>
      <c r="PQZ126" s="751"/>
      <c r="PRA126" s="751"/>
      <c r="PRB126" s="751"/>
      <c r="PRC126" s="751"/>
      <c r="PRD126" s="751"/>
      <c r="PRE126" s="751"/>
      <c r="PRF126" s="751"/>
      <c r="PRG126" s="751"/>
      <c r="PRH126" s="751"/>
      <c r="PRI126" s="751"/>
      <c r="PRJ126" s="751"/>
      <c r="PRK126" s="751"/>
      <c r="PRL126" s="751"/>
      <c r="PRM126" s="751"/>
      <c r="PRN126" s="751"/>
      <c r="PRO126" s="751"/>
      <c r="PRP126" s="751"/>
      <c r="PRQ126" s="751"/>
      <c r="PRR126" s="751"/>
      <c r="PRS126" s="751"/>
      <c r="PRT126" s="751"/>
      <c r="PRU126" s="751"/>
      <c r="PRV126" s="751"/>
      <c r="PRW126" s="751"/>
      <c r="PRX126" s="751"/>
      <c r="PRY126" s="751"/>
      <c r="PRZ126" s="751"/>
      <c r="PSA126" s="751"/>
      <c r="PSB126" s="751"/>
      <c r="PSC126" s="751"/>
      <c r="PSD126" s="751"/>
      <c r="PSE126" s="751"/>
      <c r="PSF126" s="751"/>
      <c r="PSG126" s="751"/>
      <c r="PSH126" s="751"/>
      <c r="PSI126" s="751"/>
      <c r="PSJ126" s="751"/>
      <c r="PSK126" s="751"/>
      <c r="PSL126" s="751"/>
      <c r="PSM126" s="751"/>
      <c r="PSN126" s="751"/>
      <c r="PSO126" s="751"/>
      <c r="PSP126" s="751"/>
      <c r="PSQ126" s="751"/>
      <c r="PSR126" s="751"/>
      <c r="PSS126" s="751"/>
      <c r="PST126" s="751"/>
      <c r="PSU126" s="751"/>
      <c r="PSV126" s="751"/>
      <c r="PSW126" s="751"/>
      <c r="PSX126" s="751"/>
      <c r="PSY126" s="751"/>
      <c r="PSZ126" s="751"/>
      <c r="PTA126" s="751"/>
      <c r="PTB126" s="751"/>
      <c r="PTC126" s="751"/>
      <c r="PTD126" s="751"/>
      <c r="PTE126" s="751"/>
      <c r="PTF126" s="751"/>
      <c r="PTG126" s="751"/>
      <c r="PTH126" s="751"/>
      <c r="PTI126" s="751"/>
      <c r="PTJ126" s="751"/>
      <c r="PTK126" s="751"/>
      <c r="PTL126" s="751"/>
      <c r="PTM126" s="751"/>
      <c r="PTN126" s="751"/>
      <c r="PTO126" s="751"/>
      <c r="PTP126" s="751"/>
      <c r="PTQ126" s="751"/>
      <c r="PTR126" s="751"/>
      <c r="PTS126" s="751"/>
      <c r="PTT126" s="751"/>
      <c r="PTU126" s="751"/>
      <c r="PTV126" s="751"/>
      <c r="PTW126" s="751"/>
      <c r="PTX126" s="751"/>
      <c r="PTY126" s="751"/>
      <c r="PTZ126" s="751"/>
      <c r="PUA126" s="751"/>
      <c r="PUB126" s="751"/>
      <c r="PUC126" s="751"/>
      <c r="PUD126" s="751"/>
      <c r="PUE126" s="751"/>
      <c r="PUF126" s="751"/>
      <c r="PUG126" s="751"/>
      <c r="PUH126" s="751"/>
      <c r="PUI126" s="751"/>
      <c r="PUJ126" s="751"/>
      <c r="PUK126" s="751"/>
      <c r="PUL126" s="751"/>
      <c r="PUM126" s="751"/>
      <c r="PUN126" s="751"/>
      <c r="PUO126" s="751"/>
      <c r="PUP126" s="751"/>
      <c r="PUQ126" s="751"/>
      <c r="PUR126" s="751"/>
      <c r="PUS126" s="751"/>
      <c r="PUT126" s="751"/>
      <c r="PUU126" s="751"/>
      <c r="PUV126" s="751"/>
      <c r="PUW126" s="751"/>
      <c r="PUX126" s="751"/>
      <c r="PUY126" s="751"/>
      <c r="PUZ126" s="751"/>
      <c r="PVA126" s="751"/>
      <c r="PVB126" s="751"/>
      <c r="PVC126" s="751"/>
      <c r="PVD126" s="751"/>
      <c r="PVE126" s="751"/>
      <c r="PVF126" s="751"/>
      <c r="PVG126" s="751"/>
      <c r="PVH126" s="751"/>
      <c r="PVI126" s="751"/>
      <c r="PVJ126" s="751"/>
      <c r="PVK126" s="751"/>
      <c r="PVL126" s="751"/>
      <c r="PVM126" s="751"/>
      <c r="PVN126" s="751"/>
      <c r="PVO126" s="751"/>
      <c r="PVP126" s="751"/>
      <c r="PVQ126" s="751"/>
      <c r="PVR126" s="751"/>
      <c r="PVS126" s="751"/>
      <c r="PVT126" s="751"/>
      <c r="PVU126" s="751"/>
      <c r="PVV126" s="751"/>
      <c r="PVW126" s="751"/>
      <c r="PVX126" s="751"/>
      <c r="PVY126" s="751"/>
      <c r="PVZ126" s="751"/>
      <c r="PWA126" s="751"/>
      <c r="PWB126" s="751"/>
      <c r="PWC126" s="751"/>
      <c r="PWD126" s="751"/>
      <c r="PWE126" s="751"/>
      <c r="PWF126" s="751"/>
      <c r="PWG126" s="751"/>
      <c r="PWH126" s="751"/>
      <c r="PWI126" s="751"/>
      <c r="PWJ126" s="751"/>
      <c r="PWK126" s="751"/>
      <c r="PWL126" s="751"/>
      <c r="PWM126" s="751"/>
      <c r="PWN126" s="751"/>
      <c r="PWO126" s="751"/>
      <c r="PWP126" s="751"/>
      <c r="PWQ126" s="751"/>
      <c r="PWR126" s="751"/>
      <c r="PWS126" s="751"/>
      <c r="PWT126" s="751"/>
      <c r="PWU126" s="751"/>
      <c r="PWV126" s="751"/>
      <c r="PWW126" s="751"/>
      <c r="PWX126" s="751"/>
      <c r="PWY126" s="751"/>
      <c r="PWZ126" s="751"/>
      <c r="PXA126" s="751"/>
      <c r="PXB126" s="751"/>
      <c r="PXC126" s="751"/>
      <c r="PXD126" s="751"/>
      <c r="PXE126" s="751"/>
      <c r="PXF126" s="751"/>
      <c r="PXG126" s="751"/>
      <c r="PXH126" s="751"/>
      <c r="PXI126" s="751"/>
      <c r="PXJ126" s="751"/>
      <c r="PXK126" s="751"/>
      <c r="PXL126" s="751"/>
      <c r="PXM126" s="751"/>
      <c r="PXN126" s="751"/>
      <c r="PXO126" s="751"/>
      <c r="PXP126" s="751"/>
      <c r="PXQ126" s="751"/>
      <c r="PXR126" s="751"/>
      <c r="PXS126" s="751"/>
      <c r="PXT126" s="751"/>
      <c r="PXU126" s="751"/>
      <c r="PXV126" s="751"/>
      <c r="PXW126" s="751"/>
      <c r="PXX126" s="751"/>
      <c r="PXY126" s="751"/>
      <c r="PXZ126" s="751"/>
      <c r="PYA126" s="751"/>
      <c r="PYB126" s="751"/>
      <c r="PYC126" s="751"/>
      <c r="PYD126" s="751"/>
      <c r="PYE126" s="751"/>
      <c r="PYF126" s="751"/>
      <c r="PYG126" s="751"/>
      <c r="PYH126" s="751"/>
      <c r="PYI126" s="751"/>
      <c r="PYJ126" s="751"/>
      <c r="PYK126" s="751"/>
      <c r="PYL126" s="751"/>
      <c r="PYM126" s="751"/>
      <c r="PYN126" s="751"/>
      <c r="PYO126" s="751"/>
      <c r="PYP126" s="751"/>
      <c r="PYQ126" s="751"/>
      <c r="PYR126" s="751"/>
      <c r="PYS126" s="751"/>
      <c r="PYT126" s="751"/>
      <c r="PYU126" s="751"/>
      <c r="PYV126" s="751"/>
      <c r="PYW126" s="751"/>
      <c r="PYX126" s="751"/>
      <c r="PYY126" s="751"/>
      <c r="PYZ126" s="751"/>
      <c r="PZA126" s="751"/>
      <c r="PZB126" s="751"/>
      <c r="PZC126" s="751"/>
      <c r="PZD126" s="751"/>
      <c r="PZE126" s="751"/>
      <c r="PZF126" s="751"/>
      <c r="PZG126" s="751"/>
      <c r="PZH126" s="751"/>
      <c r="PZI126" s="751"/>
      <c r="PZJ126" s="751"/>
      <c r="PZK126" s="751"/>
      <c r="PZL126" s="751"/>
      <c r="PZM126" s="751"/>
      <c r="PZN126" s="751"/>
      <c r="PZO126" s="751"/>
      <c r="PZP126" s="751"/>
      <c r="PZQ126" s="751"/>
      <c r="PZR126" s="751"/>
      <c r="PZS126" s="751"/>
      <c r="PZT126" s="751"/>
      <c r="PZU126" s="751"/>
      <c r="PZV126" s="751"/>
      <c r="PZW126" s="751"/>
      <c r="PZX126" s="751"/>
      <c r="PZY126" s="751"/>
      <c r="PZZ126" s="751"/>
      <c r="QAA126" s="751"/>
      <c r="QAB126" s="751"/>
      <c r="QAC126" s="751"/>
      <c r="QAD126" s="751"/>
      <c r="QAE126" s="751"/>
      <c r="QAF126" s="751"/>
      <c r="QAG126" s="751"/>
      <c r="QAH126" s="751"/>
      <c r="QAI126" s="751"/>
      <c r="QAJ126" s="751"/>
      <c r="QAK126" s="751"/>
      <c r="QAL126" s="751"/>
      <c r="QAM126" s="751"/>
      <c r="QAN126" s="751"/>
      <c r="QAO126" s="751"/>
      <c r="QAP126" s="751"/>
      <c r="QAQ126" s="751"/>
      <c r="QAR126" s="751"/>
      <c r="QAS126" s="751"/>
      <c r="QAT126" s="751"/>
      <c r="QAU126" s="751"/>
      <c r="QAV126" s="751"/>
      <c r="QAW126" s="751"/>
      <c r="QAX126" s="751"/>
      <c r="QAY126" s="751"/>
      <c r="QAZ126" s="751"/>
      <c r="QBA126" s="751"/>
      <c r="QBB126" s="751"/>
      <c r="QBC126" s="751"/>
      <c r="QBD126" s="751"/>
      <c r="QBE126" s="751"/>
      <c r="QBF126" s="751"/>
      <c r="QBG126" s="751"/>
      <c r="QBH126" s="751"/>
      <c r="QBI126" s="751"/>
      <c r="QBJ126" s="751"/>
      <c r="QBK126" s="751"/>
      <c r="QBL126" s="751"/>
      <c r="QBM126" s="751"/>
      <c r="QBN126" s="751"/>
      <c r="QBO126" s="751"/>
      <c r="QBP126" s="751"/>
      <c r="QBQ126" s="751"/>
      <c r="QBR126" s="751"/>
      <c r="QBS126" s="751"/>
      <c r="QBT126" s="751"/>
      <c r="QBU126" s="751"/>
      <c r="QBV126" s="751"/>
      <c r="QBW126" s="751"/>
      <c r="QBX126" s="751"/>
      <c r="QBY126" s="751"/>
      <c r="QBZ126" s="751"/>
      <c r="QCA126" s="751"/>
      <c r="QCB126" s="751"/>
      <c r="QCC126" s="751"/>
      <c r="QCD126" s="751"/>
      <c r="QCE126" s="751"/>
      <c r="QCF126" s="751"/>
      <c r="QCG126" s="751"/>
      <c r="QCH126" s="751"/>
      <c r="QCI126" s="751"/>
      <c r="QCJ126" s="751"/>
      <c r="QCK126" s="751"/>
      <c r="QCL126" s="751"/>
      <c r="QCM126" s="751"/>
      <c r="QCN126" s="751"/>
      <c r="QCO126" s="751"/>
      <c r="QCP126" s="751"/>
      <c r="QCQ126" s="751"/>
      <c r="QCR126" s="751"/>
      <c r="QCS126" s="751"/>
      <c r="QCT126" s="751"/>
      <c r="QCU126" s="751"/>
      <c r="QCV126" s="751"/>
      <c r="QCW126" s="751"/>
      <c r="QCX126" s="751"/>
      <c r="QCY126" s="751"/>
      <c r="QCZ126" s="751"/>
      <c r="QDA126" s="751"/>
      <c r="QDB126" s="751"/>
      <c r="QDC126" s="751"/>
      <c r="QDD126" s="751"/>
      <c r="QDE126" s="751"/>
      <c r="QDF126" s="751"/>
      <c r="QDG126" s="751"/>
      <c r="QDH126" s="751"/>
      <c r="QDI126" s="751"/>
      <c r="QDJ126" s="751"/>
      <c r="QDK126" s="751"/>
      <c r="QDL126" s="751"/>
      <c r="QDM126" s="751"/>
      <c r="QDN126" s="751"/>
      <c r="QDO126" s="751"/>
      <c r="QDP126" s="751"/>
      <c r="QDQ126" s="751"/>
      <c r="QDR126" s="751"/>
      <c r="QDS126" s="751"/>
      <c r="QDT126" s="751"/>
      <c r="QDU126" s="751"/>
      <c r="QDV126" s="751"/>
      <c r="QDW126" s="751"/>
      <c r="QDX126" s="751"/>
      <c r="QDY126" s="751"/>
      <c r="QDZ126" s="751"/>
      <c r="QEA126" s="751"/>
      <c r="QEB126" s="751"/>
      <c r="QEC126" s="751"/>
      <c r="QED126" s="751"/>
      <c r="QEE126" s="751"/>
      <c r="QEF126" s="751"/>
      <c r="QEG126" s="751"/>
      <c r="QEH126" s="751"/>
      <c r="QEI126" s="751"/>
      <c r="QEJ126" s="751"/>
      <c r="QEK126" s="751"/>
      <c r="QEL126" s="751"/>
      <c r="QEM126" s="751"/>
      <c r="QEN126" s="751"/>
      <c r="QEO126" s="751"/>
      <c r="QEP126" s="751"/>
      <c r="QEQ126" s="751"/>
      <c r="QER126" s="751"/>
      <c r="QES126" s="751"/>
      <c r="QET126" s="751"/>
      <c r="QEU126" s="751"/>
      <c r="QEV126" s="751"/>
      <c r="QEW126" s="751"/>
      <c r="QEX126" s="751"/>
      <c r="QEY126" s="751"/>
      <c r="QEZ126" s="751"/>
      <c r="QFA126" s="751"/>
      <c r="QFB126" s="751"/>
      <c r="QFC126" s="751"/>
      <c r="QFD126" s="751"/>
      <c r="QFE126" s="751"/>
      <c r="QFF126" s="751"/>
      <c r="QFG126" s="751"/>
      <c r="QFH126" s="751"/>
      <c r="QFI126" s="751"/>
      <c r="QFJ126" s="751"/>
      <c r="QFK126" s="751"/>
      <c r="QFL126" s="751"/>
      <c r="QFM126" s="751"/>
      <c r="QFN126" s="751"/>
      <c r="QFO126" s="751"/>
      <c r="QFP126" s="751"/>
      <c r="QFQ126" s="751"/>
      <c r="QFR126" s="751"/>
      <c r="QFS126" s="751"/>
      <c r="QFT126" s="751"/>
      <c r="QFU126" s="751"/>
      <c r="QFV126" s="751"/>
      <c r="QFW126" s="751"/>
      <c r="QFX126" s="751"/>
      <c r="QFY126" s="751"/>
      <c r="QFZ126" s="751"/>
      <c r="QGA126" s="751"/>
      <c r="QGB126" s="751"/>
      <c r="QGC126" s="751"/>
      <c r="QGD126" s="751"/>
      <c r="QGE126" s="751"/>
      <c r="QGF126" s="751"/>
      <c r="QGG126" s="751"/>
      <c r="QGH126" s="751"/>
      <c r="QGI126" s="751"/>
      <c r="QGJ126" s="751"/>
      <c r="QGK126" s="751"/>
      <c r="QGL126" s="751"/>
      <c r="QGM126" s="751"/>
      <c r="QGN126" s="751"/>
      <c r="QGO126" s="751"/>
      <c r="QGP126" s="751"/>
      <c r="QGQ126" s="751"/>
      <c r="QGR126" s="751"/>
      <c r="QGS126" s="751"/>
      <c r="QGT126" s="751"/>
      <c r="QGU126" s="751"/>
      <c r="QGV126" s="751"/>
      <c r="QGW126" s="751"/>
      <c r="QGX126" s="751"/>
      <c r="QGY126" s="751"/>
      <c r="QGZ126" s="751"/>
      <c r="QHA126" s="751"/>
      <c r="QHB126" s="751"/>
      <c r="QHC126" s="751"/>
      <c r="QHD126" s="751"/>
      <c r="QHE126" s="751"/>
      <c r="QHF126" s="751"/>
      <c r="QHG126" s="751"/>
      <c r="QHH126" s="751"/>
      <c r="QHI126" s="751"/>
      <c r="QHJ126" s="751"/>
      <c r="QHK126" s="751"/>
      <c r="QHL126" s="751"/>
      <c r="QHM126" s="751"/>
      <c r="QHN126" s="751"/>
      <c r="QHO126" s="751"/>
      <c r="QHP126" s="751"/>
      <c r="QHQ126" s="751"/>
      <c r="QHR126" s="751"/>
      <c r="QHS126" s="751"/>
      <c r="QHT126" s="751"/>
      <c r="QHU126" s="751"/>
      <c r="QHV126" s="751"/>
      <c r="QHW126" s="751"/>
      <c r="QHX126" s="751"/>
      <c r="QHY126" s="751"/>
      <c r="QHZ126" s="751"/>
      <c r="QIA126" s="751"/>
      <c r="QIB126" s="751"/>
      <c r="QIC126" s="751"/>
      <c r="QID126" s="751"/>
      <c r="QIE126" s="751"/>
      <c r="QIF126" s="751"/>
      <c r="QIG126" s="751"/>
      <c r="QIH126" s="751"/>
      <c r="QII126" s="751"/>
      <c r="QIJ126" s="751"/>
      <c r="QIK126" s="751"/>
      <c r="QIL126" s="751"/>
      <c r="QIM126" s="751"/>
      <c r="QIN126" s="751"/>
      <c r="QIO126" s="751"/>
      <c r="QIP126" s="751"/>
      <c r="QIQ126" s="751"/>
      <c r="QIR126" s="751"/>
      <c r="QIS126" s="751"/>
      <c r="QIT126" s="751"/>
      <c r="QIU126" s="751"/>
      <c r="QIV126" s="751"/>
      <c r="QIW126" s="751"/>
      <c r="QIX126" s="751"/>
      <c r="QIY126" s="751"/>
      <c r="QIZ126" s="751"/>
      <c r="QJA126" s="751"/>
      <c r="QJB126" s="751"/>
      <c r="QJC126" s="751"/>
      <c r="QJD126" s="751"/>
      <c r="QJE126" s="751"/>
      <c r="QJF126" s="751"/>
      <c r="QJG126" s="751"/>
      <c r="QJH126" s="751"/>
      <c r="QJI126" s="751"/>
      <c r="QJJ126" s="751"/>
      <c r="QJK126" s="751"/>
      <c r="QJL126" s="751"/>
      <c r="QJM126" s="751"/>
      <c r="QJN126" s="751"/>
      <c r="QJO126" s="751"/>
      <c r="QJP126" s="751"/>
      <c r="QJQ126" s="751"/>
      <c r="QJR126" s="751"/>
      <c r="QJS126" s="751"/>
      <c r="QJT126" s="751"/>
      <c r="QJU126" s="751"/>
      <c r="QJV126" s="751"/>
      <c r="QJW126" s="751"/>
      <c r="QJX126" s="751"/>
      <c r="QJY126" s="751"/>
      <c r="QJZ126" s="751"/>
      <c r="QKA126" s="751"/>
      <c r="QKB126" s="751"/>
      <c r="QKC126" s="751"/>
      <c r="QKD126" s="751"/>
      <c r="QKE126" s="751"/>
      <c r="QKF126" s="751"/>
      <c r="QKG126" s="751"/>
      <c r="QKH126" s="751"/>
      <c r="QKI126" s="751"/>
      <c r="QKJ126" s="751"/>
      <c r="QKK126" s="751"/>
      <c r="QKL126" s="751"/>
      <c r="QKM126" s="751"/>
      <c r="QKN126" s="751"/>
      <c r="QKO126" s="751"/>
      <c r="QKP126" s="751"/>
      <c r="QKQ126" s="751"/>
      <c r="QKR126" s="751"/>
      <c r="QKS126" s="751"/>
      <c r="QKT126" s="751"/>
      <c r="QKU126" s="751"/>
      <c r="QKV126" s="751"/>
      <c r="QKW126" s="751"/>
      <c r="QKX126" s="751"/>
      <c r="QKY126" s="751"/>
      <c r="QKZ126" s="751"/>
      <c r="QLA126" s="751"/>
      <c r="QLB126" s="751"/>
      <c r="QLC126" s="751"/>
      <c r="QLD126" s="751"/>
      <c r="QLE126" s="751"/>
      <c r="QLF126" s="751"/>
      <c r="QLG126" s="751"/>
      <c r="QLH126" s="751"/>
      <c r="QLI126" s="751"/>
      <c r="QLJ126" s="751"/>
      <c r="QLK126" s="751"/>
      <c r="QLL126" s="751"/>
      <c r="QLM126" s="751"/>
      <c r="QLN126" s="751"/>
      <c r="QLO126" s="751"/>
      <c r="QLP126" s="751"/>
      <c r="QLQ126" s="751"/>
      <c r="QLR126" s="751"/>
      <c r="QLS126" s="751"/>
      <c r="QLT126" s="751"/>
      <c r="QLU126" s="751"/>
      <c r="QLV126" s="751"/>
      <c r="QLW126" s="751"/>
      <c r="QLX126" s="751"/>
      <c r="QLY126" s="751"/>
      <c r="QLZ126" s="751"/>
      <c r="QMA126" s="751"/>
      <c r="QMB126" s="751"/>
      <c r="QMC126" s="751"/>
      <c r="QMD126" s="751"/>
      <c r="QME126" s="751"/>
      <c r="QMF126" s="751"/>
      <c r="QMG126" s="751"/>
      <c r="QMH126" s="751"/>
      <c r="QMI126" s="751"/>
      <c r="QMJ126" s="751"/>
      <c r="QMK126" s="751"/>
      <c r="QML126" s="751"/>
      <c r="QMM126" s="751"/>
      <c r="QMN126" s="751"/>
      <c r="QMO126" s="751"/>
      <c r="QMP126" s="751"/>
      <c r="QMQ126" s="751"/>
      <c r="QMR126" s="751"/>
      <c r="QMS126" s="751"/>
      <c r="QMT126" s="751"/>
      <c r="QMU126" s="751"/>
      <c r="QMV126" s="751"/>
      <c r="QMW126" s="751"/>
      <c r="QMX126" s="751"/>
      <c r="QMY126" s="751"/>
      <c r="QMZ126" s="751"/>
      <c r="QNA126" s="751"/>
      <c r="QNB126" s="751"/>
      <c r="QNC126" s="751"/>
      <c r="QND126" s="751"/>
      <c r="QNE126" s="751"/>
      <c r="QNF126" s="751"/>
      <c r="QNG126" s="751"/>
      <c r="QNH126" s="751"/>
      <c r="QNI126" s="751"/>
      <c r="QNJ126" s="751"/>
      <c r="QNK126" s="751"/>
      <c r="QNL126" s="751"/>
      <c r="QNM126" s="751"/>
      <c r="QNN126" s="751"/>
      <c r="QNO126" s="751"/>
      <c r="QNP126" s="751"/>
      <c r="QNQ126" s="751"/>
      <c r="QNR126" s="751"/>
      <c r="QNS126" s="751"/>
      <c r="QNT126" s="751"/>
      <c r="QNU126" s="751"/>
      <c r="QNV126" s="751"/>
      <c r="QNW126" s="751"/>
      <c r="QNX126" s="751"/>
      <c r="QNY126" s="751"/>
      <c r="QNZ126" s="751"/>
      <c r="QOA126" s="751"/>
      <c r="QOB126" s="751"/>
      <c r="QOC126" s="751"/>
      <c r="QOD126" s="751"/>
      <c r="QOE126" s="751"/>
      <c r="QOF126" s="751"/>
      <c r="QOG126" s="751"/>
      <c r="QOH126" s="751"/>
      <c r="QOI126" s="751"/>
      <c r="QOJ126" s="751"/>
      <c r="QOK126" s="751"/>
      <c r="QOL126" s="751"/>
      <c r="QOM126" s="751"/>
      <c r="QON126" s="751"/>
      <c r="QOO126" s="751"/>
      <c r="QOP126" s="751"/>
      <c r="QOQ126" s="751"/>
      <c r="QOR126" s="751"/>
      <c r="QOS126" s="751"/>
      <c r="QOT126" s="751"/>
      <c r="QOU126" s="751"/>
      <c r="QOV126" s="751"/>
      <c r="QOW126" s="751"/>
      <c r="QOX126" s="751"/>
      <c r="QOY126" s="751"/>
      <c r="QOZ126" s="751"/>
      <c r="QPA126" s="751"/>
      <c r="QPB126" s="751"/>
      <c r="QPC126" s="751"/>
      <c r="QPD126" s="751"/>
      <c r="QPE126" s="751"/>
      <c r="QPF126" s="751"/>
      <c r="QPG126" s="751"/>
      <c r="QPH126" s="751"/>
      <c r="QPI126" s="751"/>
      <c r="QPJ126" s="751"/>
      <c r="QPK126" s="751"/>
      <c r="QPL126" s="751"/>
      <c r="QPM126" s="751"/>
      <c r="QPN126" s="751"/>
      <c r="QPO126" s="751"/>
      <c r="QPP126" s="751"/>
      <c r="QPQ126" s="751"/>
      <c r="QPR126" s="751"/>
      <c r="QPS126" s="751"/>
      <c r="QPT126" s="751"/>
      <c r="QPU126" s="751"/>
      <c r="QPV126" s="751"/>
      <c r="QPW126" s="751"/>
      <c r="QPX126" s="751"/>
      <c r="QPY126" s="751"/>
      <c r="QPZ126" s="751"/>
      <c r="QQA126" s="751"/>
      <c r="QQB126" s="751"/>
      <c r="QQC126" s="751"/>
      <c r="QQD126" s="751"/>
      <c r="QQE126" s="751"/>
      <c r="QQF126" s="751"/>
      <c r="QQG126" s="751"/>
      <c r="QQH126" s="751"/>
      <c r="QQI126" s="751"/>
      <c r="QQJ126" s="751"/>
      <c r="QQK126" s="751"/>
      <c r="QQL126" s="751"/>
      <c r="QQM126" s="751"/>
      <c r="QQN126" s="751"/>
      <c r="QQO126" s="751"/>
      <c r="QQP126" s="751"/>
      <c r="QQQ126" s="751"/>
      <c r="QQR126" s="751"/>
      <c r="QQS126" s="751"/>
      <c r="QQT126" s="751"/>
      <c r="QQU126" s="751"/>
      <c r="QQV126" s="751"/>
      <c r="QQW126" s="751"/>
      <c r="QQX126" s="751"/>
      <c r="QQY126" s="751"/>
      <c r="QQZ126" s="751"/>
      <c r="QRA126" s="751"/>
      <c r="QRB126" s="751"/>
      <c r="QRC126" s="751"/>
      <c r="QRD126" s="751"/>
      <c r="QRE126" s="751"/>
      <c r="QRF126" s="751"/>
      <c r="QRG126" s="751"/>
      <c r="QRH126" s="751"/>
      <c r="QRI126" s="751"/>
      <c r="QRJ126" s="751"/>
      <c r="QRK126" s="751"/>
      <c r="QRL126" s="751"/>
      <c r="QRM126" s="751"/>
      <c r="QRN126" s="751"/>
      <c r="QRO126" s="751"/>
      <c r="QRP126" s="751"/>
      <c r="QRQ126" s="751"/>
      <c r="QRR126" s="751"/>
      <c r="QRS126" s="751"/>
      <c r="QRT126" s="751"/>
      <c r="QRU126" s="751"/>
      <c r="QRV126" s="751"/>
      <c r="QRW126" s="751"/>
      <c r="QRX126" s="751"/>
      <c r="QRY126" s="751"/>
      <c r="QRZ126" s="751"/>
      <c r="QSA126" s="751"/>
      <c r="QSB126" s="751"/>
      <c r="QSC126" s="751"/>
      <c r="QSD126" s="751"/>
      <c r="QSE126" s="751"/>
      <c r="QSF126" s="751"/>
      <c r="QSG126" s="751"/>
      <c r="QSH126" s="751"/>
      <c r="QSI126" s="751"/>
      <c r="QSJ126" s="751"/>
      <c r="QSK126" s="751"/>
      <c r="QSL126" s="751"/>
      <c r="QSM126" s="751"/>
      <c r="QSN126" s="751"/>
      <c r="QSO126" s="751"/>
      <c r="QSP126" s="751"/>
      <c r="QSQ126" s="751"/>
      <c r="QSR126" s="751"/>
      <c r="QSS126" s="751"/>
      <c r="QST126" s="751"/>
      <c r="QSU126" s="751"/>
      <c r="QSV126" s="751"/>
      <c r="QSW126" s="751"/>
      <c r="QSX126" s="751"/>
      <c r="QSY126" s="751"/>
      <c r="QSZ126" s="751"/>
      <c r="QTA126" s="751"/>
      <c r="QTB126" s="751"/>
      <c r="QTC126" s="751"/>
      <c r="QTD126" s="751"/>
      <c r="QTE126" s="751"/>
      <c r="QTF126" s="751"/>
      <c r="QTG126" s="751"/>
      <c r="QTH126" s="751"/>
      <c r="QTI126" s="751"/>
      <c r="QTJ126" s="751"/>
      <c r="QTK126" s="751"/>
      <c r="QTL126" s="751"/>
      <c r="QTM126" s="751"/>
      <c r="QTN126" s="751"/>
      <c r="QTO126" s="751"/>
      <c r="QTP126" s="751"/>
      <c r="QTQ126" s="751"/>
      <c r="QTR126" s="751"/>
      <c r="QTS126" s="751"/>
      <c r="QTT126" s="751"/>
      <c r="QTU126" s="751"/>
      <c r="QTV126" s="751"/>
      <c r="QTW126" s="751"/>
      <c r="QTX126" s="751"/>
      <c r="QTY126" s="751"/>
      <c r="QTZ126" s="751"/>
      <c r="QUA126" s="751"/>
      <c r="QUB126" s="751"/>
      <c r="QUC126" s="751"/>
      <c r="QUD126" s="751"/>
      <c r="QUE126" s="751"/>
      <c r="QUF126" s="751"/>
      <c r="QUG126" s="751"/>
      <c r="QUH126" s="751"/>
      <c r="QUI126" s="751"/>
      <c r="QUJ126" s="751"/>
      <c r="QUK126" s="751"/>
      <c r="QUL126" s="751"/>
      <c r="QUM126" s="751"/>
      <c r="QUN126" s="751"/>
      <c r="QUO126" s="751"/>
      <c r="QUP126" s="751"/>
      <c r="QUQ126" s="751"/>
      <c r="QUR126" s="751"/>
      <c r="QUS126" s="751"/>
      <c r="QUT126" s="751"/>
      <c r="QUU126" s="751"/>
      <c r="QUV126" s="751"/>
      <c r="QUW126" s="751"/>
      <c r="QUX126" s="751"/>
      <c r="QUY126" s="751"/>
      <c r="QUZ126" s="751"/>
      <c r="QVA126" s="751"/>
      <c r="QVB126" s="751"/>
      <c r="QVC126" s="751"/>
      <c r="QVD126" s="751"/>
      <c r="QVE126" s="751"/>
      <c r="QVF126" s="751"/>
      <c r="QVG126" s="751"/>
      <c r="QVH126" s="751"/>
      <c r="QVI126" s="751"/>
      <c r="QVJ126" s="751"/>
      <c r="QVK126" s="751"/>
      <c r="QVL126" s="751"/>
      <c r="QVM126" s="751"/>
      <c r="QVN126" s="751"/>
      <c r="QVO126" s="751"/>
      <c r="QVP126" s="751"/>
      <c r="QVQ126" s="751"/>
      <c r="QVR126" s="751"/>
      <c r="QVS126" s="751"/>
      <c r="QVT126" s="751"/>
      <c r="QVU126" s="751"/>
      <c r="QVV126" s="751"/>
      <c r="QVW126" s="751"/>
      <c r="QVX126" s="751"/>
      <c r="QVY126" s="751"/>
      <c r="QVZ126" s="751"/>
      <c r="QWA126" s="751"/>
      <c r="QWB126" s="751"/>
      <c r="QWC126" s="751"/>
      <c r="QWD126" s="751"/>
      <c r="QWE126" s="751"/>
      <c r="QWF126" s="751"/>
      <c r="QWG126" s="751"/>
      <c r="QWH126" s="751"/>
      <c r="QWI126" s="751"/>
      <c r="QWJ126" s="751"/>
      <c r="QWK126" s="751"/>
      <c r="QWL126" s="751"/>
      <c r="QWM126" s="751"/>
      <c r="QWN126" s="751"/>
      <c r="QWO126" s="751"/>
      <c r="QWP126" s="751"/>
      <c r="QWQ126" s="751"/>
      <c r="QWR126" s="751"/>
      <c r="QWS126" s="751"/>
      <c r="QWT126" s="751"/>
      <c r="QWU126" s="751"/>
      <c r="QWV126" s="751"/>
      <c r="QWW126" s="751"/>
      <c r="QWX126" s="751"/>
      <c r="QWY126" s="751"/>
      <c r="QWZ126" s="751"/>
      <c r="QXA126" s="751"/>
      <c r="QXB126" s="751"/>
      <c r="QXC126" s="751"/>
      <c r="QXD126" s="751"/>
      <c r="QXE126" s="751"/>
      <c r="QXF126" s="751"/>
      <c r="QXG126" s="751"/>
      <c r="QXH126" s="751"/>
      <c r="QXI126" s="751"/>
      <c r="QXJ126" s="751"/>
      <c r="QXK126" s="751"/>
      <c r="QXL126" s="751"/>
      <c r="QXM126" s="751"/>
      <c r="QXN126" s="751"/>
      <c r="QXO126" s="751"/>
      <c r="QXP126" s="751"/>
      <c r="QXQ126" s="751"/>
      <c r="QXR126" s="751"/>
      <c r="QXS126" s="751"/>
      <c r="QXT126" s="751"/>
      <c r="QXU126" s="751"/>
      <c r="QXV126" s="751"/>
      <c r="QXW126" s="751"/>
      <c r="QXX126" s="751"/>
      <c r="QXY126" s="751"/>
      <c r="QXZ126" s="751"/>
      <c r="QYA126" s="751"/>
      <c r="QYB126" s="751"/>
      <c r="QYC126" s="751"/>
      <c r="QYD126" s="751"/>
      <c r="QYE126" s="751"/>
      <c r="QYF126" s="751"/>
      <c r="QYG126" s="751"/>
      <c r="QYH126" s="751"/>
      <c r="QYI126" s="751"/>
      <c r="QYJ126" s="751"/>
      <c r="QYK126" s="751"/>
      <c r="QYL126" s="751"/>
      <c r="QYM126" s="751"/>
      <c r="QYN126" s="751"/>
      <c r="QYO126" s="751"/>
      <c r="QYP126" s="751"/>
      <c r="QYQ126" s="751"/>
      <c r="QYR126" s="751"/>
      <c r="QYS126" s="751"/>
      <c r="QYT126" s="751"/>
      <c r="QYU126" s="751"/>
      <c r="QYV126" s="751"/>
      <c r="QYW126" s="751"/>
      <c r="QYX126" s="751"/>
      <c r="QYY126" s="751"/>
      <c r="QYZ126" s="751"/>
      <c r="QZA126" s="751"/>
      <c r="QZB126" s="751"/>
      <c r="QZC126" s="751"/>
      <c r="QZD126" s="751"/>
      <c r="QZE126" s="751"/>
      <c r="QZF126" s="751"/>
      <c r="QZG126" s="751"/>
      <c r="QZH126" s="751"/>
      <c r="QZI126" s="751"/>
      <c r="QZJ126" s="751"/>
      <c r="QZK126" s="751"/>
      <c r="QZL126" s="751"/>
      <c r="QZM126" s="751"/>
      <c r="QZN126" s="751"/>
      <c r="QZO126" s="751"/>
      <c r="QZP126" s="751"/>
      <c r="QZQ126" s="751"/>
      <c r="QZR126" s="751"/>
      <c r="QZS126" s="751"/>
      <c r="QZT126" s="751"/>
      <c r="QZU126" s="751"/>
      <c r="QZV126" s="751"/>
      <c r="QZW126" s="751"/>
      <c r="QZX126" s="751"/>
      <c r="QZY126" s="751"/>
      <c r="QZZ126" s="751"/>
      <c r="RAA126" s="751"/>
      <c r="RAB126" s="751"/>
      <c r="RAC126" s="751"/>
      <c r="RAD126" s="751"/>
      <c r="RAE126" s="751"/>
      <c r="RAF126" s="751"/>
      <c r="RAG126" s="751"/>
      <c r="RAH126" s="751"/>
      <c r="RAI126" s="751"/>
      <c r="RAJ126" s="751"/>
      <c r="RAK126" s="751"/>
      <c r="RAL126" s="751"/>
      <c r="RAM126" s="751"/>
      <c r="RAN126" s="751"/>
      <c r="RAO126" s="751"/>
      <c r="RAP126" s="751"/>
      <c r="RAQ126" s="751"/>
      <c r="RAR126" s="751"/>
      <c r="RAS126" s="751"/>
      <c r="RAT126" s="751"/>
      <c r="RAU126" s="751"/>
      <c r="RAV126" s="751"/>
      <c r="RAW126" s="751"/>
      <c r="RAX126" s="751"/>
      <c r="RAY126" s="751"/>
      <c r="RAZ126" s="751"/>
      <c r="RBA126" s="751"/>
      <c r="RBB126" s="751"/>
      <c r="RBC126" s="751"/>
      <c r="RBD126" s="751"/>
      <c r="RBE126" s="751"/>
      <c r="RBF126" s="751"/>
      <c r="RBG126" s="751"/>
      <c r="RBH126" s="751"/>
      <c r="RBI126" s="751"/>
      <c r="RBJ126" s="751"/>
      <c r="RBK126" s="751"/>
      <c r="RBL126" s="751"/>
      <c r="RBM126" s="751"/>
      <c r="RBN126" s="751"/>
      <c r="RBO126" s="751"/>
      <c r="RBP126" s="751"/>
      <c r="RBQ126" s="751"/>
      <c r="RBR126" s="751"/>
      <c r="RBS126" s="751"/>
      <c r="RBT126" s="751"/>
      <c r="RBU126" s="751"/>
      <c r="RBV126" s="751"/>
      <c r="RBW126" s="751"/>
      <c r="RBX126" s="751"/>
      <c r="RBY126" s="751"/>
      <c r="RBZ126" s="751"/>
      <c r="RCA126" s="751"/>
      <c r="RCB126" s="751"/>
      <c r="RCC126" s="751"/>
      <c r="RCD126" s="751"/>
      <c r="RCE126" s="751"/>
      <c r="RCF126" s="751"/>
      <c r="RCG126" s="751"/>
      <c r="RCH126" s="751"/>
      <c r="RCI126" s="751"/>
      <c r="RCJ126" s="751"/>
      <c r="RCK126" s="751"/>
      <c r="RCL126" s="751"/>
      <c r="RCM126" s="751"/>
      <c r="RCN126" s="751"/>
      <c r="RCO126" s="751"/>
      <c r="RCP126" s="751"/>
      <c r="RCQ126" s="751"/>
      <c r="RCR126" s="751"/>
      <c r="RCS126" s="751"/>
      <c r="RCT126" s="751"/>
      <c r="RCU126" s="751"/>
      <c r="RCV126" s="751"/>
      <c r="RCW126" s="751"/>
      <c r="RCX126" s="751"/>
      <c r="RCY126" s="751"/>
      <c r="RCZ126" s="751"/>
      <c r="RDA126" s="751"/>
      <c r="RDB126" s="751"/>
      <c r="RDC126" s="751"/>
      <c r="RDD126" s="751"/>
      <c r="RDE126" s="751"/>
      <c r="RDF126" s="751"/>
      <c r="RDG126" s="751"/>
      <c r="RDH126" s="751"/>
      <c r="RDI126" s="751"/>
      <c r="RDJ126" s="751"/>
      <c r="RDK126" s="751"/>
      <c r="RDL126" s="751"/>
      <c r="RDM126" s="751"/>
      <c r="RDN126" s="751"/>
      <c r="RDO126" s="751"/>
      <c r="RDP126" s="751"/>
      <c r="RDQ126" s="751"/>
      <c r="RDR126" s="751"/>
      <c r="RDS126" s="751"/>
      <c r="RDT126" s="751"/>
      <c r="RDU126" s="751"/>
      <c r="RDV126" s="751"/>
      <c r="RDW126" s="751"/>
      <c r="RDX126" s="751"/>
      <c r="RDY126" s="751"/>
      <c r="RDZ126" s="751"/>
      <c r="REA126" s="751"/>
      <c r="REB126" s="751"/>
      <c r="REC126" s="751"/>
      <c r="RED126" s="751"/>
      <c r="REE126" s="751"/>
      <c r="REF126" s="751"/>
      <c r="REG126" s="751"/>
      <c r="REH126" s="751"/>
      <c r="REI126" s="751"/>
      <c r="REJ126" s="751"/>
      <c r="REK126" s="751"/>
      <c r="REL126" s="751"/>
      <c r="REM126" s="751"/>
      <c r="REN126" s="751"/>
      <c r="REO126" s="751"/>
      <c r="REP126" s="751"/>
      <c r="REQ126" s="751"/>
      <c r="RER126" s="751"/>
      <c r="RES126" s="751"/>
      <c r="RET126" s="751"/>
      <c r="REU126" s="751"/>
      <c r="REV126" s="751"/>
      <c r="REW126" s="751"/>
      <c r="REX126" s="751"/>
      <c r="REY126" s="751"/>
      <c r="REZ126" s="751"/>
      <c r="RFA126" s="751"/>
      <c r="RFB126" s="751"/>
      <c r="RFC126" s="751"/>
      <c r="RFD126" s="751"/>
      <c r="RFE126" s="751"/>
      <c r="RFF126" s="751"/>
      <c r="RFG126" s="751"/>
      <c r="RFH126" s="751"/>
      <c r="RFI126" s="751"/>
      <c r="RFJ126" s="751"/>
      <c r="RFK126" s="751"/>
      <c r="RFL126" s="751"/>
      <c r="RFM126" s="751"/>
      <c r="RFN126" s="751"/>
      <c r="RFO126" s="751"/>
      <c r="RFP126" s="751"/>
      <c r="RFQ126" s="751"/>
      <c r="RFR126" s="751"/>
      <c r="RFS126" s="751"/>
      <c r="RFT126" s="751"/>
      <c r="RFU126" s="751"/>
      <c r="RFV126" s="751"/>
      <c r="RFW126" s="751"/>
      <c r="RFX126" s="751"/>
      <c r="RFY126" s="751"/>
      <c r="RFZ126" s="751"/>
      <c r="RGA126" s="751"/>
      <c r="RGB126" s="751"/>
      <c r="RGC126" s="751"/>
      <c r="RGD126" s="751"/>
      <c r="RGE126" s="751"/>
      <c r="RGF126" s="751"/>
      <c r="RGG126" s="751"/>
      <c r="RGH126" s="751"/>
      <c r="RGI126" s="751"/>
      <c r="RGJ126" s="751"/>
      <c r="RGK126" s="751"/>
      <c r="RGL126" s="751"/>
      <c r="RGM126" s="751"/>
      <c r="RGN126" s="751"/>
      <c r="RGO126" s="751"/>
      <c r="RGP126" s="751"/>
      <c r="RGQ126" s="751"/>
      <c r="RGR126" s="751"/>
      <c r="RGS126" s="751"/>
      <c r="RGT126" s="751"/>
      <c r="RGU126" s="751"/>
      <c r="RGV126" s="751"/>
      <c r="RGW126" s="751"/>
      <c r="RGX126" s="751"/>
      <c r="RGY126" s="751"/>
      <c r="RGZ126" s="751"/>
      <c r="RHA126" s="751"/>
      <c r="RHB126" s="751"/>
      <c r="RHC126" s="751"/>
      <c r="RHD126" s="751"/>
      <c r="RHE126" s="751"/>
      <c r="RHF126" s="751"/>
      <c r="RHG126" s="751"/>
      <c r="RHH126" s="751"/>
      <c r="RHI126" s="751"/>
      <c r="RHJ126" s="751"/>
      <c r="RHK126" s="751"/>
      <c r="RHL126" s="751"/>
      <c r="RHM126" s="751"/>
      <c r="RHN126" s="751"/>
      <c r="RHO126" s="751"/>
      <c r="RHP126" s="751"/>
      <c r="RHQ126" s="751"/>
      <c r="RHR126" s="751"/>
      <c r="RHS126" s="751"/>
      <c r="RHT126" s="751"/>
      <c r="RHU126" s="751"/>
      <c r="RHV126" s="751"/>
      <c r="RHW126" s="751"/>
      <c r="RHX126" s="751"/>
      <c r="RHY126" s="751"/>
      <c r="RHZ126" s="751"/>
      <c r="RIA126" s="751"/>
      <c r="RIB126" s="751"/>
      <c r="RIC126" s="751"/>
      <c r="RID126" s="751"/>
      <c r="RIE126" s="751"/>
      <c r="RIF126" s="751"/>
      <c r="RIG126" s="751"/>
      <c r="RIH126" s="751"/>
      <c r="RII126" s="751"/>
      <c r="RIJ126" s="751"/>
      <c r="RIK126" s="751"/>
      <c r="RIL126" s="751"/>
      <c r="RIM126" s="751"/>
      <c r="RIN126" s="751"/>
      <c r="RIO126" s="751"/>
      <c r="RIP126" s="751"/>
      <c r="RIQ126" s="751"/>
      <c r="RIR126" s="751"/>
      <c r="RIS126" s="751"/>
      <c r="RIT126" s="751"/>
      <c r="RIU126" s="751"/>
      <c r="RIV126" s="751"/>
      <c r="RIW126" s="751"/>
      <c r="RIX126" s="751"/>
      <c r="RIY126" s="751"/>
      <c r="RIZ126" s="751"/>
      <c r="RJA126" s="751"/>
      <c r="RJB126" s="751"/>
      <c r="RJC126" s="751"/>
      <c r="RJD126" s="751"/>
      <c r="RJE126" s="751"/>
      <c r="RJF126" s="751"/>
      <c r="RJG126" s="751"/>
      <c r="RJH126" s="751"/>
      <c r="RJI126" s="751"/>
      <c r="RJJ126" s="751"/>
      <c r="RJK126" s="751"/>
      <c r="RJL126" s="751"/>
      <c r="RJM126" s="751"/>
      <c r="RJN126" s="751"/>
      <c r="RJO126" s="751"/>
      <c r="RJP126" s="751"/>
      <c r="RJQ126" s="751"/>
      <c r="RJR126" s="751"/>
      <c r="RJS126" s="751"/>
      <c r="RJT126" s="751"/>
      <c r="RJU126" s="751"/>
      <c r="RJV126" s="751"/>
      <c r="RJW126" s="751"/>
      <c r="RJX126" s="751"/>
      <c r="RJY126" s="751"/>
      <c r="RJZ126" s="751"/>
      <c r="RKA126" s="751"/>
      <c r="RKB126" s="751"/>
      <c r="RKC126" s="751"/>
      <c r="RKD126" s="751"/>
      <c r="RKE126" s="751"/>
      <c r="RKF126" s="751"/>
      <c r="RKG126" s="751"/>
      <c r="RKH126" s="751"/>
      <c r="RKI126" s="751"/>
      <c r="RKJ126" s="751"/>
      <c r="RKK126" s="751"/>
      <c r="RKL126" s="751"/>
      <c r="RKM126" s="751"/>
      <c r="RKN126" s="751"/>
      <c r="RKO126" s="751"/>
      <c r="RKP126" s="751"/>
      <c r="RKQ126" s="751"/>
      <c r="RKR126" s="751"/>
      <c r="RKS126" s="751"/>
      <c r="RKT126" s="751"/>
      <c r="RKU126" s="751"/>
      <c r="RKV126" s="751"/>
      <c r="RKW126" s="751"/>
      <c r="RKX126" s="751"/>
      <c r="RKY126" s="751"/>
      <c r="RKZ126" s="751"/>
      <c r="RLA126" s="751"/>
      <c r="RLB126" s="751"/>
      <c r="RLC126" s="751"/>
      <c r="RLD126" s="751"/>
      <c r="RLE126" s="751"/>
      <c r="RLF126" s="751"/>
      <c r="RLG126" s="751"/>
      <c r="RLH126" s="751"/>
      <c r="RLI126" s="751"/>
      <c r="RLJ126" s="751"/>
      <c r="RLK126" s="751"/>
      <c r="RLL126" s="751"/>
      <c r="RLM126" s="751"/>
      <c r="RLN126" s="751"/>
      <c r="RLO126" s="751"/>
      <c r="RLP126" s="751"/>
      <c r="RLQ126" s="751"/>
      <c r="RLR126" s="751"/>
      <c r="RLS126" s="751"/>
      <c r="RLT126" s="751"/>
      <c r="RLU126" s="751"/>
      <c r="RLV126" s="751"/>
      <c r="RLW126" s="751"/>
      <c r="RLX126" s="751"/>
      <c r="RLY126" s="751"/>
      <c r="RLZ126" s="751"/>
      <c r="RMA126" s="751"/>
      <c r="RMB126" s="751"/>
      <c r="RMC126" s="751"/>
      <c r="RMD126" s="751"/>
      <c r="RME126" s="751"/>
      <c r="RMF126" s="751"/>
      <c r="RMG126" s="751"/>
      <c r="RMH126" s="751"/>
      <c r="RMI126" s="751"/>
      <c r="RMJ126" s="751"/>
      <c r="RMK126" s="751"/>
      <c r="RML126" s="751"/>
      <c r="RMM126" s="751"/>
      <c r="RMN126" s="751"/>
      <c r="RMO126" s="751"/>
      <c r="RMP126" s="751"/>
      <c r="RMQ126" s="751"/>
      <c r="RMR126" s="751"/>
      <c r="RMS126" s="751"/>
      <c r="RMT126" s="751"/>
      <c r="RMU126" s="751"/>
      <c r="RMV126" s="751"/>
      <c r="RMW126" s="751"/>
      <c r="RMX126" s="751"/>
      <c r="RMY126" s="751"/>
      <c r="RMZ126" s="751"/>
      <c r="RNA126" s="751"/>
      <c r="RNB126" s="751"/>
      <c r="RNC126" s="751"/>
      <c r="RND126" s="751"/>
      <c r="RNE126" s="751"/>
      <c r="RNF126" s="751"/>
      <c r="RNG126" s="751"/>
      <c r="RNH126" s="751"/>
      <c r="RNI126" s="751"/>
      <c r="RNJ126" s="751"/>
      <c r="RNK126" s="751"/>
      <c r="RNL126" s="751"/>
      <c r="RNM126" s="751"/>
      <c r="RNN126" s="751"/>
      <c r="RNO126" s="751"/>
      <c r="RNP126" s="751"/>
      <c r="RNQ126" s="751"/>
      <c r="RNR126" s="751"/>
      <c r="RNS126" s="751"/>
      <c r="RNT126" s="751"/>
      <c r="RNU126" s="751"/>
      <c r="RNV126" s="751"/>
      <c r="RNW126" s="751"/>
      <c r="RNX126" s="751"/>
      <c r="RNY126" s="751"/>
      <c r="RNZ126" s="751"/>
      <c r="ROA126" s="751"/>
      <c r="ROB126" s="751"/>
      <c r="ROC126" s="751"/>
      <c r="ROD126" s="751"/>
      <c r="ROE126" s="751"/>
      <c r="ROF126" s="751"/>
      <c r="ROG126" s="751"/>
      <c r="ROH126" s="751"/>
      <c r="ROI126" s="751"/>
      <c r="ROJ126" s="751"/>
      <c r="ROK126" s="751"/>
      <c r="ROL126" s="751"/>
      <c r="ROM126" s="751"/>
      <c r="RON126" s="751"/>
      <c r="ROO126" s="751"/>
      <c r="ROP126" s="751"/>
      <c r="ROQ126" s="751"/>
      <c r="ROR126" s="751"/>
      <c r="ROS126" s="751"/>
      <c r="ROT126" s="751"/>
      <c r="ROU126" s="751"/>
      <c r="ROV126" s="751"/>
      <c r="ROW126" s="751"/>
      <c r="ROX126" s="751"/>
      <c r="ROY126" s="751"/>
      <c r="ROZ126" s="751"/>
      <c r="RPA126" s="751"/>
      <c r="RPB126" s="751"/>
      <c r="RPC126" s="751"/>
      <c r="RPD126" s="751"/>
      <c r="RPE126" s="751"/>
      <c r="RPF126" s="751"/>
      <c r="RPG126" s="751"/>
      <c r="RPH126" s="751"/>
      <c r="RPI126" s="751"/>
      <c r="RPJ126" s="751"/>
      <c r="RPK126" s="751"/>
      <c r="RPL126" s="751"/>
      <c r="RPM126" s="751"/>
      <c r="RPN126" s="751"/>
      <c r="RPO126" s="751"/>
      <c r="RPP126" s="751"/>
      <c r="RPQ126" s="751"/>
      <c r="RPR126" s="751"/>
      <c r="RPS126" s="751"/>
      <c r="RPT126" s="751"/>
      <c r="RPU126" s="751"/>
      <c r="RPV126" s="751"/>
      <c r="RPW126" s="751"/>
      <c r="RPX126" s="751"/>
      <c r="RPY126" s="751"/>
      <c r="RPZ126" s="751"/>
      <c r="RQA126" s="751"/>
      <c r="RQB126" s="751"/>
      <c r="RQC126" s="751"/>
      <c r="RQD126" s="751"/>
      <c r="RQE126" s="751"/>
      <c r="RQF126" s="751"/>
      <c r="RQG126" s="751"/>
      <c r="RQH126" s="751"/>
      <c r="RQI126" s="751"/>
      <c r="RQJ126" s="751"/>
      <c r="RQK126" s="751"/>
      <c r="RQL126" s="751"/>
      <c r="RQM126" s="751"/>
      <c r="RQN126" s="751"/>
      <c r="RQO126" s="751"/>
      <c r="RQP126" s="751"/>
      <c r="RQQ126" s="751"/>
      <c r="RQR126" s="751"/>
      <c r="RQS126" s="751"/>
      <c r="RQT126" s="751"/>
      <c r="RQU126" s="751"/>
      <c r="RQV126" s="751"/>
      <c r="RQW126" s="751"/>
      <c r="RQX126" s="751"/>
      <c r="RQY126" s="751"/>
      <c r="RQZ126" s="751"/>
      <c r="RRA126" s="751"/>
      <c r="RRB126" s="751"/>
      <c r="RRC126" s="751"/>
      <c r="RRD126" s="751"/>
      <c r="RRE126" s="751"/>
      <c r="RRF126" s="751"/>
      <c r="RRG126" s="751"/>
      <c r="RRH126" s="751"/>
      <c r="RRI126" s="751"/>
      <c r="RRJ126" s="751"/>
      <c r="RRK126" s="751"/>
      <c r="RRL126" s="751"/>
      <c r="RRM126" s="751"/>
      <c r="RRN126" s="751"/>
      <c r="RRO126" s="751"/>
      <c r="RRP126" s="751"/>
      <c r="RRQ126" s="751"/>
      <c r="RRR126" s="751"/>
      <c r="RRS126" s="751"/>
      <c r="RRT126" s="751"/>
      <c r="RRU126" s="751"/>
      <c r="RRV126" s="751"/>
      <c r="RRW126" s="751"/>
      <c r="RRX126" s="751"/>
      <c r="RRY126" s="751"/>
      <c r="RRZ126" s="751"/>
      <c r="RSA126" s="751"/>
      <c r="RSB126" s="751"/>
      <c r="RSC126" s="751"/>
      <c r="RSD126" s="751"/>
      <c r="RSE126" s="751"/>
      <c r="RSF126" s="751"/>
      <c r="RSG126" s="751"/>
      <c r="RSH126" s="751"/>
      <c r="RSI126" s="751"/>
      <c r="RSJ126" s="751"/>
      <c r="RSK126" s="751"/>
      <c r="RSL126" s="751"/>
      <c r="RSM126" s="751"/>
      <c r="RSN126" s="751"/>
      <c r="RSO126" s="751"/>
      <c r="RSP126" s="751"/>
      <c r="RSQ126" s="751"/>
      <c r="RSR126" s="751"/>
      <c r="RSS126" s="751"/>
      <c r="RST126" s="751"/>
      <c r="RSU126" s="751"/>
      <c r="RSV126" s="751"/>
      <c r="RSW126" s="751"/>
      <c r="RSX126" s="751"/>
      <c r="RSY126" s="751"/>
      <c r="RSZ126" s="751"/>
      <c r="RTA126" s="751"/>
      <c r="RTB126" s="751"/>
      <c r="RTC126" s="751"/>
      <c r="RTD126" s="751"/>
      <c r="RTE126" s="751"/>
      <c r="RTF126" s="751"/>
      <c r="RTG126" s="751"/>
      <c r="RTH126" s="751"/>
      <c r="RTI126" s="751"/>
      <c r="RTJ126" s="751"/>
      <c r="RTK126" s="751"/>
      <c r="RTL126" s="751"/>
      <c r="RTM126" s="751"/>
      <c r="RTN126" s="751"/>
      <c r="RTO126" s="751"/>
      <c r="RTP126" s="751"/>
      <c r="RTQ126" s="751"/>
      <c r="RTR126" s="751"/>
      <c r="RTS126" s="751"/>
      <c r="RTT126" s="751"/>
      <c r="RTU126" s="751"/>
      <c r="RTV126" s="751"/>
      <c r="RTW126" s="751"/>
      <c r="RTX126" s="751"/>
      <c r="RTY126" s="751"/>
      <c r="RTZ126" s="751"/>
      <c r="RUA126" s="751"/>
      <c r="RUB126" s="751"/>
      <c r="RUC126" s="751"/>
      <c r="RUD126" s="751"/>
      <c r="RUE126" s="751"/>
      <c r="RUF126" s="751"/>
      <c r="RUG126" s="751"/>
      <c r="RUH126" s="751"/>
      <c r="RUI126" s="751"/>
      <c r="RUJ126" s="751"/>
      <c r="RUK126" s="751"/>
      <c r="RUL126" s="751"/>
      <c r="RUM126" s="751"/>
      <c r="RUN126" s="751"/>
      <c r="RUO126" s="751"/>
      <c r="RUP126" s="751"/>
      <c r="RUQ126" s="751"/>
      <c r="RUR126" s="751"/>
      <c r="RUS126" s="751"/>
      <c r="RUT126" s="751"/>
      <c r="RUU126" s="751"/>
      <c r="RUV126" s="751"/>
      <c r="RUW126" s="751"/>
      <c r="RUX126" s="751"/>
      <c r="RUY126" s="751"/>
      <c r="RUZ126" s="751"/>
      <c r="RVA126" s="751"/>
      <c r="RVB126" s="751"/>
      <c r="RVC126" s="751"/>
      <c r="RVD126" s="751"/>
      <c r="RVE126" s="751"/>
      <c r="RVF126" s="751"/>
      <c r="RVG126" s="751"/>
      <c r="RVH126" s="751"/>
      <c r="RVI126" s="751"/>
      <c r="RVJ126" s="751"/>
      <c r="RVK126" s="751"/>
      <c r="RVL126" s="751"/>
      <c r="RVM126" s="751"/>
      <c r="RVN126" s="751"/>
      <c r="RVO126" s="751"/>
      <c r="RVP126" s="751"/>
      <c r="RVQ126" s="751"/>
      <c r="RVR126" s="751"/>
      <c r="RVS126" s="751"/>
      <c r="RVT126" s="751"/>
      <c r="RVU126" s="751"/>
      <c r="RVV126" s="751"/>
      <c r="RVW126" s="751"/>
      <c r="RVX126" s="751"/>
      <c r="RVY126" s="751"/>
      <c r="RVZ126" s="751"/>
      <c r="RWA126" s="751"/>
      <c r="RWB126" s="751"/>
      <c r="RWC126" s="751"/>
      <c r="RWD126" s="751"/>
      <c r="RWE126" s="751"/>
      <c r="RWF126" s="751"/>
      <c r="RWG126" s="751"/>
      <c r="RWH126" s="751"/>
      <c r="RWI126" s="751"/>
      <c r="RWJ126" s="751"/>
      <c r="RWK126" s="751"/>
      <c r="RWL126" s="751"/>
      <c r="RWM126" s="751"/>
      <c r="RWN126" s="751"/>
      <c r="RWO126" s="751"/>
      <c r="RWP126" s="751"/>
      <c r="RWQ126" s="751"/>
      <c r="RWR126" s="751"/>
      <c r="RWS126" s="751"/>
      <c r="RWT126" s="751"/>
      <c r="RWU126" s="751"/>
      <c r="RWV126" s="751"/>
      <c r="RWW126" s="751"/>
      <c r="RWX126" s="751"/>
      <c r="RWY126" s="751"/>
      <c r="RWZ126" s="751"/>
      <c r="RXA126" s="751"/>
      <c r="RXB126" s="751"/>
      <c r="RXC126" s="751"/>
      <c r="RXD126" s="751"/>
      <c r="RXE126" s="751"/>
      <c r="RXF126" s="751"/>
      <c r="RXG126" s="751"/>
      <c r="RXH126" s="751"/>
      <c r="RXI126" s="751"/>
      <c r="RXJ126" s="751"/>
      <c r="RXK126" s="751"/>
      <c r="RXL126" s="751"/>
      <c r="RXM126" s="751"/>
      <c r="RXN126" s="751"/>
      <c r="RXO126" s="751"/>
      <c r="RXP126" s="751"/>
      <c r="RXQ126" s="751"/>
      <c r="RXR126" s="751"/>
      <c r="RXS126" s="751"/>
      <c r="RXT126" s="751"/>
      <c r="RXU126" s="751"/>
      <c r="RXV126" s="751"/>
      <c r="RXW126" s="751"/>
      <c r="RXX126" s="751"/>
      <c r="RXY126" s="751"/>
      <c r="RXZ126" s="751"/>
      <c r="RYA126" s="751"/>
      <c r="RYB126" s="751"/>
      <c r="RYC126" s="751"/>
      <c r="RYD126" s="751"/>
      <c r="RYE126" s="751"/>
      <c r="RYF126" s="751"/>
      <c r="RYG126" s="751"/>
      <c r="RYH126" s="751"/>
      <c r="RYI126" s="751"/>
      <c r="RYJ126" s="751"/>
      <c r="RYK126" s="751"/>
      <c r="RYL126" s="751"/>
      <c r="RYM126" s="751"/>
      <c r="RYN126" s="751"/>
      <c r="RYO126" s="751"/>
      <c r="RYP126" s="751"/>
      <c r="RYQ126" s="751"/>
      <c r="RYR126" s="751"/>
      <c r="RYS126" s="751"/>
      <c r="RYT126" s="751"/>
      <c r="RYU126" s="751"/>
      <c r="RYV126" s="751"/>
      <c r="RYW126" s="751"/>
      <c r="RYX126" s="751"/>
      <c r="RYY126" s="751"/>
      <c r="RYZ126" s="751"/>
      <c r="RZA126" s="751"/>
      <c r="RZB126" s="751"/>
      <c r="RZC126" s="751"/>
      <c r="RZD126" s="751"/>
      <c r="RZE126" s="751"/>
      <c r="RZF126" s="751"/>
      <c r="RZG126" s="751"/>
      <c r="RZH126" s="751"/>
      <c r="RZI126" s="751"/>
      <c r="RZJ126" s="751"/>
      <c r="RZK126" s="751"/>
      <c r="RZL126" s="751"/>
      <c r="RZM126" s="751"/>
      <c r="RZN126" s="751"/>
      <c r="RZO126" s="751"/>
      <c r="RZP126" s="751"/>
      <c r="RZQ126" s="751"/>
      <c r="RZR126" s="751"/>
      <c r="RZS126" s="751"/>
      <c r="RZT126" s="751"/>
      <c r="RZU126" s="751"/>
      <c r="RZV126" s="751"/>
      <c r="RZW126" s="751"/>
      <c r="RZX126" s="751"/>
      <c r="RZY126" s="751"/>
      <c r="RZZ126" s="751"/>
      <c r="SAA126" s="751"/>
      <c r="SAB126" s="751"/>
      <c r="SAC126" s="751"/>
      <c r="SAD126" s="751"/>
      <c r="SAE126" s="751"/>
      <c r="SAF126" s="751"/>
      <c r="SAG126" s="751"/>
      <c r="SAH126" s="751"/>
      <c r="SAI126" s="751"/>
      <c r="SAJ126" s="751"/>
      <c r="SAK126" s="751"/>
      <c r="SAL126" s="751"/>
      <c r="SAM126" s="751"/>
      <c r="SAN126" s="751"/>
      <c r="SAO126" s="751"/>
      <c r="SAP126" s="751"/>
      <c r="SAQ126" s="751"/>
      <c r="SAR126" s="751"/>
      <c r="SAS126" s="751"/>
      <c r="SAT126" s="751"/>
      <c r="SAU126" s="751"/>
      <c r="SAV126" s="751"/>
      <c r="SAW126" s="751"/>
      <c r="SAX126" s="751"/>
      <c r="SAY126" s="751"/>
      <c r="SAZ126" s="751"/>
      <c r="SBA126" s="751"/>
      <c r="SBB126" s="751"/>
      <c r="SBC126" s="751"/>
      <c r="SBD126" s="751"/>
      <c r="SBE126" s="751"/>
      <c r="SBF126" s="751"/>
      <c r="SBG126" s="751"/>
      <c r="SBH126" s="751"/>
      <c r="SBI126" s="751"/>
      <c r="SBJ126" s="751"/>
      <c r="SBK126" s="751"/>
      <c r="SBL126" s="751"/>
      <c r="SBM126" s="751"/>
      <c r="SBN126" s="751"/>
      <c r="SBO126" s="751"/>
      <c r="SBP126" s="751"/>
      <c r="SBQ126" s="751"/>
      <c r="SBR126" s="751"/>
      <c r="SBS126" s="751"/>
      <c r="SBT126" s="751"/>
      <c r="SBU126" s="751"/>
      <c r="SBV126" s="751"/>
      <c r="SBW126" s="751"/>
      <c r="SBX126" s="751"/>
      <c r="SBY126" s="751"/>
      <c r="SBZ126" s="751"/>
      <c r="SCA126" s="751"/>
      <c r="SCB126" s="751"/>
      <c r="SCC126" s="751"/>
      <c r="SCD126" s="751"/>
      <c r="SCE126" s="751"/>
      <c r="SCF126" s="751"/>
      <c r="SCG126" s="751"/>
      <c r="SCH126" s="751"/>
      <c r="SCI126" s="751"/>
      <c r="SCJ126" s="751"/>
      <c r="SCK126" s="751"/>
      <c r="SCL126" s="751"/>
      <c r="SCM126" s="751"/>
      <c r="SCN126" s="751"/>
      <c r="SCO126" s="751"/>
      <c r="SCP126" s="751"/>
      <c r="SCQ126" s="751"/>
      <c r="SCR126" s="751"/>
      <c r="SCS126" s="751"/>
      <c r="SCT126" s="751"/>
      <c r="SCU126" s="751"/>
      <c r="SCV126" s="751"/>
      <c r="SCW126" s="751"/>
      <c r="SCX126" s="751"/>
      <c r="SCY126" s="751"/>
      <c r="SCZ126" s="751"/>
      <c r="SDA126" s="751"/>
      <c r="SDB126" s="751"/>
      <c r="SDC126" s="751"/>
      <c r="SDD126" s="751"/>
      <c r="SDE126" s="751"/>
      <c r="SDF126" s="751"/>
      <c r="SDG126" s="751"/>
      <c r="SDH126" s="751"/>
      <c r="SDI126" s="751"/>
      <c r="SDJ126" s="751"/>
      <c r="SDK126" s="751"/>
      <c r="SDL126" s="751"/>
      <c r="SDM126" s="751"/>
      <c r="SDN126" s="751"/>
      <c r="SDO126" s="751"/>
      <c r="SDP126" s="751"/>
      <c r="SDQ126" s="751"/>
      <c r="SDR126" s="751"/>
      <c r="SDS126" s="751"/>
      <c r="SDT126" s="751"/>
      <c r="SDU126" s="751"/>
      <c r="SDV126" s="751"/>
      <c r="SDW126" s="751"/>
      <c r="SDX126" s="751"/>
      <c r="SDY126" s="751"/>
      <c r="SDZ126" s="751"/>
      <c r="SEA126" s="751"/>
      <c r="SEB126" s="751"/>
      <c r="SEC126" s="751"/>
      <c r="SED126" s="751"/>
      <c r="SEE126" s="751"/>
      <c r="SEF126" s="751"/>
      <c r="SEG126" s="751"/>
      <c r="SEH126" s="751"/>
      <c r="SEI126" s="751"/>
      <c r="SEJ126" s="751"/>
      <c r="SEK126" s="751"/>
      <c r="SEL126" s="751"/>
      <c r="SEM126" s="751"/>
      <c r="SEN126" s="751"/>
      <c r="SEO126" s="751"/>
      <c r="SEP126" s="751"/>
      <c r="SEQ126" s="751"/>
      <c r="SER126" s="751"/>
      <c r="SES126" s="751"/>
      <c r="SET126" s="751"/>
      <c r="SEU126" s="751"/>
      <c r="SEV126" s="751"/>
      <c r="SEW126" s="751"/>
      <c r="SEX126" s="751"/>
      <c r="SEY126" s="751"/>
      <c r="SEZ126" s="751"/>
      <c r="SFA126" s="751"/>
      <c r="SFB126" s="751"/>
      <c r="SFC126" s="751"/>
      <c r="SFD126" s="751"/>
      <c r="SFE126" s="751"/>
      <c r="SFF126" s="751"/>
      <c r="SFG126" s="751"/>
      <c r="SFH126" s="751"/>
      <c r="SFI126" s="751"/>
      <c r="SFJ126" s="751"/>
      <c r="SFK126" s="751"/>
      <c r="SFL126" s="751"/>
      <c r="SFM126" s="751"/>
      <c r="SFN126" s="751"/>
      <c r="SFO126" s="751"/>
      <c r="SFP126" s="751"/>
      <c r="SFQ126" s="751"/>
      <c r="SFR126" s="751"/>
      <c r="SFS126" s="751"/>
      <c r="SFT126" s="751"/>
      <c r="SFU126" s="751"/>
      <c r="SFV126" s="751"/>
      <c r="SFW126" s="751"/>
      <c r="SFX126" s="751"/>
      <c r="SFY126" s="751"/>
      <c r="SFZ126" s="751"/>
      <c r="SGA126" s="751"/>
      <c r="SGB126" s="751"/>
      <c r="SGC126" s="751"/>
      <c r="SGD126" s="751"/>
      <c r="SGE126" s="751"/>
      <c r="SGF126" s="751"/>
      <c r="SGG126" s="751"/>
      <c r="SGH126" s="751"/>
      <c r="SGI126" s="751"/>
      <c r="SGJ126" s="751"/>
      <c r="SGK126" s="751"/>
      <c r="SGL126" s="751"/>
      <c r="SGM126" s="751"/>
      <c r="SGN126" s="751"/>
      <c r="SGO126" s="751"/>
      <c r="SGP126" s="751"/>
      <c r="SGQ126" s="751"/>
      <c r="SGR126" s="751"/>
      <c r="SGS126" s="751"/>
      <c r="SGT126" s="751"/>
      <c r="SGU126" s="751"/>
      <c r="SGV126" s="751"/>
      <c r="SGW126" s="751"/>
      <c r="SGX126" s="751"/>
      <c r="SGY126" s="751"/>
      <c r="SGZ126" s="751"/>
      <c r="SHA126" s="751"/>
      <c r="SHB126" s="751"/>
      <c r="SHC126" s="751"/>
      <c r="SHD126" s="751"/>
      <c r="SHE126" s="751"/>
      <c r="SHF126" s="751"/>
      <c r="SHG126" s="751"/>
      <c r="SHH126" s="751"/>
      <c r="SHI126" s="751"/>
      <c r="SHJ126" s="751"/>
      <c r="SHK126" s="751"/>
      <c r="SHL126" s="751"/>
      <c r="SHM126" s="751"/>
      <c r="SHN126" s="751"/>
      <c r="SHO126" s="751"/>
      <c r="SHP126" s="751"/>
      <c r="SHQ126" s="751"/>
      <c r="SHR126" s="751"/>
      <c r="SHS126" s="751"/>
      <c r="SHT126" s="751"/>
      <c r="SHU126" s="751"/>
      <c r="SHV126" s="751"/>
      <c r="SHW126" s="751"/>
      <c r="SHX126" s="751"/>
      <c r="SHY126" s="751"/>
      <c r="SHZ126" s="751"/>
      <c r="SIA126" s="751"/>
      <c r="SIB126" s="751"/>
      <c r="SIC126" s="751"/>
      <c r="SID126" s="751"/>
      <c r="SIE126" s="751"/>
      <c r="SIF126" s="751"/>
      <c r="SIG126" s="751"/>
      <c r="SIH126" s="751"/>
      <c r="SII126" s="751"/>
      <c r="SIJ126" s="751"/>
      <c r="SIK126" s="751"/>
      <c r="SIL126" s="751"/>
      <c r="SIM126" s="751"/>
      <c r="SIN126" s="751"/>
      <c r="SIO126" s="751"/>
      <c r="SIP126" s="751"/>
      <c r="SIQ126" s="751"/>
      <c r="SIR126" s="751"/>
      <c r="SIS126" s="751"/>
      <c r="SIT126" s="751"/>
      <c r="SIU126" s="751"/>
      <c r="SIV126" s="751"/>
      <c r="SIW126" s="751"/>
      <c r="SIX126" s="751"/>
      <c r="SIY126" s="751"/>
      <c r="SIZ126" s="751"/>
      <c r="SJA126" s="751"/>
      <c r="SJB126" s="751"/>
      <c r="SJC126" s="751"/>
      <c r="SJD126" s="751"/>
      <c r="SJE126" s="751"/>
      <c r="SJF126" s="751"/>
      <c r="SJG126" s="751"/>
      <c r="SJH126" s="751"/>
      <c r="SJI126" s="751"/>
      <c r="SJJ126" s="751"/>
      <c r="SJK126" s="751"/>
      <c r="SJL126" s="751"/>
      <c r="SJM126" s="751"/>
      <c r="SJN126" s="751"/>
      <c r="SJO126" s="751"/>
      <c r="SJP126" s="751"/>
      <c r="SJQ126" s="751"/>
      <c r="SJR126" s="751"/>
      <c r="SJS126" s="751"/>
      <c r="SJT126" s="751"/>
      <c r="SJU126" s="751"/>
      <c r="SJV126" s="751"/>
      <c r="SJW126" s="751"/>
      <c r="SJX126" s="751"/>
      <c r="SJY126" s="751"/>
      <c r="SJZ126" s="751"/>
      <c r="SKA126" s="751"/>
      <c r="SKB126" s="751"/>
      <c r="SKC126" s="751"/>
      <c r="SKD126" s="751"/>
      <c r="SKE126" s="751"/>
      <c r="SKF126" s="751"/>
      <c r="SKG126" s="751"/>
      <c r="SKH126" s="751"/>
      <c r="SKI126" s="751"/>
      <c r="SKJ126" s="751"/>
      <c r="SKK126" s="751"/>
      <c r="SKL126" s="751"/>
      <c r="SKM126" s="751"/>
      <c r="SKN126" s="751"/>
      <c r="SKO126" s="751"/>
      <c r="SKP126" s="751"/>
      <c r="SKQ126" s="751"/>
      <c r="SKR126" s="751"/>
      <c r="SKS126" s="751"/>
      <c r="SKT126" s="751"/>
      <c r="SKU126" s="751"/>
      <c r="SKV126" s="751"/>
      <c r="SKW126" s="751"/>
      <c r="SKX126" s="751"/>
      <c r="SKY126" s="751"/>
      <c r="SKZ126" s="751"/>
      <c r="SLA126" s="751"/>
      <c r="SLB126" s="751"/>
      <c r="SLC126" s="751"/>
      <c r="SLD126" s="751"/>
      <c r="SLE126" s="751"/>
      <c r="SLF126" s="751"/>
      <c r="SLG126" s="751"/>
      <c r="SLH126" s="751"/>
      <c r="SLI126" s="751"/>
      <c r="SLJ126" s="751"/>
      <c r="SLK126" s="751"/>
      <c r="SLL126" s="751"/>
      <c r="SLM126" s="751"/>
      <c r="SLN126" s="751"/>
      <c r="SLO126" s="751"/>
      <c r="SLP126" s="751"/>
      <c r="SLQ126" s="751"/>
      <c r="SLR126" s="751"/>
      <c r="SLS126" s="751"/>
      <c r="SLT126" s="751"/>
      <c r="SLU126" s="751"/>
      <c r="SLV126" s="751"/>
      <c r="SLW126" s="751"/>
      <c r="SLX126" s="751"/>
      <c r="SLY126" s="751"/>
      <c r="SLZ126" s="751"/>
      <c r="SMA126" s="751"/>
      <c r="SMB126" s="751"/>
      <c r="SMC126" s="751"/>
      <c r="SMD126" s="751"/>
      <c r="SME126" s="751"/>
      <c r="SMF126" s="751"/>
      <c r="SMG126" s="751"/>
      <c r="SMH126" s="751"/>
      <c r="SMI126" s="751"/>
      <c r="SMJ126" s="751"/>
      <c r="SMK126" s="751"/>
      <c r="SML126" s="751"/>
      <c r="SMM126" s="751"/>
      <c r="SMN126" s="751"/>
      <c r="SMO126" s="751"/>
      <c r="SMP126" s="751"/>
      <c r="SMQ126" s="751"/>
      <c r="SMR126" s="751"/>
      <c r="SMS126" s="751"/>
      <c r="SMT126" s="751"/>
      <c r="SMU126" s="751"/>
      <c r="SMV126" s="751"/>
      <c r="SMW126" s="751"/>
      <c r="SMX126" s="751"/>
      <c r="SMY126" s="751"/>
      <c r="SMZ126" s="751"/>
      <c r="SNA126" s="751"/>
      <c r="SNB126" s="751"/>
      <c r="SNC126" s="751"/>
      <c r="SND126" s="751"/>
      <c r="SNE126" s="751"/>
      <c r="SNF126" s="751"/>
      <c r="SNG126" s="751"/>
      <c r="SNH126" s="751"/>
      <c r="SNI126" s="751"/>
      <c r="SNJ126" s="751"/>
      <c r="SNK126" s="751"/>
      <c r="SNL126" s="751"/>
      <c r="SNM126" s="751"/>
      <c r="SNN126" s="751"/>
      <c r="SNO126" s="751"/>
      <c r="SNP126" s="751"/>
      <c r="SNQ126" s="751"/>
      <c r="SNR126" s="751"/>
      <c r="SNS126" s="751"/>
      <c r="SNT126" s="751"/>
      <c r="SNU126" s="751"/>
      <c r="SNV126" s="751"/>
      <c r="SNW126" s="751"/>
      <c r="SNX126" s="751"/>
      <c r="SNY126" s="751"/>
      <c r="SNZ126" s="751"/>
      <c r="SOA126" s="751"/>
      <c r="SOB126" s="751"/>
      <c r="SOC126" s="751"/>
      <c r="SOD126" s="751"/>
      <c r="SOE126" s="751"/>
      <c r="SOF126" s="751"/>
      <c r="SOG126" s="751"/>
      <c r="SOH126" s="751"/>
      <c r="SOI126" s="751"/>
      <c r="SOJ126" s="751"/>
      <c r="SOK126" s="751"/>
      <c r="SOL126" s="751"/>
      <c r="SOM126" s="751"/>
      <c r="SON126" s="751"/>
      <c r="SOO126" s="751"/>
      <c r="SOP126" s="751"/>
      <c r="SOQ126" s="751"/>
      <c r="SOR126" s="751"/>
      <c r="SOS126" s="751"/>
      <c r="SOT126" s="751"/>
      <c r="SOU126" s="751"/>
      <c r="SOV126" s="751"/>
      <c r="SOW126" s="751"/>
      <c r="SOX126" s="751"/>
      <c r="SOY126" s="751"/>
      <c r="SOZ126" s="751"/>
      <c r="SPA126" s="751"/>
      <c r="SPB126" s="751"/>
      <c r="SPC126" s="751"/>
      <c r="SPD126" s="751"/>
      <c r="SPE126" s="751"/>
      <c r="SPF126" s="751"/>
      <c r="SPG126" s="751"/>
      <c r="SPH126" s="751"/>
      <c r="SPI126" s="751"/>
      <c r="SPJ126" s="751"/>
      <c r="SPK126" s="751"/>
      <c r="SPL126" s="751"/>
      <c r="SPM126" s="751"/>
      <c r="SPN126" s="751"/>
      <c r="SPO126" s="751"/>
      <c r="SPP126" s="751"/>
      <c r="SPQ126" s="751"/>
      <c r="SPR126" s="751"/>
      <c r="SPS126" s="751"/>
      <c r="SPT126" s="751"/>
      <c r="SPU126" s="751"/>
      <c r="SPV126" s="751"/>
      <c r="SPW126" s="751"/>
      <c r="SPX126" s="751"/>
      <c r="SPY126" s="751"/>
      <c r="SPZ126" s="751"/>
      <c r="SQA126" s="751"/>
      <c r="SQB126" s="751"/>
      <c r="SQC126" s="751"/>
      <c r="SQD126" s="751"/>
      <c r="SQE126" s="751"/>
      <c r="SQF126" s="751"/>
      <c r="SQG126" s="751"/>
      <c r="SQH126" s="751"/>
      <c r="SQI126" s="751"/>
      <c r="SQJ126" s="751"/>
      <c r="SQK126" s="751"/>
      <c r="SQL126" s="751"/>
      <c r="SQM126" s="751"/>
      <c r="SQN126" s="751"/>
      <c r="SQO126" s="751"/>
      <c r="SQP126" s="751"/>
      <c r="SQQ126" s="751"/>
      <c r="SQR126" s="751"/>
      <c r="SQS126" s="751"/>
      <c r="SQT126" s="751"/>
      <c r="SQU126" s="751"/>
      <c r="SQV126" s="751"/>
      <c r="SQW126" s="751"/>
      <c r="SQX126" s="751"/>
      <c r="SQY126" s="751"/>
      <c r="SQZ126" s="751"/>
      <c r="SRA126" s="751"/>
      <c r="SRB126" s="751"/>
      <c r="SRC126" s="751"/>
      <c r="SRD126" s="751"/>
      <c r="SRE126" s="751"/>
      <c r="SRF126" s="751"/>
      <c r="SRG126" s="751"/>
      <c r="SRH126" s="751"/>
      <c r="SRI126" s="751"/>
      <c r="SRJ126" s="751"/>
      <c r="SRK126" s="751"/>
      <c r="SRL126" s="751"/>
      <c r="SRM126" s="751"/>
      <c r="SRN126" s="751"/>
      <c r="SRO126" s="751"/>
      <c r="SRP126" s="751"/>
      <c r="SRQ126" s="751"/>
      <c r="SRR126" s="751"/>
      <c r="SRS126" s="751"/>
      <c r="SRT126" s="751"/>
      <c r="SRU126" s="751"/>
      <c r="SRV126" s="751"/>
      <c r="SRW126" s="751"/>
      <c r="SRX126" s="751"/>
      <c r="SRY126" s="751"/>
      <c r="SRZ126" s="751"/>
      <c r="SSA126" s="751"/>
      <c r="SSB126" s="751"/>
      <c r="SSC126" s="751"/>
      <c r="SSD126" s="751"/>
      <c r="SSE126" s="751"/>
      <c r="SSF126" s="751"/>
      <c r="SSG126" s="751"/>
      <c r="SSH126" s="751"/>
      <c r="SSI126" s="751"/>
      <c r="SSJ126" s="751"/>
      <c r="SSK126" s="751"/>
      <c r="SSL126" s="751"/>
      <c r="SSM126" s="751"/>
      <c r="SSN126" s="751"/>
      <c r="SSO126" s="751"/>
      <c r="SSP126" s="751"/>
      <c r="SSQ126" s="751"/>
      <c r="SSR126" s="751"/>
      <c r="SSS126" s="751"/>
      <c r="SST126" s="751"/>
      <c r="SSU126" s="751"/>
      <c r="SSV126" s="751"/>
      <c r="SSW126" s="751"/>
      <c r="SSX126" s="751"/>
      <c r="SSY126" s="751"/>
      <c r="SSZ126" s="751"/>
      <c r="STA126" s="751"/>
      <c r="STB126" s="751"/>
      <c r="STC126" s="751"/>
      <c r="STD126" s="751"/>
      <c r="STE126" s="751"/>
      <c r="STF126" s="751"/>
      <c r="STG126" s="751"/>
      <c r="STH126" s="751"/>
      <c r="STI126" s="751"/>
      <c r="STJ126" s="751"/>
      <c r="STK126" s="751"/>
      <c r="STL126" s="751"/>
      <c r="STM126" s="751"/>
      <c r="STN126" s="751"/>
      <c r="STO126" s="751"/>
      <c r="STP126" s="751"/>
      <c r="STQ126" s="751"/>
      <c r="STR126" s="751"/>
      <c r="STS126" s="751"/>
      <c r="STT126" s="751"/>
      <c r="STU126" s="751"/>
      <c r="STV126" s="751"/>
      <c r="STW126" s="751"/>
      <c r="STX126" s="751"/>
      <c r="STY126" s="751"/>
      <c r="STZ126" s="751"/>
      <c r="SUA126" s="751"/>
      <c r="SUB126" s="751"/>
      <c r="SUC126" s="751"/>
      <c r="SUD126" s="751"/>
      <c r="SUE126" s="751"/>
      <c r="SUF126" s="751"/>
      <c r="SUG126" s="751"/>
      <c r="SUH126" s="751"/>
      <c r="SUI126" s="751"/>
      <c r="SUJ126" s="751"/>
      <c r="SUK126" s="751"/>
      <c r="SUL126" s="751"/>
      <c r="SUM126" s="751"/>
      <c r="SUN126" s="751"/>
      <c r="SUO126" s="751"/>
      <c r="SUP126" s="751"/>
      <c r="SUQ126" s="751"/>
      <c r="SUR126" s="751"/>
      <c r="SUS126" s="751"/>
      <c r="SUT126" s="751"/>
      <c r="SUU126" s="751"/>
      <c r="SUV126" s="751"/>
      <c r="SUW126" s="751"/>
      <c r="SUX126" s="751"/>
      <c r="SUY126" s="751"/>
      <c r="SUZ126" s="751"/>
      <c r="SVA126" s="751"/>
      <c r="SVB126" s="751"/>
      <c r="SVC126" s="751"/>
      <c r="SVD126" s="751"/>
      <c r="SVE126" s="751"/>
      <c r="SVF126" s="751"/>
      <c r="SVG126" s="751"/>
      <c r="SVH126" s="751"/>
      <c r="SVI126" s="751"/>
      <c r="SVJ126" s="751"/>
      <c r="SVK126" s="751"/>
      <c r="SVL126" s="751"/>
      <c r="SVM126" s="751"/>
      <c r="SVN126" s="751"/>
      <c r="SVO126" s="751"/>
      <c r="SVP126" s="751"/>
      <c r="SVQ126" s="751"/>
      <c r="SVR126" s="751"/>
      <c r="SVS126" s="751"/>
      <c r="SVT126" s="751"/>
      <c r="SVU126" s="751"/>
      <c r="SVV126" s="751"/>
      <c r="SVW126" s="751"/>
      <c r="SVX126" s="751"/>
      <c r="SVY126" s="751"/>
      <c r="SVZ126" s="751"/>
      <c r="SWA126" s="751"/>
      <c r="SWB126" s="751"/>
      <c r="SWC126" s="751"/>
      <c r="SWD126" s="751"/>
      <c r="SWE126" s="751"/>
      <c r="SWF126" s="751"/>
      <c r="SWG126" s="751"/>
      <c r="SWH126" s="751"/>
      <c r="SWI126" s="751"/>
      <c r="SWJ126" s="751"/>
      <c r="SWK126" s="751"/>
      <c r="SWL126" s="751"/>
      <c r="SWM126" s="751"/>
      <c r="SWN126" s="751"/>
      <c r="SWO126" s="751"/>
      <c r="SWP126" s="751"/>
      <c r="SWQ126" s="751"/>
      <c r="SWR126" s="751"/>
      <c r="SWS126" s="751"/>
      <c r="SWT126" s="751"/>
      <c r="SWU126" s="751"/>
      <c r="SWV126" s="751"/>
      <c r="SWW126" s="751"/>
      <c r="SWX126" s="751"/>
      <c r="SWY126" s="751"/>
      <c r="SWZ126" s="751"/>
      <c r="SXA126" s="751"/>
      <c r="SXB126" s="751"/>
      <c r="SXC126" s="751"/>
      <c r="SXD126" s="751"/>
      <c r="SXE126" s="751"/>
      <c r="SXF126" s="751"/>
      <c r="SXG126" s="751"/>
      <c r="SXH126" s="751"/>
      <c r="SXI126" s="751"/>
      <c r="SXJ126" s="751"/>
      <c r="SXK126" s="751"/>
      <c r="SXL126" s="751"/>
      <c r="SXM126" s="751"/>
      <c r="SXN126" s="751"/>
      <c r="SXO126" s="751"/>
      <c r="SXP126" s="751"/>
      <c r="SXQ126" s="751"/>
      <c r="SXR126" s="751"/>
      <c r="SXS126" s="751"/>
      <c r="SXT126" s="751"/>
      <c r="SXU126" s="751"/>
      <c r="SXV126" s="751"/>
      <c r="SXW126" s="751"/>
      <c r="SXX126" s="751"/>
      <c r="SXY126" s="751"/>
      <c r="SXZ126" s="751"/>
      <c r="SYA126" s="751"/>
      <c r="SYB126" s="751"/>
      <c r="SYC126" s="751"/>
      <c r="SYD126" s="751"/>
      <c r="SYE126" s="751"/>
      <c r="SYF126" s="751"/>
      <c r="SYG126" s="751"/>
      <c r="SYH126" s="751"/>
      <c r="SYI126" s="751"/>
      <c r="SYJ126" s="751"/>
      <c r="SYK126" s="751"/>
      <c r="SYL126" s="751"/>
      <c r="SYM126" s="751"/>
      <c r="SYN126" s="751"/>
      <c r="SYO126" s="751"/>
      <c r="SYP126" s="751"/>
      <c r="SYQ126" s="751"/>
      <c r="SYR126" s="751"/>
      <c r="SYS126" s="751"/>
      <c r="SYT126" s="751"/>
      <c r="SYU126" s="751"/>
      <c r="SYV126" s="751"/>
      <c r="SYW126" s="751"/>
      <c r="SYX126" s="751"/>
      <c r="SYY126" s="751"/>
      <c r="SYZ126" s="751"/>
      <c r="SZA126" s="751"/>
      <c r="SZB126" s="751"/>
      <c r="SZC126" s="751"/>
      <c r="SZD126" s="751"/>
      <c r="SZE126" s="751"/>
      <c r="SZF126" s="751"/>
      <c r="SZG126" s="751"/>
      <c r="SZH126" s="751"/>
      <c r="SZI126" s="751"/>
      <c r="SZJ126" s="751"/>
      <c r="SZK126" s="751"/>
      <c r="SZL126" s="751"/>
      <c r="SZM126" s="751"/>
      <c r="SZN126" s="751"/>
      <c r="SZO126" s="751"/>
      <c r="SZP126" s="751"/>
      <c r="SZQ126" s="751"/>
      <c r="SZR126" s="751"/>
      <c r="SZS126" s="751"/>
      <c r="SZT126" s="751"/>
      <c r="SZU126" s="751"/>
      <c r="SZV126" s="751"/>
      <c r="SZW126" s="751"/>
      <c r="SZX126" s="751"/>
      <c r="SZY126" s="751"/>
      <c r="SZZ126" s="751"/>
      <c r="TAA126" s="751"/>
      <c r="TAB126" s="751"/>
      <c r="TAC126" s="751"/>
      <c r="TAD126" s="751"/>
      <c r="TAE126" s="751"/>
      <c r="TAF126" s="751"/>
      <c r="TAG126" s="751"/>
      <c r="TAH126" s="751"/>
      <c r="TAI126" s="751"/>
      <c r="TAJ126" s="751"/>
      <c r="TAK126" s="751"/>
      <c r="TAL126" s="751"/>
      <c r="TAM126" s="751"/>
      <c r="TAN126" s="751"/>
      <c r="TAO126" s="751"/>
      <c r="TAP126" s="751"/>
      <c r="TAQ126" s="751"/>
      <c r="TAR126" s="751"/>
      <c r="TAS126" s="751"/>
      <c r="TAT126" s="751"/>
      <c r="TAU126" s="751"/>
      <c r="TAV126" s="751"/>
      <c r="TAW126" s="751"/>
      <c r="TAX126" s="751"/>
      <c r="TAY126" s="751"/>
      <c r="TAZ126" s="751"/>
      <c r="TBA126" s="751"/>
      <c r="TBB126" s="751"/>
      <c r="TBC126" s="751"/>
      <c r="TBD126" s="751"/>
      <c r="TBE126" s="751"/>
      <c r="TBF126" s="751"/>
      <c r="TBG126" s="751"/>
      <c r="TBH126" s="751"/>
      <c r="TBI126" s="751"/>
      <c r="TBJ126" s="751"/>
      <c r="TBK126" s="751"/>
      <c r="TBL126" s="751"/>
      <c r="TBM126" s="751"/>
      <c r="TBN126" s="751"/>
      <c r="TBO126" s="751"/>
      <c r="TBP126" s="751"/>
      <c r="TBQ126" s="751"/>
      <c r="TBR126" s="751"/>
      <c r="TBS126" s="751"/>
      <c r="TBT126" s="751"/>
      <c r="TBU126" s="751"/>
      <c r="TBV126" s="751"/>
      <c r="TBW126" s="751"/>
      <c r="TBX126" s="751"/>
      <c r="TBY126" s="751"/>
      <c r="TBZ126" s="751"/>
      <c r="TCA126" s="751"/>
      <c r="TCB126" s="751"/>
      <c r="TCC126" s="751"/>
      <c r="TCD126" s="751"/>
      <c r="TCE126" s="751"/>
      <c r="TCF126" s="751"/>
      <c r="TCG126" s="751"/>
      <c r="TCH126" s="751"/>
      <c r="TCI126" s="751"/>
      <c r="TCJ126" s="751"/>
      <c r="TCK126" s="751"/>
      <c r="TCL126" s="751"/>
      <c r="TCM126" s="751"/>
      <c r="TCN126" s="751"/>
      <c r="TCO126" s="751"/>
      <c r="TCP126" s="751"/>
      <c r="TCQ126" s="751"/>
      <c r="TCR126" s="751"/>
      <c r="TCS126" s="751"/>
      <c r="TCT126" s="751"/>
      <c r="TCU126" s="751"/>
      <c r="TCV126" s="751"/>
      <c r="TCW126" s="751"/>
      <c r="TCX126" s="751"/>
      <c r="TCY126" s="751"/>
      <c r="TCZ126" s="751"/>
      <c r="TDA126" s="751"/>
      <c r="TDB126" s="751"/>
      <c r="TDC126" s="751"/>
      <c r="TDD126" s="751"/>
      <c r="TDE126" s="751"/>
      <c r="TDF126" s="751"/>
      <c r="TDG126" s="751"/>
      <c r="TDH126" s="751"/>
      <c r="TDI126" s="751"/>
      <c r="TDJ126" s="751"/>
      <c r="TDK126" s="751"/>
      <c r="TDL126" s="751"/>
      <c r="TDM126" s="751"/>
      <c r="TDN126" s="751"/>
      <c r="TDO126" s="751"/>
      <c r="TDP126" s="751"/>
      <c r="TDQ126" s="751"/>
      <c r="TDR126" s="751"/>
      <c r="TDS126" s="751"/>
      <c r="TDT126" s="751"/>
      <c r="TDU126" s="751"/>
      <c r="TDV126" s="751"/>
      <c r="TDW126" s="751"/>
      <c r="TDX126" s="751"/>
      <c r="TDY126" s="751"/>
      <c r="TDZ126" s="751"/>
      <c r="TEA126" s="751"/>
      <c r="TEB126" s="751"/>
      <c r="TEC126" s="751"/>
      <c r="TED126" s="751"/>
      <c r="TEE126" s="751"/>
      <c r="TEF126" s="751"/>
      <c r="TEG126" s="751"/>
      <c r="TEH126" s="751"/>
      <c r="TEI126" s="751"/>
      <c r="TEJ126" s="751"/>
      <c r="TEK126" s="751"/>
      <c r="TEL126" s="751"/>
      <c r="TEM126" s="751"/>
      <c r="TEN126" s="751"/>
      <c r="TEO126" s="751"/>
      <c r="TEP126" s="751"/>
      <c r="TEQ126" s="751"/>
      <c r="TER126" s="751"/>
      <c r="TES126" s="751"/>
      <c r="TET126" s="751"/>
      <c r="TEU126" s="751"/>
      <c r="TEV126" s="751"/>
      <c r="TEW126" s="751"/>
      <c r="TEX126" s="751"/>
      <c r="TEY126" s="751"/>
      <c r="TEZ126" s="751"/>
      <c r="TFA126" s="751"/>
      <c r="TFB126" s="751"/>
      <c r="TFC126" s="751"/>
      <c r="TFD126" s="751"/>
      <c r="TFE126" s="751"/>
      <c r="TFF126" s="751"/>
      <c r="TFG126" s="751"/>
      <c r="TFH126" s="751"/>
      <c r="TFI126" s="751"/>
      <c r="TFJ126" s="751"/>
      <c r="TFK126" s="751"/>
      <c r="TFL126" s="751"/>
      <c r="TFM126" s="751"/>
      <c r="TFN126" s="751"/>
      <c r="TFO126" s="751"/>
      <c r="TFP126" s="751"/>
      <c r="TFQ126" s="751"/>
      <c r="TFR126" s="751"/>
      <c r="TFS126" s="751"/>
      <c r="TFT126" s="751"/>
      <c r="TFU126" s="751"/>
      <c r="TFV126" s="751"/>
      <c r="TFW126" s="751"/>
      <c r="TFX126" s="751"/>
      <c r="TFY126" s="751"/>
      <c r="TFZ126" s="751"/>
      <c r="TGA126" s="751"/>
      <c r="TGB126" s="751"/>
      <c r="TGC126" s="751"/>
      <c r="TGD126" s="751"/>
      <c r="TGE126" s="751"/>
      <c r="TGF126" s="751"/>
      <c r="TGG126" s="751"/>
      <c r="TGH126" s="751"/>
      <c r="TGI126" s="751"/>
      <c r="TGJ126" s="751"/>
      <c r="TGK126" s="751"/>
      <c r="TGL126" s="751"/>
      <c r="TGM126" s="751"/>
      <c r="TGN126" s="751"/>
      <c r="TGO126" s="751"/>
      <c r="TGP126" s="751"/>
      <c r="TGQ126" s="751"/>
      <c r="TGR126" s="751"/>
      <c r="TGS126" s="751"/>
      <c r="TGT126" s="751"/>
      <c r="TGU126" s="751"/>
      <c r="TGV126" s="751"/>
      <c r="TGW126" s="751"/>
      <c r="TGX126" s="751"/>
      <c r="TGY126" s="751"/>
      <c r="TGZ126" s="751"/>
      <c r="THA126" s="751"/>
      <c r="THB126" s="751"/>
      <c r="THC126" s="751"/>
      <c r="THD126" s="751"/>
      <c r="THE126" s="751"/>
      <c r="THF126" s="751"/>
      <c r="THG126" s="751"/>
      <c r="THH126" s="751"/>
      <c r="THI126" s="751"/>
      <c r="THJ126" s="751"/>
      <c r="THK126" s="751"/>
      <c r="THL126" s="751"/>
      <c r="THM126" s="751"/>
      <c r="THN126" s="751"/>
      <c r="THO126" s="751"/>
      <c r="THP126" s="751"/>
      <c r="THQ126" s="751"/>
      <c r="THR126" s="751"/>
      <c r="THS126" s="751"/>
      <c r="THT126" s="751"/>
      <c r="THU126" s="751"/>
      <c r="THV126" s="751"/>
      <c r="THW126" s="751"/>
      <c r="THX126" s="751"/>
      <c r="THY126" s="751"/>
      <c r="THZ126" s="751"/>
      <c r="TIA126" s="751"/>
      <c r="TIB126" s="751"/>
      <c r="TIC126" s="751"/>
      <c r="TID126" s="751"/>
      <c r="TIE126" s="751"/>
      <c r="TIF126" s="751"/>
      <c r="TIG126" s="751"/>
      <c r="TIH126" s="751"/>
      <c r="TII126" s="751"/>
      <c r="TIJ126" s="751"/>
      <c r="TIK126" s="751"/>
      <c r="TIL126" s="751"/>
      <c r="TIM126" s="751"/>
      <c r="TIN126" s="751"/>
      <c r="TIO126" s="751"/>
      <c r="TIP126" s="751"/>
      <c r="TIQ126" s="751"/>
      <c r="TIR126" s="751"/>
      <c r="TIS126" s="751"/>
      <c r="TIT126" s="751"/>
      <c r="TIU126" s="751"/>
      <c r="TIV126" s="751"/>
      <c r="TIW126" s="751"/>
      <c r="TIX126" s="751"/>
      <c r="TIY126" s="751"/>
      <c r="TIZ126" s="751"/>
      <c r="TJA126" s="751"/>
      <c r="TJB126" s="751"/>
      <c r="TJC126" s="751"/>
      <c r="TJD126" s="751"/>
      <c r="TJE126" s="751"/>
      <c r="TJF126" s="751"/>
      <c r="TJG126" s="751"/>
      <c r="TJH126" s="751"/>
      <c r="TJI126" s="751"/>
      <c r="TJJ126" s="751"/>
      <c r="TJK126" s="751"/>
      <c r="TJL126" s="751"/>
      <c r="TJM126" s="751"/>
      <c r="TJN126" s="751"/>
      <c r="TJO126" s="751"/>
      <c r="TJP126" s="751"/>
      <c r="TJQ126" s="751"/>
      <c r="TJR126" s="751"/>
      <c r="TJS126" s="751"/>
      <c r="TJT126" s="751"/>
      <c r="TJU126" s="751"/>
      <c r="TJV126" s="751"/>
      <c r="TJW126" s="751"/>
      <c r="TJX126" s="751"/>
      <c r="TJY126" s="751"/>
      <c r="TJZ126" s="751"/>
      <c r="TKA126" s="751"/>
      <c r="TKB126" s="751"/>
      <c r="TKC126" s="751"/>
      <c r="TKD126" s="751"/>
      <c r="TKE126" s="751"/>
      <c r="TKF126" s="751"/>
      <c r="TKG126" s="751"/>
      <c r="TKH126" s="751"/>
      <c r="TKI126" s="751"/>
      <c r="TKJ126" s="751"/>
      <c r="TKK126" s="751"/>
      <c r="TKL126" s="751"/>
      <c r="TKM126" s="751"/>
      <c r="TKN126" s="751"/>
      <c r="TKO126" s="751"/>
      <c r="TKP126" s="751"/>
      <c r="TKQ126" s="751"/>
      <c r="TKR126" s="751"/>
      <c r="TKS126" s="751"/>
      <c r="TKT126" s="751"/>
      <c r="TKU126" s="751"/>
      <c r="TKV126" s="751"/>
      <c r="TKW126" s="751"/>
      <c r="TKX126" s="751"/>
      <c r="TKY126" s="751"/>
      <c r="TKZ126" s="751"/>
      <c r="TLA126" s="751"/>
      <c r="TLB126" s="751"/>
      <c r="TLC126" s="751"/>
      <c r="TLD126" s="751"/>
      <c r="TLE126" s="751"/>
      <c r="TLF126" s="751"/>
      <c r="TLG126" s="751"/>
      <c r="TLH126" s="751"/>
      <c r="TLI126" s="751"/>
      <c r="TLJ126" s="751"/>
      <c r="TLK126" s="751"/>
      <c r="TLL126" s="751"/>
      <c r="TLM126" s="751"/>
      <c r="TLN126" s="751"/>
      <c r="TLO126" s="751"/>
      <c r="TLP126" s="751"/>
      <c r="TLQ126" s="751"/>
      <c r="TLR126" s="751"/>
      <c r="TLS126" s="751"/>
      <c r="TLT126" s="751"/>
      <c r="TLU126" s="751"/>
      <c r="TLV126" s="751"/>
      <c r="TLW126" s="751"/>
      <c r="TLX126" s="751"/>
      <c r="TLY126" s="751"/>
      <c r="TLZ126" s="751"/>
      <c r="TMA126" s="751"/>
      <c r="TMB126" s="751"/>
      <c r="TMC126" s="751"/>
      <c r="TMD126" s="751"/>
      <c r="TME126" s="751"/>
      <c r="TMF126" s="751"/>
      <c r="TMG126" s="751"/>
      <c r="TMH126" s="751"/>
      <c r="TMI126" s="751"/>
      <c r="TMJ126" s="751"/>
      <c r="TMK126" s="751"/>
      <c r="TML126" s="751"/>
      <c r="TMM126" s="751"/>
      <c r="TMN126" s="751"/>
      <c r="TMO126" s="751"/>
      <c r="TMP126" s="751"/>
      <c r="TMQ126" s="751"/>
      <c r="TMR126" s="751"/>
      <c r="TMS126" s="751"/>
      <c r="TMT126" s="751"/>
      <c r="TMU126" s="751"/>
      <c r="TMV126" s="751"/>
      <c r="TMW126" s="751"/>
      <c r="TMX126" s="751"/>
      <c r="TMY126" s="751"/>
      <c r="TMZ126" s="751"/>
      <c r="TNA126" s="751"/>
      <c r="TNB126" s="751"/>
      <c r="TNC126" s="751"/>
      <c r="TND126" s="751"/>
      <c r="TNE126" s="751"/>
      <c r="TNF126" s="751"/>
      <c r="TNG126" s="751"/>
      <c r="TNH126" s="751"/>
      <c r="TNI126" s="751"/>
      <c r="TNJ126" s="751"/>
      <c r="TNK126" s="751"/>
      <c r="TNL126" s="751"/>
      <c r="TNM126" s="751"/>
      <c r="TNN126" s="751"/>
      <c r="TNO126" s="751"/>
      <c r="TNP126" s="751"/>
      <c r="TNQ126" s="751"/>
      <c r="TNR126" s="751"/>
      <c r="TNS126" s="751"/>
      <c r="TNT126" s="751"/>
      <c r="TNU126" s="751"/>
      <c r="TNV126" s="751"/>
      <c r="TNW126" s="751"/>
      <c r="TNX126" s="751"/>
      <c r="TNY126" s="751"/>
      <c r="TNZ126" s="751"/>
      <c r="TOA126" s="751"/>
      <c r="TOB126" s="751"/>
      <c r="TOC126" s="751"/>
      <c r="TOD126" s="751"/>
      <c r="TOE126" s="751"/>
      <c r="TOF126" s="751"/>
      <c r="TOG126" s="751"/>
      <c r="TOH126" s="751"/>
      <c r="TOI126" s="751"/>
      <c r="TOJ126" s="751"/>
      <c r="TOK126" s="751"/>
      <c r="TOL126" s="751"/>
      <c r="TOM126" s="751"/>
      <c r="TON126" s="751"/>
      <c r="TOO126" s="751"/>
      <c r="TOP126" s="751"/>
      <c r="TOQ126" s="751"/>
      <c r="TOR126" s="751"/>
      <c r="TOS126" s="751"/>
      <c r="TOT126" s="751"/>
      <c r="TOU126" s="751"/>
      <c r="TOV126" s="751"/>
      <c r="TOW126" s="751"/>
      <c r="TOX126" s="751"/>
      <c r="TOY126" s="751"/>
      <c r="TOZ126" s="751"/>
      <c r="TPA126" s="751"/>
      <c r="TPB126" s="751"/>
      <c r="TPC126" s="751"/>
      <c r="TPD126" s="751"/>
      <c r="TPE126" s="751"/>
      <c r="TPF126" s="751"/>
      <c r="TPG126" s="751"/>
      <c r="TPH126" s="751"/>
      <c r="TPI126" s="751"/>
      <c r="TPJ126" s="751"/>
      <c r="TPK126" s="751"/>
      <c r="TPL126" s="751"/>
      <c r="TPM126" s="751"/>
      <c r="TPN126" s="751"/>
      <c r="TPO126" s="751"/>
      <c r="TPP126" s="751"/>
      <c r="TPQ126" s="751"/>
      <c r="TPR126" s="751"/>
      <c r="TPS126" s="751"/>
      <c r="TPT126" s="751"/>
      <c r="TPU126" s="751"/>
      <c r="TPV126" s="751"/>
      <c r="TPW126" s="751"/>
      <c r="TPX126" s="751"/>
      <c r="TPY126" s="751"/>
      <c r="TPZ126" s="751"/>
      <c r="TQA126" s="751"/>
      <c r="TQB126" s="751"/>
      <c r="TQC126" s="751"/>
      <c r="TQD126" s="751"/>
      <c r="TQE126" s="751"/>
      <c r="TQF126" s="751"/>
      <c r="TQG126" s="751"/>
      <c r="TQH126" s="751"/>
      <c r="TQI126" s="751"/>
      <c r="TQJ126" s="751"/>
      <c r="TQK126" s="751"/>
      <c r="TQL126" s="751"/>
      <c r="TQM126" s="751"/>
      <c r="TQN126" s="751"/>
      <c r="TQO126" s="751"/>
      <c r="TQP126" s="751"/>
      <c r="TQQ126" s="751"/>
      <c r="TQR126" s="751"/>
      <c r="TQS126" s="751"/>
      <c r="TQT126" s="751"/>
      <c r="TQU126" s="751"/>
      <c r="TQV126" s="751"/>
      <c r="TQW126" s="751"/>
      <c r="TQX126" s="751"/>
      <c r="TQY126" s="751"/>
      <c r="TQZ126" s="751"/>
      <c r="TRA126" s="751"/>
      <c r="TRB126" s="751"/>
      <c r="TRC126" s="751"/>
      <c r="TRD126" s="751"/>
      <c r="TRE126" s="751"/>
      <c r="TRF126" s="751"/>
      <c r="TRG126" s="751"/>
      <c r="TRH126" s="751"/>
      <c r="TRI126" s="751"/>
      <c r="TRJ126" s="751"/>
      <c r="TRK126" s="751"/>
      <c r="TRL126" s="751"/>
      <c r="TRM126" s="751"/>
      <c r="TRN126" s="751"/>
      <c r="TRO126" s="751"/>
      <c r="TRP126" s="751"/>
      <c r="TRQ126" s="751"/>
      <c r="TRR126" s="751"/>
      <c r="TRS126" s="751"/>
      <c r="TRT126" s="751"/>
      <c r="TRU126" s="751"/>
      <c r="TRV126" s="751"/>
      <c r="TRW126" s="751"/>
      <c r="TRX126" s="751"/>
      <c r="TRY126" s="751"/>
      <c r="TRZ126" s="751"/>
      <c r="TSA126" s="751"/>
      <c r="TSB126" s="751"/>
      <c r="TSC126" s="751"/>
      <c r="TSD126" s="751"/>
      <c r="TSE126" s="751"/>
      <c r="TSF126" s="751"/>
      <c r="TSG126" s="751"/>
      <c r="TSH126" s="751"/>
      <c r="TSI126" s="751"/>
      <c r="TSJ126" s="751"/>
      <c r="TSK126" s="751"/>
      <c r="TSL126" s="751"/>
      <c r="TSM126" s="751"/>
      <c r="TSN126" s="751"/>
      <c r="TSO126" s="751"/>
      <c r="TSP126" s="751"/>
      <c r="TSQ126" s="751"/>
      <c r="TSR126" s="751"/>
      <c r="TSS126" s="751"/>
      <c r="TST126" s="751"/>
      <c r="TSU126" s="751"/>
      <c r="TSV126" s="751"/>
      <c r="TSW126" s="751"/>
      <c r="TSX126" s="751"/>
      <c r="TSY126" s="751"/>
      <c r="TSZ126" s="751"/>
      <c r="TTA126" s="751"/>
      <c r="TTB126" s="751"/>
      <c r="TTC126" s="751"/>
      <c r="TTD126" s="751"/>
      <c r="TTE126" s="751"/>
      <c r="TTF126" s="751"/>
      <c r="TTG126" s="751"/>
      <c r="TTH126" s="751"/>
      <c r="TTI126" s="751"/>
      <c r="TTJ126" s="751"/>
      <c r="TTK126" s="751"/>
      <c r="TTL126" s="751"/>
      <c r="TTM126" s="751"/>
      <c r="TTN126" s="751"/>
      <c r="TTO126" s="751"/>
      <c r="TTP126" s="751"/>
      <c r="TTQ126" s="751"/>
      <c r="TTR126" s="751"/>
      <c r="TTS126" s="751"/>
      <c r="TTT126" s="751"/>
      <c r="TTU126" s="751"/>
      <c r="TTV126" s="751"/>
      <c r="TTW126" s="751"/>
      <c r="TTX126" s="751"/>
      <c r="TTY126" s="751"/>
      <c r="TTZ126" s="751"/>
      <c r="TUA126" s="751"/>
      <c r="TUB126" s="751"/>
      <c r="TUC126" s="751"/>
      <c r="TUD126" s="751"/>
      <c r="TUE126" s="751"/>
      <c r="TUF126" s="751"/>
      <c r="TUG126" s="751"/>
      <c r="TUH126" s="751"/>
      <c r="TUI126" s="751"/>
      <c r="TUJ126" s="751"/>
      <c r="TUK126" s="751"/>
      <c r="TUL126" s="751"/>
      <c r="TUM126" s="751"/>
      <c r="TUN126" s="751"/>
      <c r="TUO126" s="751"/>
      <c r="TUP126" s="751"/>
      <c r="TUQ126" s="751"/>
      <c r="TUR126" s="751"/>
      <c r="TUS126" s="751"/>
      <c r="TUT126" s="751"/>
      <c r="TUU126" s="751"/>
      <c r="TUV126" s="751"/>
      <c r="TUW126" s="751"/>
      <c r="TUX126" s="751"/>
      <c r="TUY126" s="751"/>
      <c r="TUZ126" s="751"/>
      <c r="TVA126" s="751"/>
      <c r="TVB126" s="751"/>
      <c r="TVC126" s="751"/>
      <c r="TVD126" s="751"/>
      <c r="TVE126" s="751"/>
      <c r="TVF126" s="751"/>
      <c r="TVG126" s="751"/>
      <c r="TVH126" s="751"/>
      <c r="TVI126" s="751"/>
      <c r="TVJ126" s="751"/>
      <c r="TVK126" s="751"/>
      <c r="TVL126" s="751"/>
      <c r="TVM126" s="751"/>
      <c r="TVN126" s="751"/>
      <c r="TVO126" s="751"/>
      <c r="TVP126" s="751"/>
      <c r="TVQ126" s="751"/>
      <c r="TVR126" s="751"/>
      <c r="TVS126" s="751"/>
      <c r="TVT126" s="751"/>
      <c r="TVU126" s="751"/>
      <c r="TVV126" s="751"/>
      <c r="TVW126" s="751"/>
      <c r="TVX126" s="751"/>
      <c r="TVY126" s="751"/>
      <c r="TVZ126" s="751"/>
      <c r="TWA126" s="751"/>
      <c r="TWB126" s="751"/>
      <c r="TWC126" s="751"/>
      <c r="TWD126" s="751"/>
      <c r="TWE126" s="751"/>
      <c r="TWF126" s="751"/>
      <c r="TWG126" s="751"/>
      <c r="TWH126" s="751"/>
      <c r="TWI126" s="751"/>
      <c r="TWJ126" s="751"/>
      <c r="TWK126" s="751"/>
      <c r="TWL126" s="751"/>
      <c r="TWM126" s="751"/>
      <c r="TWN126" s="751"/>
      <c r="TWO126" s="751"/>
      <c r="TWP126" s="751"/>
      <c r="TWQ126" s="751"/>
      <c r="TWR126" s="751"/>
      <c r="TWS126" s="751"/>
      <c r="TWT126" s="751"/>
      <c r="TWU126" s="751"/>
      <c r="TWV126" s="751"/>
      <c r="TWW126" s="751"/>
      <c r="TWX126" s="751"/>
      <c r="TWY126" s="751"/>
      <c r="TWZ126" s="751"/>
      <c r="TXA126" s="751"/>
      <c r="TXB126" s="751"/>
      <c r="TXC126" s="751"/>
      <c r="TXD126" s="751"/>
      <c r="TXE126" s="751"/>
      <c r="TXF126" s="751"/>
      <c r="TXG126" s="751"/>
      <c r="TXH126" s="751"/>
      <c r="TXI126" s="751"/>
      <c r="TXJ126" s="751"/>
      <c r="TXK126" s="751"/>
      <c r="TXL126" s="751"/>
      <c r="TXM126" s="751"/>
      <c r="TXN126" s="751"/>
      <c r="TXO126" s="751"/>
      <c r="TXP126" s="751"/>
      <c r="TXQ126" s="751"/>
      <c r="TXR126" s="751"/>
      <c r="TXS126" s="751"/>
      <c r="TXT126" s="751"/>
      <c r="TXU126" s="751"/>
      <c r="TXV126" s="751"/>
      <c r="TXW126" s="751"/>
      <c r="TXX126" s="751"/>
      <c r="TXY126" s="751"/>
      <c r="TXZ126" s="751"/>
      <c r="TYA126" s="751"/>
      <c r="TYB126" s="751"/>
      <c r="TYC126" s="751"/>
      <c r="TYD126" s="751"/>
      <c r="TYE126" s="751"/>
      <c r="TYF126" s="751"/>
      <c r="TYG126" s="751"/>
      <c r="TYH126" s="751"/>
      <c r="TYI126" s="751"/>
      <c r="TYJ126" s="751"/>
      <c r="TYK126" s="751"/>
      <c r="TYL126" s="751"/>
      <c r="TYM126" s="751"/>
      <c r="TYN126" s="751"/>
      <c r="TYO126" s="751"/>
      <c r="TYP126" s="751"/>
      <c r="TYQ126" s="751"/>
      <c r="TYR126" s="751"/>
      <c r="TYS126" s="751"/>
      <c r="TYT126" s="751"/>
      <c r="TYU126" s="751"/>
      <c r="TYV126" s="751"/>
      <c r="TYW126" s="751"/>
      <c r="TYX126" s="751"/>
      <c r="TYY126" s="751"/>
      <c r="TYZ126" s="751"/>
      <c r="TZA126" s="751"/>
      <c r="TZB126" s="751"/>
      <c r="TZC126" s="751"/>
      <c r="TZD126" s="751"/>
      <c r="TZE126" s="751"/>
      <c r="TZF126" s="751"/>
      <c r="TZG126" s="751"/>
      <c r="TZH126" s="751"/>
      <c r="TZI126" s="751"/>
      <c r="TZJ126" s="751"/>
      <c r="TZK126" s="751"/>
      <c r="TZL126" s="751"/>
      <c r="TZM126" s="751"/>
      <c r="TZN126" s="751"/>
      <c r="TZO126" s="751"/>
      <c r="TZP126" s="751"/>
      <c r="TZQ126" s="751"/>
      <c r="TZR126" s="751"/>
      <c r="TZS126" s="751"/>
      <c r="TZT126" s="751"/>
      <c r="TZU126" s="751"/>
      <c r="TZV126" s="751"/>
      <c r="TZW126" s="751"/>
      <c r="TZX126" s="751"/>
      <c r="TZY126" s="751"/>
      <c r="TZZ126" s="751"/>
      <c r="UAA126" s="751"/>
      <c r="UAB126" s="751"/>
      <c r="UAC126" s="751"/>
      <c r="UAD126" s="751"/>
      <c r="UAE126" s="751"/>
      <c r="UAF126" s="751"/>
      <c r="UAG126" s="751"/>
      <c r="UAH126" s="751"/>
      <c r="UAI126" s="751"/>
      <c r="UAJ126" s="751"/>
      <c r="UAK126" s="751"/>
      <c r="UAL126" s="751"/>
      <c r="UAM126" s="751"/>
      <c r="UAN126" s="751"/>
      <c r="UAO126" s="751"/>
      <c r="UAP126" s="751"/>
      <c r="UAQ126" s="751"/>
      <c r="UAR126" s="751"/>
      <c r="UAS126" s="751"/>
      <c r="UAT126" s="751"/>
      <c r="UAU126" s="751"/>
      <c r="UAV126" s="751"/>
      <c r="UAW126" s="751"/>
      <c r="UAX126" s="751"/>
      <c r="UAY126" s="751"/>
      <c r="UAZ126" s="751"/>
      <c r="UBA126" s="751"/>
      <c r="UBB126" s="751"/>
      <c r="UBC126" s="751"/>
      <c r="UBD126" s="751"/>
      <c r="UBE126" s="751"/>
      <c r="UBF126" s="751"/>
      <c r="UBG126" s="751"/>
      <c r="UBH126" s="751"/>
      <c r="UBI126" s="751"/>
      <c r="UBJ126" s="751"/>
      <c r="UBK126" s="751"/>
      <c r="UBL126" s="751"/>
      <c r="UBM126" s="751"/>
      <c r="UBN126" s="751"/>
      <c r="UBO126" s="751"/>
      <c r="UBP126" s="751"/>
      <c r="UBQ126" s="751"/>
      <c r="UBR126" s="751"/>
      <c r="UBS126" s="751"/>
      <c r="UBT126" s="751"/>
      <c r="UBU126" s="751"/>
      <c r="UBV126" s="751"/>
      <c r="UBW126" s="751"/>
      <c r="UBX126" s="751"/>
      <c r="UBY126" s="751"/>
      <c r="UBZ126" s="751"/>
      <c r="UCA126" s="751"/>
      <c r="UCB126" s="751"/>
      <c r="UCC126" s="751"/>
      <c r="UCD126" s="751"/>
      <c r="UCE126" s="751"/>
      <c r="UCF126" s="751"/>
      <c r="UCG126" s="751"/>
      <c r="UCH126" s="751"/>
      <c r="UCI126" s="751"/>
      <c r="UCJ126" s="751"/>
      <c r="UCK126" s="751"/>
      <c r="UCL126" s="751"/>
      <c r="UCM126" s="751"/>
      <c r="UCN126" s="751"/>
      <c r="UCO126" s="751"/>
      <c r="UCP126" s="751"/>
      <c r="UCQ126" s="751"/>
      <c r="UCR126" s="751"/>
      <c r="UCS126" s="751"/>
      <c r="UCT126" s="751"/>
      <c r="UCU126" s="751"/>
      <c r="UCV126" s="751"/>
      <c r="UCW126" s="751"/>
      <c r="UCX126" s="751"/>
      <c r="UCY126" s="751"/>
      <c r="UCZ126" s="751"/>
      <c r="UDA126" s="751"/>
      <c r="UDB126" s="751"/>
      <c r="UDC126" s="751"/>
      <c r="UDD126" s="751"/>
      <c r="UDE126" s="751"/>
      <c r="UDF126" s="751"/>
      <c r="UDG126" s="751"/>
      <c r="UDH126" s="751"/>
      <c r="UDI126" s="751"/>
      <c r="UDJ126" s="751"/>
      <c r="UDK126" s="751"/>
      <c r="UDL126" s="751"/>
      <c r="UDM126" s="751"/>
      <c r="UDN126" s="751"/>
      <c r="UDO126" s="751"/>
      <c r="UDP126" s="751"/>
      <c r="UDQ126" s="751"/>
      <c r="UDR126" s="751"/>
      <c r="UDS126" s="751"/>
      <c r="UDT126" s="751"/>
      <c r="UDU126" s="751"/>
      <c r="UDV126" s="751"/>
      <c r="UDW126" s="751"/>
      <c r="UDX126" s="751"/>
      <c r="UDY126" s="751"/>
      <c r="UDZ126" s="751"/>
      <c r="UEA126" s="751"/>
      <c r="UEB126" s="751"/>
      <c r="UEC126" s="751"/>
      <c r="UED126" s="751"/>
      <c r="UEE126" s="751"/>
      <c r="UEF126" s="751"/>
      <c r="UEG126" s="751"/>
      <c r="UEH126" s="751"/>
      <c r="UEI126" s="751"/>
      <c r="UEJ126" s="751"/>
      <c r="UEK126" s="751"/>
      <c r="UEL126" s="751"/>
      <c r="UEM126" s="751"/>
      <c r="UEN126" s="751"/>
      <c r="UEO126" s="751"/>
      <c r="UEP126" s="751"/>
      <c r="UEQ126" s="751"/>
      <c r="UER126" s="751"/>
      <c r="UES126" s="751"/>
      <c r="UET126" s="751"/>
      <c r="UEU126" s="751"/>
      <c r="UEV126" s="751"/>
      <c r="UEW126" s="751"/>
      <c r="UEX126" s="751"/>
      <c r="UEY126" s="751"/>
      <c r="UEZ126" s="751"/>
      <c r="UFA126" s="751"/>
      <c r="UFB126" s="751"/>
      <c r="UFC126" s="751"/>
      <c r="UFD126" s="751"/>
      <c r="UFE126" s="751"/>
      <c r="UFF126" s="751"/>
      <c r="UFG126" s="751"/>
      <c r="UFH126" s="751"/>
      <c r="UFI126" s="751"/>
      <c r="UFJ126" s="751"/>
      <c r="UFK126" s="751"/>
      <c r="UFL126" s="751"/>
      <c r="UFM126" s="751"/>
      <c r="UFN126" s="751"/>
      <c r="UFO126" s="751"/>
      <c r="UFP126" s="751"/>
      <c r="UFQ126" s="751"/>
      <c r="UFR126" s="751"/>
      <c r="UFS126" s="751"/>
      <c r="UFT126" s="751"/>
      <c r="UFU126" s="751"/>
      <c r="UFV126" s="751"/>
      <c r="UFW126" s="751"/>
      <c r="UFX126" s="751"/>
      <c r="UFY126" s="751"/>
      <c r="UFZ126" s="751"/>
      <c r="UGA126" s="751"/>
      <c r="UGB126" s="751"/>
      <c r="UGC126" s="751"/>
      <c r="UGD126" s="751"/>
      <c r="UGE126" s="751"/>
      <c r="UGF126" s="751"/>
      <c r="UGG126" s="751"/>
      <c r="UGH126" s="751"/>
      <c r="UGI126" s="751"/>
      <c r="UGJ126" s="751"/>
      <c r="UGK126" s="751"/>
      <c r="UGL126" s="751"/>
      <c r="UGM126" s="751"/>
      <c r="UGN126" s="751"/>
      <c r="UGO126" s="751"/>
      <c r="UGP126" s="751"/>
      <c r="UGQ126" s="751"/>
      <c r="UGR126" s="751"/>
      <c r="UGS126" s="751"/>
      <c r="UGT126" s="751"/>
      <c r="UGU126" s="751"/>
      <c r="UGV126" s="751"/>
      <c r="UGW126" s="751"/>
      <c r="UGX126" s="751"/>
      <c r="UGY126" s="751"/>
      <c r="UGZ126" s="751"/>
      <c r="UHA126" s="751"/>
      <c r="UHB126" s="751"/>
      <c r="UHC126" s="751"/>
      <c r="UHD126" s="751"/>
      <c r="UHE126" s="751"/>
      <c r="UHF126" s="751"/>
      <c r="UHG126" s="751"/>
      <c r="UHH126" s="751"/>
      <c r="UHI126" s="751"/>
      <c r="UHJ126" s="751"/>
      <c r="UHK126" s="751"/>
      <c r="UHL126" s="751"/>
      <c r="UHM126" s="751"/>
      <c r="UHN126" s="751"/>
      <c r="UHO126" s="751"/>
      <c r="UHP126" s="751"/>
      <c r="UHQ126" s="751"/>
      <c r="UHR126" s="751"/>
      <c r="UHS126" s="751"/>
      <c r="UHT126" s="751"/>
      <c r="UHU126" s="751"/>
      <c r="UHV126" s="751"/>
      <c r="UHW126" s="751"/>
      <c r="UHX126" s="751"/>
      <c r="UHY126" s="751"/>
      <c r="UHZ126" s="751"/>
      <c r="UIA126" s="751"/>
      <c r="UIB126" s="751"/>
      <c r="UIC126" s="751"/>
      <c r="UID126" s="751"/>
      <c r="UIE126" s="751"/>
      <c r="UIF126" s="751"/>
      <c r="UIG126" s="751"/>
      <c r="UIH126" s="751"/>
      <c r="UII126" s="751"/>
      <c r="UIJ126" s="751"/>
      <c r="UIK126" s="751"/>
      <c r="UIL126" s="751"/>
      <c r="UIM126" s="751"/>
      <c r="UIN126" s="751"/>
      <c r="UIO126" s="751"/>
      <c r="UIP126" s="751"/>
      <c r="UIQ126" s="751"/>
      <c r="UIR126" s="751"/>
      <c r="UIS126" s="751"/>
      <c r="UIT126" s="751"/>
      <c r="UIU126" s="751"/>
      <c r="UIV126" s="751"/>
      <c r="UIW126" s="751"/>
      <c r="UIX126" s="751"/>
      <c r="UIY126" s="751"/>
      <c r="UIZ126" s="751"/>
      <c r="UJA126" s="751"/>
      <c r="UJB126" s="751"/>
      <c r="UJC126" s="751"/>
      <c r="UJD126" s="751"/>
      <c r="UJE126" s="751"/>
      <c r="UJF126" s="751"/>
      <c r="UJG126" s="751"/>
      <c r="UJH126" s="751"/>
      <c r="UJI126" s="751"/>
      <c r="UJJ126" s="751"/>
      <c r="UJK126" s="751"/>
      <c r="UJL126" s="751"/>
      <c r="UJM126" s="751"/>
      <c r="UJN126" s="751"/>
      <c r="UJO126" s="751"/>
      <c r="UJP126" s="751"/>
      <c r="UJQ126" s="751"/>
      <c r="UJR126" s="751"/>
      <c r="UJS126" s="751"/>
      <c r="UJT126" s="751"/>
      <c r="UJU126" s="751"/>
      <c r="UJV126" s="751"/>
      <c r="UJW126" s="751"/>
      <c r="UJX126" s="751"/>
      <c r="UJY126" s="751"/>
      <c r="UJZ126" s="751"/>
      <c r="UKA126" s="751"/>
      <c r="UKB126" s="751"/>
      <c r="UKC126" s="751"/>
      <c r="UKD126" s="751"/>
      <c r="UKE126" s="751"/>
      <c r="UKF126" s="751"/>
      <c r="UKG126" s="751"/>
      <c r="UKH126" s="751"/>
      <c r="UKI126" s="751"/>
      <c r="UKJ126" s="751"/>
      <c r="UKK126" s="751"/>
      <c r="UKL126" s="751"/>
      <c r="UKM126" s="751"/>
      <c r="UKN126" s="751"/>
      <c r="UKO126" s="751"/>
      <c r="UKP126" s="751"/>
      <c r="UKQ126" s="751"/>
      <c r="UKR126" s="751"/>
      <c r="UKS126" s="751"/>
      <c r="UKT126" s="751"/>
      <c r="UKU126" s="751"/>
      <c r="UKV126" s="751"/>
      <c r="UKW126" s="751"/>
      <c r="UKX126" s="751"/>
      <c r="UKY126" s="751"/>
      <c r="UKZ126" s="751"/>
      <c r="ULA126" s="751"/>
      <c r="ULB126" s="751"/>
      <c r="ULC126" s="751"/>
      <c r="ULD126" s="751"/>
      <c r="ULE126" s="751"/>
      <c r="ULF126" s="751"/>
      <c r="ULG126" s="751"/>
      <c r="ULH126" s="751"/>
      <c r="ULI126" s="751"/>
      <c r="ULJ126" s="751"/>
      <c r="ULK126" s="751"/>
      <c r="ULL126" s="751"/>
      <c r="ULM126" s="751"/>
      <c r="ULN126" s="751"/>
      <c r="ULO126" s="751"/>
      <c r="ULP126" s="751"/>
      <c r="ULQ126" s="751"/>
      <c r="ULR126" s="751"/>
      <c r="ULS126" s="751"/>
      <c r="ULT126" s="751"/>
      <c r="ULU126" s="751"/>
      <c r="ULV126" s="751"/>
      <c r="ULW126" s="751"/>
      <c r="ULX126" s="751"/>
      <c r="ULY126" s="751"/>
      <c r="ULZ126" s="751"/>
      <c r="UMA126" s="751"/>
      <c r="UMB126" s="751"/>
      <c r="UMC126" s="751"/>
      <c r="UMD126" s="751"/>
      <c r="UME126" s="751"/>
      <c r="UMF126" s="751"/>
      <c r="UMG126" s="751"/>
      <c r="UMH126" s="751"/>
      <c r="UMI126" s="751"/>
      <c r="UMJ126" s="751"/>
      <c r="UMK126" s="751"/>
      <c r="UML126" s="751"/>
      <c r="UMM126" s="751"/>
      <c r="UMN126" s="751"/>
      <c r="UMO126" s="751"/>
      <c r="UMP126" s="751"/>
      <c r="UMQ126" s="751"/>
      <c r="UMR126" s="751"/>
      <c r="UMS126" s="751"/>
      <c r="UMT126" s="751"/>
      <c r="UMU126" s="751"/>
      <c r="UMV126" s="751"/>
      <c r="UMW126" s="751"/>
      <c r="UMX126" s="751"/>
      <c r="UMY126" s="751"/>
      <c r="UMZ126" s="751"/>
      <c r="UNA126" s="751"/>
      <c r="UNB126" s="751"/>
      <c r="UNC126" s="751"/>
      <c r="UND126" s="751"/>
      <c r="UNE126" s="751"/>
      <c r="UNF126" s="751"/>
      <c r="UNG126" s="751"/>
      <c r="UNH126" s="751"/>
      <c r="UNI126" s="751"/>
      <c r="UNJ126" s="751"/>
      <c r="UNK126" s="751"/>
      <c r="UNL126" s="751"/>
      <c r="UNM126" s="751"/>
      <c r="UNN126" s="751"/>
      <c r="UNO126" s="751"/>
      <c r="UNP126" s="751"/>
      <c r="UNQ126" s="751"/>
      <c r="UNR126" s="751"/>
      <c r="UNS126" s="751"/>
      <c r="UNT126" s="751"/>
      <c r="UNU126" s="751"/>
      <c r="UNV126" s="751"/>
      <c r="UNW126" s="751"/>
      <c r="UNX126" s="751"/>
      <c r="UNY126" s="751"/>
      <c r="UNZ126" s="751"/>
      <c r="UOA126" s="751"/>
      <c r="UOB126" s="751"/>
      <c r="UOC126" s="751"/>
      <c r="UOD126" s="751"/>
      <c r="UOE126" s="751"/>
      <c r="UOF126" s="751"/>
      <c r="UOG126" s="751"/>
      <c r="UOH126" s="751"/>
      <c r="UOI126" s="751"/>
      <c r="UOJ126" s="751"/>
      <c r="UOK126" s="751"/>
      <c r="UOL126" s="751"/>
      <c r="UOM126" s="751"/>
      <c r="UON126" s="751"/>
      <c r="UOO126" s="751"/>
      <c r="UOP126" s="751"/>
      <c r="UOQ126" s="751"/>
      <c r="UOR126" s="751"/>
      <c r="UOS126" s="751"/>
      <c r="UOT126" s="751"/>
      <c r="UOU126" s="751"/>
      <c r="UOV126" s="751"/>
      <c r="UOW126" s="751"/>
      <c r="UOX126" s="751"/>
      <c r="UOY126" s="751"/>
      <c r="UOZ126" s="751"/>
      <c r="UPA126" s="751"/>
      <c r="UPB126" s="751"/>
      <c r="UPC126" s="751"/>
      <c r="UPD126" s="751"/>
      <c r="UPE126" s="751"/>
      <c r="UPF126" s="751"/>
      <c r="UPG126" s="751"/>
      <c r="UPH126" s="751"/>
      <c r="UPI126" s="751"/>
      <c r="UPJ126" s="751"/>
      <c r="UPK126" s="751"/>
      <c r="UPL126" s="751"/>
      <c r="UPM126" s="751"/>
      <c r="UPN126" s="751"/>
      <c r="UPO126" s="751"/>
      <c r="UPP126" s="751"/>
      <c r="UPQ126" s="751"/>
      <c r="UPR126" s="751"/>
      <c r="UPS126" s="751"/>
      <c r="UPT126" s="751"/>
      <c r="UPU126" s="751"/>
      <c r="UPV126" s="751"/>
      <c r="UPW126" s="751"/>
      <c r="UPX126" s="751"/>
      <c r="UPY126" s="751"/>
      <c r="UPZ126" s="751"/>
      <c r="UQA126" s="751"/>
      <c r="UQB126" s="751"/>
      <c r="UQC126" s="751"/>
      <c r="UQD126" s="751"/>
      <c r="UQE126" s="751"/>
      <c r="UQF126" s="751"/>
      <c r="UQG126" s="751"/>
      <c r="UQH126" s="751"/>
      <c r="UQI126" s="751"/>
      <c r="UQJ126" s="751"/>
      <c r="UQK126" s="751"/>
      <c r="UQL126" s="751"/>
      <c r="UQM126" s="751"/>
      <c r="UQN126" s="751"/>
      <c r="UQO126" s="751"/>
      <c r="UQP126" s="751"/>
      <c r="UQQ126" s="751"/>
      <c r="UQR126" s="751"/>
      <c r="UQS126" s="751"/>
      <c r="UQT126" s="751"/>
      <c r="UQU126" s="751"/>
      <c r="UQV126" s="751"/>
      <c r="UQW126" s="751"/>
      <c r="UQX126" s="751"/>
      <c r="UQY126" s="751"/>
      <c r="UQZ126" s="751"/>
      <c r="URA126" s="751"/>
      <c r="URB126" s="751"/>
      <c r="URC126" s="751"/>
      <c r="URD126" s="751"/>
      <c r="URE126" s="751"/>
      <c r="URF126" s="751"/>
      <c r="URG126" s="751"/>
      <c r="URH126" s="751"/>
      <c r="URI126" s="751"/>
      <c r="URJ126" s="751"/>
      <c r="URK126" s="751"/>
      <c r="URL126" s="751"/>
      <c r="URM126" s="751"/>
      <c r="URN126" s="751"/>
      <c r="URO126" s="751"/>
      <c r="URP126" s="751"/>
      <c r="URQ126" s="751"/>
      <c r="URR126" s="751"/>
      <c r="URS126" s="751"/>
      <c r="URT126" s="751"/>
      <c r="URU126" s="751"/>
      <c r="URV126" s="751"/>
      <c r="URW126" s="751"/>
      <c r="URX126" s="751"/>
      <c r="URY126" s="751"/>
      <c r="URZ126" s="751"/>
      <c r="USA126" s="751"/>
      <c r="USB126" s="751"/>
      <c r="USC126" s="751"/>
      <c r="USD126" s="751"/>
      <c r="USE126" s="751"/>
      <c r="USF126" s="751"/>
      <c r="USG126" s="751"/>
      <c r="USH126" s="751"/>
      <c r="USI126" s="751"/>
      <c r="USJ126" s="751"/>
      <c r="USK126" s="751"/>
      <c r="USL126" s="751"/>
      <c r="USM126" s="751"/>
      <c r="USN126" s="751"/>
      <c r="USO126" s="751"/>
      <c r="USP126" s="751"/>
      <c r="USQ126" s="751"/>
      <c r="USR126" s="751"/>
      <c r="USS126" s="751"/>
      <c r="UST126" s="751"/>
      <c r="USU126" s="751"/>
      <c r="USV126" s="751"/>
      <c r="USW126" s="751"/>
      <c r="USX126" s="751"/>
      <c r="USY126" s="751"/>
      <c r="USZ126" s="751"/>
      <c r="UTA126" s="751"/>
      <c r="UTB126" s="751"/>
      <c r="UTC126" s="751"/>
      <c r="UTD126" s="751"/>
      <c r="UTE126" s="751"/>
      <c r="UTF126" s="751"/>
      <c r="UTG126" s="751"/>
      <c r="UTH126" s="751"/>
      <c r="UTI126" s="751"/>
      <c r="UTJ126" s="751"/>
      <c r="UTK126" s="751"/>
      <c r="UTL126" s="751"/>
      <c r="UTM126" s="751"/>
      <c r="UTN126" s="751"/>
      <c r="UTO126" s="751"/>
      <c r="UTP126" s="751"/>
      <c r="UTQ126" s="751"/>
      <c r="UTR126" s="751"/>
      <c r="UTS126" s="751"/>
      <c r="UTT126" s="751"/>
      <c r="UTU126" s="751"/>
      <c r="UTV126" s="751"/>
      <c r="UTW126" s="751"/>
      <c r="UTX126" s="751"/>
      <c r="UTY126" s="751"/>
      <c r="UTZ126" s="751"/>
      <c r="UUA126" s="751"/>
      <c r="UUB126" s="751"/>
      <c r="UUC126" s="751"/>
      <c r="UUD126" s="751"/>
      <c r="UUE126" s="751"/>
      <c r="UUF126" s="751"/>
      <c r="UUG126" s="751"/>
      <c r="UUH126" s="751"/>
      <c r="UUI126" s="751"/>
      <c r="UUJ126" s="751"/>
      <c r="UUK126" s="751"/>
      <c r="UUL126" s="751"/>
      <c r="UUM126" s="751"/>
      <c r="UUN126" s="751"/>
      <c r="UUO126" s="751"/>
      <c r="UUP126" s="751"/>
      <c r="UUQ126" s="751"/>
      <c r="UUR126" s="751"/>
      <c r="UUS126" s="751"/>
      <c r="UUT126" s="751"/>
      <c r="UUU126" s="751"/>
      <c r="UUV126" s="751"/>
      <c r="UUW126" s="751"/>
      <c r="UUX126" s="751"/>
      <c r="UUY126" s="751"/>
      <c r="UUZ126" s="751"/>
      <c r="UVA126" s="751"/>
      <c r="UVB126" s="751"/>
      <c r="UVC126" s="751"/>
      <c r="UVD126" s="751"/>
      <c r="UVE126" s="751"/>
      <c r="UVF126" s="751"/>
      <c r="UVG126" s="751"/>
      <c r="UVH126" s="751"/>
      <c r="UVI126" s="751"/>
      <c r="UVJ126" s="751"/>
      <c r="UVK126" s="751"/>
      <c r="UVL126" s="751"/>
      <c r="UVM126" s="751"/>
      <c r="UVN126" s="751"/>
      <c r="UVO126" s="751"/>
      <c r="UVP126" s="751"/>
      <c r="UVQ126" s="751"/>
      <c r="UVR126" s="751"/>
      <c r="UVS126" s="751"/>
      <c r="UVT126" s="751"/>
      <c r="UVU126" s="751"/>
      <c r="UVV126" s="751"/>
      <c r="UVW126" s="751"/>
      <c r="UVX126" s="751"/>
      <c r="UVY126" s="751"/>
      <c r="UVZ126" s="751"/>
      <c r="UWA126" s="751"/>
      <c r="UWB126" s="751"/>
      <c r="UWC126" s="751"/>
      <c r="UWD126" s="751"/>
      <c r="UWE126" s="751"/>
      <c r="UWF126" s="751"/>
      <c r="UWG126" s="751"/>
      <c r="UWH126" s="751"/>
      <c r="UWI126" s="751"/>
      <c r="UWJ126" s="751"/>
      <c r="UWK126" s="751"/>
      <c r="UWL126" s="751"/>
      <c r="UWM126" s="751"/>
      <c r="UWN126" s="751"/>
      <c r="UWO126" s="751"/>
      <c r="UWP126" s="751"/>
      <c r="UWQ126" s="751"/>
      <c r="UWR126" s="751"/>
      <c r="UWS126" s="751"/>
      <c r="UWT126" s="751"/>
      <c r="UWU126" s="751"/>
      <c r="UWV126" s="751"/>
      <c r="UWW126" s="751"/>
      <c r="UWX126" s="751"/>
      <c r="UWY126" s="751"/>
      <c r="UWZ126" s="751"/>
      <c r="UXA126" s="751"/>
      <c r="UXB126" s="751"/>
      <c r="UXC126" s="751"/>
      <c r="UXD126" s="751"/>
      <c r="UXE126" s="751"/>
      <c r="UXF126" s="751"/>
      <c r="UXG126" s="751"/>
      <c r="UXH126" s="751"/>
      <c r="UXI126" s="751"/>
      <c r="UXJ126" s="751"/>
      <c r="UXK126" s="751"/>
      <c r="UXL126" s="751"/>
      <c r="UXM126" s="751"/>
      <c r="UXN126" s="751"/>
      <c r="UXO126" s="751"/>
      <c r="UXP126" s="751"/>
      <c r="UXQ126" s="751"/>
      <c r="UXR126" s="751"/>
      <c r="UXS126" s="751"/>
      <c r="UXT126" s="751"/>
      <c r="UXU126" s="751"/>
      <c r="UXV126" s="751"/>
      <c r="UXW126" s="751"/>
      <c r="UXX126" s="751"/>
      <c r="UXY126" s="751"/>
      <c r="UXZ126" s="751"/>
      <c r="UYA126" s="751"/>
      <c r="UYB126" s="751"/>
      <c r="UYC126" s="751"/>
      <c r="UYD126" s="751"/>
      <c r="UYE126" s="751"/>
      <c r="UYF126" s="751"/>
      <c r="UYG126" s="751"/>
      <c r="UYH126" s="751"/>
      <c r="UYI126" s="751"/>
      <c r="UYJ126" s="751"/>
      <c r="UYK126" s="751"/>
      <c r="UYL126" s="751"/>
      <c r="UYM126" s="751"/>
      <c r="UYN126" s="751"/>
      <c r="UYO126" s="751"/>
      <c r="UYP126" s="751"/>
      <c r="UYQ126" s="751"/>
      <c r="UYR126" s="751"/>
      <c r="UYS126" s="751"/>
      <c r="UYT126" s="751"/>
      <c r="UYU126" s="751"/>
      <c r="UYV126" s="751"/>
      <c r="UYW126" s="751"/>
      <c r="UYX126" s="751"/>
      <c r="UYY126" s="751"/>
      <c r="UYZ126" s="751"/>
      <c r="UZA126" s="751"/>
      <c r="UZB126" s="751"/>
      <c r="UZC126" s="751"/>
      <c r="UZD126" s="751"/>
      <c r="UZE126" s="751"/>
      <c r="UZF126" s="751"/>
      <c r="UZG126" s="751"/>
      <c r="UZH126" s="751"/>
      <c r="UZI126" s="751"/>
      <c r="UZJ126" s="751"/>
      <c r="UZK126" s="751"/>
      <c r="UZL126" s="751"/>
      <c r="UZM126" s="751"/>
      <c r="UZN126" s="751"/>
      <c r="UZO126" s="751"/>
      <c r="UZP126" s="751"/>
      <c r="UZQ126" s="751"/>
      <c r="UZR126" s="751"/>
      <c r="UZS126" s="751"/>
      <c r="UZT126" s="751"/>
      <c r="UZU126" s="751"/>
      <c r="UZV126" s="751"/>
      <c r="UZW126" s="751"/>
      <c r="UZX126" s="751"/>
      <c r="UZY126" s="751"/>
      <c r="UZZ126" s="751"/>
      <c r="VAA126" s="751"/>
      <c r="VAB126" s="751"/>
      <c r="VAC126" s="751"/>
      <c r="VAD126" s="751"/>
      <c r="VAE126" s="751"/>
      <c r="VAF126" s="751"/>
      <c r="VAG126" s="751"/>
      <c r="VAH126" s="751"/>
      <c r="VAI126" s="751"/>
      <c r="VAJ126" s="751"/>
      <c r="VAK126" s="751"/>
      <c r="VAL126" s="751"/>
      <c r="VAM126" s="751"/>
      <c r="VAN126" s="751"/>
      <c r="VAO126" s="751"/>
      <c r="VAP126" s="751"/>
      <c r="VAQ126" s="751"/>
      <c r="VAR126" s="751"/>
      <c r="VAS126" s="751"/>
      <c r="VAT126" s="751"/>
      <c r="VAU126" s="751"/>
      <c r="VAV126" s="751"/>
      <c r="VAW126" s="751"/>
      <c r="VAX126" s="751"/>
      <c r="VAY126" s="751"/>
      <c r="VAZ126" s="751"/>
      <c r="VBA126" s="751"/>
      <c r="VBB126" s="751"/>
      <c r="VBC126" s="751"/>
      <c r="VBD126" s="751"/>
      <c r="VBE126" s="751"/>
      <c r="VBF126" s="751"/>
      <c r="VBG126" s="751"/>
      <c r="VBH126" s="751"/>
      <c r="VBI126" s="751"/>
      <c r="VBJ126" s="751"/>
      <c r="VBK126" s="751"/>
      <c r="VBL126" s="751"/>
      <c r="VBM126" s="751"/>
      <c r="VBN126" s="751"/>
      <c r="VBO126" s="751"/>
      <c r="VBP126" s="751"/>
      <c r="VBQ126" s="751"/>
      <c r="VBR126" s="751"/>
      <c r="VBS126" s="751"/>
      <c r="VBT126" s="751"/>
      <c r="VBU126" s="751"/>
      <c r="VBV126" s="751"/>
      <c r="VBW126" s="751"/>
      <c r="VBX126" s="751"/>
      <c r="VBY126" s="751"/>
      <c r="VBZ126" s="751"/>
      <c r="VCA126" s="751"/>
      <c r="VCB126" s="751"/>
      <c r="VCC126" s="751"/>
      <c r="VCD126" s="751"/>
      <c r="VCE126" s="751"/>
      <c r="VCF126" s="751"/>
      <c r="VCG126" s="751"/>
      <c r="VCH126" s="751"/>
      <c r="VCI126" s="751"/>
      <c r="VCJ126" s="751"/>
      <c r="VCK126" s="751"/>
      <c r="VCL126" s="751"/>
      <c r="VCM126" s="751"/>
      <c r="VCN126" s="751"/>
      <c r="VCO126" s="751"/>
      <c r="VCP126" s="751"/>
      <c r="VCQ126" s="751"/>
      <c r="VCR126" s="751"/>
      <c r="VCS126" s="751"/>
      <c r="VCT126" s="751"/>
      <c r="VCU126" s="751"/>
      <c r="VCV126" s="751"/>
      <c r="VCW126" s="751"/>
      <c r="VCX126" s="751"/>
      <c r="VCY126" s="751"/>
      <c r="VCZ126" s="751"/>
      <c r="VDA126" s="751"/>
      <c r="VDB126" s="751"/>
      <c r="VDC126" s="751"/>
      <c r="VDD126" s="751"/>
      <c r="VDE126" s="751"/>
      <c r="VDF126" s="751"/>
      <c r="VDG126" s="751"/>
      <c r="VDH126" s="751"/>
      <c r="VDI126" s="751"/>
      <c r="VDJ126" s="751"/>
      <c r="VDK126" s="751"/>
      <c r="VDL126" s="751"/>
      <c r="VDM126" s="751"/>
      <c r="VDN126" s="751"/>
      <c r="VDO126" s="751"/>
      <c r="VDP126" s="751"/>
      <c r="VDQ126" s="751"/>
      <c r="VDR126" s="751"/>
      <c r="VDS126" s="751"/>
      <c r="VDT126" s="751"/>
      <c r="VDU126" s="751"/>
      <c r="VDV126" s="751"/>
      <c r="VDW126" s="751"/>
      <c r="VDX126" s="751"/>
      <c r="VDY126" s="751"/>
      <c r="VDZ126" s="751"/>
      <c r="VEA126" s="751"/>
      <c r="VEB126" s="751"/>
      <c r="VEC126" s="751"/>
      <c r="VED126" s="751"/>
      <c r="VEE126" s="751"/>
      <c r="VEF126" s="751"/>
      <c r="VEG126" s="751"/>
      <c r="VEH126" s="751"/>
      <c r="VEI126" s="751"/>
      <c r="VEJ126" s="751"/>
      <c r="VEK126" s="751"/>
      <c r="VEL126" s="751"/>
      <c r="VEM126" s="751"/>
      <c r="VEN126" s="751"/>
      <c r="VEO126" s="751"/>
      <c r="VEP126" s="751"/>
      <c r="VEQ126" s="751"/>
      <c r="VER126" s="751"/>
      <c r="VES126" s="751"/>
      <c r="VET126" s="751"/>
      <c r="VEU126" s="751"/>
      <c r="VEV126" s="751"/>
      <c r="VEW126" s="751"/>
      <c r="VEX126" s="751"/>
      <c r="VEY126" s="751"/>
      <c r="VEZ126" s="751"/>
      <c r="VFA126" s="751"/>
      <c r="VFB126" s="751"/>
      <c r="VFC126" s="751"/>
      <c r="VFD126" s="751"/>
      <c r="VFE126" s="751"/>
      <c r="VFF126" s="751"/>
      <c r="VFG126" s="751"/>
      <c r="VFH126" s="751"/>
      <c r="VFI126" s="751"/>
      <c r="VFJ126" s="751"/>
      <c r="VFK126" s="751"/>
      <c r="VFL126" s="751"/>
      <c r="VFM126" s="751"/>
      <c r="VFN126" s="751"/>
      <c r="VFO126" s="751"/>
      <c r="VFP126" s="751"/>
      <c r="VFQ126" s="751"/>
      <c r="VFR126" s="751"/>
      <c r="VFS126" s="751"/>
      <c r="VFT126" s="751"/>
      <c r="VFU126" s="751"/>
      <c r="VFV126" s="751"/>
      <c r="VFW126" s="751"/>
      <c r="VFX126" s="751"/>
      <c r="VFY126" s="751"/>
      <c r="VFZ126" s="751"/>
      <c r="VGA126" s="751"/>
      <c r="VGB126" s="751"/>
      <c r="VGC126" s="751"/>
      <c r="VGD126" s="751"/>
      <c r="VGE126" s="751"/>
      <c r="VGF126" s="751"/>
      <c r="VGG126" s="751"/>
      <c r="VGH126" s="751"/>
      <c r="VGI126" s="751"/>
      <c r="VGJ126" s="751"/>
      <c r="VGK126" s="751"/>
      <c r="VGL126" s="751"/>
      <c r="VGM126" s="751"/>
      <c r="VGN126" s="751"/>
      <c r="VGO126" s="751"/>
      <c r="VGP126" s="751"/>
      <c r="VGQ126" s="751"/>
      <c r="VGR126" s="751"/>
      <c r="VGS126" s="751"/>
      <c r="VGT126" s="751"/>
      <c r="VGU126" s="751"/>
      <c r="VGV126" s="751"/>
      <c r="VGW126" s="751"/>
      <c r="VGX126" s="751"/>
      <c r="VGY126" s="751"/>
      <c r="VGZ126" s="751"/>
      <c r="VHA126" s="751"/>
      <c r="VHB126" s="751"/>
      <c r="VHC126" s="751"/>
      <c r="VHD126" s="751"/>
      <c r="VHE126" s="751"/>
      <c r="VHF126" s="751"/>
      <c r="VHG126" s="751"/>
      <c r="VHH126" s="751"/>
      <c r="VHI126" s="751"/>
      <c r="VHJ126" s="751"/>
      <c r="VHK126" s="751"/>
      <c r="VHL126" s="751"/>
      <c r="VHM126" s="751"/>
      <c r="VHN126" s="751"/>
      <c r="VHO126" s="751"/>
      <c r="VHP126" s="751"/>
      <c r="VHQ126" s="751"/>
      <c r="VHR126" s="751"/>
      <c r="VHS126" s="751"/>
      <c r="VHT126" s="751"/>
      <c r="VHU126" s="751"/>
      <c r="VHV126" s="751"/>
      <c r="VHW126" s="751"/>
      <c r="VHX126" s="751"/>
      <c r="VHY126" s="751"/>
      <c r="VHZ126" s="751"/>
      <c r="VIA126" s="751"/>
      <c r="VIB126" s="751"/>
      <c r="VIC126" s="751"/>
      <c r="VID126" s="751"/>
      <c r="VIE126" s="751"/>
      <c r="VIF126" s="751"/>
      <c r="VIG126" s="751"/>
      <c r="VIH126" s="751"/>
      <c r="VII126" s="751"/>
      <c r="VIJ126" s="751"/>
      <c r="VIK126" s="751"/>
      <c r="VIL126" s="751"/>
      <c r="VIM126" s="751"/>
      <c r="VIN126" s="751"/>
      <c r="VIO126" s="751"/>
      <c r="VIP126" s="751"/>
      <c r="VIQ126" s="751"/>
      <c r="VIR126" s="751"/>
      <c r="VIS126" s="751"/>
      <c r="VIT126" s="751"/>
      <c r="VIU126" s="751"/>
      <c r="VIV126" s="751"/>
      <c r="VIW126" s="751"/>
      <c r="VIX126" s="751"/>
      <c r="VIY126" s="751"/>
      <c r="VIZ126" s="751"/>
      <c r="VJA126" s="751"/>
      <c r="VJB126" s="751"/>
      <c r="VJC126" s="751"/>
      <c r="VJD126" s="751"/>
      <c r="VJE126" s="751"/>
      <c r="VJF126" s="751"/>
      <c r="VJG126" s="751"/>
      <c r="VJH126" s="751"/>
      <c r="VJI126" s="751"/>
      <c r="VJJ126" s="751"/>
      <c r="VJK126" s="751"/>
      <c r="VJL126" s="751"/>
      <c r="VJM126" s="751"/>
      <c r="VJN126" s="751"/>
      <c r="VJO126" s="751"/>
      <c r="VJP126" s="751"/>
      <c r="VJQ126" s="751"/>
      <c r="VJR126" s="751"/>
      <c r="VJS126" s="751"/>
      <c r="VJT126" s="751"/>
      <c r="VJU126" s="751"/>
      <c r="VJV126" s="751"/>
      <c r="VJW126" s="751"/>
      <c r="VJX126" s="751"/>
      <c r="VJY126" s="751"/>
      <c r="VJZ126" s="751"/>
      <c r="VKA126" s="751"/>
      <c r="VKB126" s="751"/>
      <c r="VKC126" s="751"/>
      <c r="VKD126" s="751"/>
      <c r="VKE126" s="751"/>
      <c r="VKF126" s="751"/>
      <c r="VKG126" s="751"/>
      <c r="VKH126" s="751"/>
      <c r="VKI126" s="751"/>
      <c r="VKJ126" s="751"/>
      <c r="VKK126" s="751"/>
      <c r="VKL126" s="751"/>
      <c r="VKM126" s="751"/>
      <c r="VKN126" s="751"/>
      <c r="VKO126" s="751"/>
      <c r="VKP126" s="751"/>
      <c r="VKQ126" s="751"/>
      <c r="VKR126" s="751"/>
      <c r="VKS126" s="751"/>
      <c r="VKT126" s="751"/>
      <c r="VKU126" s="751"/>
      <c r="VKV126" s="751"/>
      <c r="VKW126" s="751"/>
      <c r="VKX126" s="751"/>
      <c r="VKY126" s="751"/>
      <c r="VKZ126" s="751"/>
      <c r="VLA126" s="751"/>
      <c r="VLB126" s="751"/>
      <c r="VLC126" s="751"/>
      <c r="VLD126" s="751"/>
      <c r="VLE126" s="751"/>
      <c r="VLF126" s="751"/>
      <c r="VLG126" s="751"/>
      <c r="VLH126" s="751"/>
      <c r="VLI126" s="751"/>
      <c r="VLJ126" s="751"/>
      <c r="VLK126" s="751"/>
      <c r="VLL126" s="751"/>
      <c r="VLM126" s="751"/>
      <c r="VLN126" s="751"/>
      <c r="VLO126" s="751"/>
      <c r="VLP126" s="751"/>
      <c r="VLQ126" s="751"/>
      <c r="VLR126" s="751"/>
      <c r="VLS126" s="751"/>
      <c r="VLT126" s="751"/>
      <c r="VLU126" s="751"/>
      <c r="VLV126" s="751"/>
      <c r="VLW126" s="751"/>
      <c r="VLX126" s="751"/>
      <c r="VLY126" s="751"/>
      <c r="VLZ126" s="751"/>
      <c r="VMA126" s="751"/>
      <c r="VMB126" s="751"/>
      <c r="VMC126" s="751"/>
      <c r="VMD126" s="751"/>
      <c r="VME126" s="751"/>
      <c r="VMF126" s="751"/>
      <c r="VMG126" s="751"/>
      <c r="VMH126" s="751"/>
      <c r="VMI126" s="751"/>
      <c r="VMJ126" s="751"/>
      <c r="VMK126" s="751"/>
      <c r="VML126" s="751"/>
      <c r="VMM126" s="751"/>
      <c r="VMN126" s="751"/>
      <c r="VMO126" s="751"/>
      <c r="VMP126" s="751"/>
      <c r="VMQ126" s="751"/>
      <c r="VMR126" s="751"/>
      <c r="VMS126" s="751"/>
      <c r="VMT126" s="751"/>
      <c r="VMU126" s="751"/>
      <c r="VMV126" s="751"/>
      <c r="VMW126" s="751"/>
      <c r="VMX126" s="751"/>
      <c r="VMY126" s="751"/>
      <c r="VMZ126" s="751"/>
      <c r="VNA126" s="751"/>
      <c r="VNB126" s="751"/>
      <c r="VNC126" s="751"/>
      <c r="VND126" s="751"/>
      <c r="VNE126" s="751"/>
      <c r="VNF126" s="751"/>
      <c r="VNG126" s="751"/>
      <c r="VNH126" s="751"/>
      <c r="VNI126" s="751"/>
      <c r="VNJ126" s="751"/>
      <c r="VNK126" s="751"/>
      <c r="VNL126" s="751"/>
      <c r="VNM126" s="751"/>
      <c r="VNN126" s="751"/>
      <c r="VNO126" s="751"/>
      <c r="VNP126" s="751"/>
      <c r="VNQ126" s="751"/>
      <c r="VNR126" s="751"/>
      <c r="VNS126" s="751"/>
      <c r="VNT126" s="751"/>
      <c r="VNU126" s="751"/>
      <c r="VNV126" s="751"/>
      <c r="VNW126" s="751"/>
      <c r="VNX126" s="751"/>
      <c r="VNY126" s="751"/>
      <c r="VNZ126" s="751"/>
      <c r="VOA126" s="751"/>
      <c r="VOB126" s="751"/>
      <c r="VOC126" s="751"/>
      <c r="VOD126" s="751"/>
      <c r="VOE126" s="751"/>
      <c r="VOF126" s="751"/>
      <c r="VOG126" s="751"/>
      <c r="VOH126" s="751"/>
      <c r="VOI126" s="751"/>
      <c r="VOJ126" s="751"/>
      <c r="VOK126" s="751"/>
      <c r="VOL126" s="751"/>
      <c r="VOM126" s="751"/>
      <c r="VON126" s="751"/>
      <c r="VOO126" s="751"/>
      <c r="VOP126" s="751"/>
      <c r="VOQ126" s="751"/>
      <c r="VOR126" s="751"/>
      <c r="VOS126" s="751"/>
      <c r="VOT126" s="751"/>
      <c r="VOU126" s="751"/>
      <c r="VOV126" s="751"/>
      <c r="VOW126" s="751"/>
      <c r="VOX126" s="751"/>
      <c r="VOY126" s="751"/>
      <c r="VOZ126" s="751"/>
      <c r="VPA126" s="751"/>
      <c r="VPB126" s="751"/>
      <c r="VPC126" s="751"/>
      <c r="VPD126" s="751"/>
      <c r="VPE126" s="751"/>
      <c r="VPF126" s="751"/>
      <c r="VPG126" s="751"/>
      <c r="VPH126" s="751"/>
      <c r="VPI126" s="751"/>
      <c r="VPJ126" s="751"/>
      <c r="VPK126" s="751"/>
      <c r="VPL126" s="751"/>
      <c r="VPM126" s="751"/>
      <c r="VPN126" s="751"/>
      <c r="VPO126" s="751"/>
      <c r="VPP126" s="751"/>
      <c r="VPQ126" s="751"/>
      <c r="VPR126" s="751"/>
      <c r="VPS126" s="751"/>
      <c r="VPT126" s="751"/>
      <c r="VPU126" s="751"/>
      <c r="VPV126" s="751"/>
      <c r="VPW126" s="751"/>
      <c r="VPX126" s="751"/>
      <c r="VPY126" s="751"/>
      <c r="VPZ126" s="751"/>
      <c r="VQA126" s="751"/>
      <c r="VQB126" s="751"/>
      <c r="VQC126" s="751"/>
      <c r="VQD126" s="751"/>
      <c r="VQE126" s="751"/>
      <c r="VQF126" s="751"/>
      <c r="VQG126" s="751"/>
      <c r="VQH126" s="751"/>
      <c r="VQI126" s="751"/>
      <c r="VQJ126" s="751"/>
      <c r="VQK126" s="751"/>
      <c r="VQL126" s="751"/>
      <c r="VQM126" s="751"/>
      <c r="VQN126" s="751"/>
      <c r="VQO126" s="751"/>
      <c r="VQP126" s="751"/>
      <c r="VQQ126" s="751"/>
      <c r="VQR126" s="751"/>
      <c r="VQS126" s="751"/>
      <c r="VQT126" s="751"/>
      <c r="VQU126" s="751"/>
      <c r="VQV126" s="751"/>
      <c r="VQW126" s="751"/>
      <c r="VQX126" s="751"/>
      <c r="VQY126" s="751"/>
      <c r="VQZ126" s="751"/>
      <c r="VRA126" s="751"/>
      <c r="VRB126" s="751"/>
      <c r="VRC126" s="751"/>
      <c r="VRD126" s="751"/>
      <c r="VRE126" s="751"/>
      <c r="VRF126" s="751"/>
      <c r="VRG126" s="751"/>
      <c r="VRH126" s="751"/>
      <c r="VRI126" s="751"/>
      <c r="VRJ126" s="751"/>
      <c r="VRK126" s="751"/>
      <c r="VRL126" s="751"/>
      <c r="VRM126" s="751"/>
      <c r="VRN126" s="751"/>
      <c r="VRO126" s="751"/>
      <c r="VRP126" s="751"/>
      <c r="VRQ126" s="751"/>
      <c r="VRR126" s="751"/>
      <c r="VRS126" s="751"/>
      <c r="VRT126" s="751"/>
      <c r="VRU126" s="751"/>
      <c r="VRV126" s="751"/>
      <c r="VRW126" s="751"/>
      <c r="VRX126" s="751"/>
      <c r="VRY126" s="751"/>
      <c r="VRZ126" s="751"/>
      <c r="VSA126" s="751"/>
      <c r="VSB126" s="751"/>
      <c r="VSC126" s="751"/>
      <c r="VSD126" s="751"/>
      <c r="VSE126" s="751"/>
      <c r="VSF126" s="751"/>
      <c r="VSG126" s="751"/>
      <c r="VSH126" s="751"/>
      <c r="VSI126" s="751"/>
      <c r="VSJ126" s="751"/>
      <c r="VSK126" s="751"/>
      <c r="VSL126" s="751"/>
      <c r="VSM126" s="751"/>
      <c r="VSN126" s="751"/>
      <c r="VSO126" s="751"/>
      <c r="VSP126" s="751"/>
      <c r="VSQ126" s="751"/>
      <c r="VSR126" s="751"/>
      <c r="VSS126" s="751"/>
      <c r="VST126" s="751"/>
      <c r="VSU126" s="751"/>
      <c r="VSV126" s="751"/>
      <c r="VSW126" s="751"/>
      <c r="VSX126" s="751"/>
      <c r="VSY126" s="751"/>
      <c r="VSZ126" s="751"/>
      <c r="VTA126" s="751"/>
      <c r="VTB126" s="751"/>
      <c r="VTC126" s="751"/>
      <c r="VTD126" s="751"/>
      <c r="VTE126" s="751"/>
      <c r="VTF126" s="751"/>
      <c r="VTG126" s="751"/>
      <c r="VTH126" s="751"/>
      <c r="VTI126" s="751"/>
      <c r="VTJ126" s="751"/>
      <c r="VTK126" s="751"/>
      <c r="VTL126" s="751"/>
      <c r="VTM126" s="751"/>
      <c r="VTN126" s="751"/>
      <c r="VTO126" s="751"/>
      <c r="VTP126" s="751"/>
      <c r="VTQ126" s="751"/>
      <c r="VTR126" s="751"/>
      <c r="VTS126" s="751"/>
      <c r="VTT126" s="751"/>
      <c r="VTU126" s="751"/>
      <c r="VTV126" s="751"/>
      <c r="VTW126" s="751"/>
      <c r="VTX126" s="751"/>
      <c r="VTY126" s="751"/>
      <c r="VTZ126" s="751"/>
      <c r="VUA126" s="751"/>
      <c r="VUB126" s="751"/>
      <c r="VUC126" s="751"/>
      <c r="VUD126" s="751"/>
      <c r="VUE126" s="751"/>
      <c r="VUF126" s="751"/>
      <c r="VUG126" s="751"/>
      <c r="VUH126" s="751"/>
      <c r="VUI126" s="751"/>
      <c r="VUJ126" s="751"/>
      <c r="VUK126" s="751"/>
      <c r="VUL126" s="751"/>
      <c r="VUM126" s="751"/>
      <c r="VUN126" s="751"/>
      <c r="VUO126" s="751"/>
      <c r="VUP126" s="751"/>
      <c r="VUQ126" s="751"/>
      <c r="VUR126" s="751"/>
      <c r="VUS126" s="751"/>
      <c r="VUT126" s="751"/>
      <c r="VUU126" s="751"/>
      <c r="VUV126" s="751"/>
      <c r="VUW126" s="751"/>
      <c r="VUX126" s="751"/>
      <c r="VUY126" s="751"/>
      <c r="VUZ126" s="751"/>
      <c r="VVA126" s="751"/>
      <c r="VVB126" s="751"/>
      <c r="VVC126" s="751"/>
      <c r="VVD126" s="751"/>
      <c r="VVE126" s="751"/>
      <c r="VVF126" s="751"/>
      <c r="VVG126" s="751"/>
      <c r="VVH126" s="751"/>
      <c r="VVI126" s="751"/>
      <c r="VVJ126" s="751"/>
      <c r="VVK126" s="751"/>
      <c r="VVL126" s="751"/>
      <c r="VVM126" s="751"/>
      <c r="VVN126" s="751"/>
      <c r="VVO126" s="751"/>
      <c r="VVP126" s="751"/>
      <c r="VVQ126" s="751"/>
      <c r="VVR126" s="751"/>
      <c r="VVS126" s="751"/>
      <c r="VVT126" s="751"/>
      <c r="VVU126" s="751"/>
      <c r="VVV126" s="751"/>
      <c r="VVW126" s="751"/>
      <c r="VVX126" s="751"/>
      <c r="VVY126" s="751"/>
      <c r="VVZ126" s="751"/>
      <c r="VWA126" s="751"/>
      <c r="VWB126" s="751"/>
      <c r="VWC126" s="751"/>
      <c r="VWD126" s="751"/>
      <c r="VWE126" s="751"/>
      <c r="VWF126" s="751"/>
      <c r="VWG126" s="751"/>
      <c r="VWH126" s="751"/>
      <c r="VWI126" s="751"/>
      <c r="VWJ126" s="751"/>
      <c r="VWK126" s="751"/>
      <c r="VWL126" s="751"/>
      <c r="VWM126" s="751"/>
      <c r="VWN126" s="751"/>
      <c r="VWO126" s="751"/>
      <c r="VWP126" s="751"/>
      <c r="VWQ126" s="751"/>
      <c r="VWR126" s="751"/>
      <c r="VWS126" s="751"/>
      <c r="VWT126" s="751"/>
      <c r="VWU126" s="751"/>
      <c r="VWV126" s="751"/>
      <c r="VWW126" s="751"/>
      <c r="VWX126" s="751"/>
      <c r="VWY126" s="751"/>
      <c r="VWZ126" s="751"/>
      <c r="VXA126" s="751"/>
      <c r="VXB126" s="751"/>
      <c r="VXC126" s="751"/>
      <c r="VXD126" s="751"/>
      <c r="VXE126" s="751"/>
      <c r="VXF126" s="751"/>
      <c r="VXG126" s="751"/>
      <c r="VXH126" s="751"/>
      <c r="VXI126" s="751"/>
      <c r="VXJ126" s="751"/>
      <c r="VXK126" s="751"/>
      <c r="VXL126" s="751"/>
      <c r="VXM126" s="751"/>
      <c r="VXN126" s="751"/>
      <c r="VXO126" s="751"/>
      <c r="VXP126" s="751"/>
      <c r="VXQ126" s="751"/>
      <c r="VXR126" s="751"/>
      <c r="VXS126" s="751"/>
      <c r="VXT126" s="751"/>
      <c r="VXU126" s="751"/>
      <c r="VXV126" s="751"/>
      <c r="VXW126" s="751"/>
      <c r="VXX126" s="751"/>
      <c r="VXY126" s="751"/>
      <c r="VXZ126" s="751"/>
      <c r="VYA126" s="751"/>
      <c r="VYB126" s="751"/>
      <c r="VYC126" s="751"/>
      <c r="VYD126" s="751"/>
      <c r="VYE126" s="751"/>
      <c r="VYF126" s="751"/>
      <c r="VYG126" s="751"/>
      <c r="VYH126" s="751"/>
      <c r="VYI126" s="751"/>
      <c r="VYJ126" s="751"/>
      <c r="VYK126" s="751"/>
      <c r="VYL126" s="751"/>
      <c r="VYM126" s="751"/>
      <c r="VYN126" s="751"/>
      <c r="VYO126" s="751"/>
      <c r="VYP126" s="751"/>
      <c r="VYQ126" s="751"/>
      <c r="VYR126" s="751"/>
      <c r="VYS126" s="751"/>
      <c r="VYT126" s="751"/>
      <c r="VYU126" s="751"/>
      <c r="VYV126" s="751"/>
      <c r="VYW126" s="751"/>
      <c r="VYX126" s="751"/>
      <c r="VYY126" s="751"/>
      <c r="VYZ126" s="751"/>
      <c r="VZA126" s="751"/>
      <c r="VZB126" s="751"/>
      <c r="VZC126" s="751"/>
      <c r="VZD126" s="751"/>
      <c r="VZE126" s="751"/>
      <c r="VZF126" s="751"/>
      <c r="VZG126" s="751"/>
      <c r="VZH126" s="751"/>
      <c r="VZI126" s="751"/>
      <c r="VZJ126" s="751"/>
      <c r="VZK126" s="751"/>
      <c r="VZL126" s="751"/>
      <c r="VZM126" s="751"/>
      <c r="VZN126" s="751"/>
      <c r="VZO126" s="751"/>
      <c r="VZP126" s="751"/>
      <c r="VZQ126" s="751"/>
      <c r="VZR126" s="751"/>
      <c r="VZS126" s="751"/>
      <c r="VZT126" s="751"/>
      <c r="VZU126" s="751"/>
      <c r="VZV126" s="751"/>
      <c r="VZW126" s="751"/>
      <c r="VZX126" s="751"/>
      <c r="VZY126" s="751"/>
      <c r="VZZ126" s="751"/>
      <c r="WAA126" s="751"/>
      <c r="WAB126" s="751"/>
      <c r="WAC126" s="751"/>
      <c r="WAD126" s="751"/>
      <c r="WAE126" s="751"/>
      <c r="WAF126" s="751"/>
      <c r="WAG126" s="751"/>
      <c r="WAH126" s="751"/>
      <c r="WAI126" s="751"/>
      <c r="WAJ126" s="751"/>
      <c r="WAK126" s="751"/>
      <c r="WAL126" s="751"/>
      <c r="WAM126" s="751"/>
      <c r="WAN126" s="751"/>
      <c r="WAO126" s="751"/>
      <c r="WAP126" s="751"/>
      <c r="WAQ126" s="751"/>
      <c r="WAR126" s="751"/>
      <c r="WAS126" s="751"/>
      <c r="WAT126" s="751"/>
      <c r="WAU126" s="751"/>
      <c r="WAV126" s="751"/>
      <c r="WAW126" s="751"/>
      <c r="WAX126" s="751"/>
      <c r="WAY126" s="751"/>
      <c r="WAZ126" s="751"/>
      <c r="WBA126" s="751"/>
      <c r="WBB126" s="751"/>
      <c r="WBC126" s="751"/>
      <c r="WBD126" s="751"/>
      <c r="WBE126" s="751"/>
      <c r="WBF126" s="751"/>
      <c r="WBG126" s="751"/>
      <c r="WBH126" s="751"/>
      <c r="WBI126" s="751"/>
      <c r="WBJ126" s="751"/>
      <c r="WBK126" s="751"/>
      <c r="WBL126" s="751"/>
      <c r="WBM126" s="751"/>
      <c r="WBN126" s="751"/>
      <c r="WBO126" s="751"/>
      <c r="WBP126" s="751"/>
      <c r="WBQ126" s="751"/>
      <c r="WBR126" s="751"/>
      <c r="WBS126" s="751"/>
      <c r="WBT126" s="751"/>
      <c r="WBU126" s="751"/>
      <c r="WBV126" s="751"/>
      <c r="WBW126" s="751"/>
      <c r="WBX126" s="751"/>
      <c r="WBY126" s="751"/>
      <c r="WBZ126" s="751"/>
      <c r="WCA126" s="751"/>
      <c r="WCB126" s="751"/>
      <c r="WCC126" s="751"/>
      <c r="WCD126" s="751"/>
      <c r="WCE126" s="751"/>
      <c r="WCF126" s="751"/>
      <c r="WCG126" s="751"/>
      <c r="WCH126" s="751"/>
      <c r="WCI126" s="751"/>
      <c r="WCJ126" s="751"/>
      <c r="WCK126" s="751"/>
      <c r="WCL126" s="751"/>
      <c r="WCM126" s="751"/>
      <c r="WCN126" s="751"/>
      <c r="WCO126" s="751"/>
      <c r="WCP126" s="751"/>
      <c r="WCQ126" s="751"/>
      <c r="WCR126" s="751"/>
      <c r="WCS126" s="751"/>
      <c r="WCT126" s="751"/>
      <c r="WCU126" s="751"/>
      <c r="WCV126" s="751"/>
      <c r="WCW126" s="751"/>
      <c r="WCX126" s="751"/>
      <c r="WCY126" s="751"/>
      <c r="WCZ126" s="751"/>
      <c r="WDA126" s="751"/>
      <c r="WDB126" s="751"/>
      <c r="WDC126" s="751"/>
      <c r="WDD126" s="751"/>
      <c r="WDE126" s="751"/>
      <c r="WDF126" s="751"/>
      <c r="WDG126" s="751"/>
      <c r="WDH126" s="751"/>
      <c r="WDI126" s="751"/>
      <c r="WDJ126" s="751"/>
      <c r="WDK126" s="751"/>
      <c r="WDL126" s="751"/>
      <c r="WDM126" s="751"/>
      <c r="WDN126" s="751"/>
      <c r="WDO126" s="751"/>
      <c r="WDP126" s="751"/>
      <c r="WDQ126" s="751"/>
      <c r="WDR126" s="751"/>
      <c r="WDS126" s="751"/>
      <c r="WDT126" s="751"/>
      <c r="WDU126" s="751"/>
      <c r="WDV126" s="751"/>
      <c r="WDW126" s="751"/>
      <c r="WDX126" s="751"/>
      <c r="WDY126" s="751"/>
      <c r="WDZ126" s="751"/>
      <c r="WEA126" s="751"/>
      <c r="WEB126" s="751"/>
      <c r="WEC126" s="751"/>
      <c r="WED126" s="751"/>
      <c r="WEE126" s="751"/>
      <c r="WEF126" s="751"/>
      <c r="WEG126" s="751"/>
      <c r="WEH126" s="751"/>
      <c r="WEI126" s="751"/>
      <c r="WEJ126" s="751"/>
      <c r="WEK126" s="751"/>
      <c r="WEL126" s="751"/>
      <c r="WEM126" s="751"/>
      <c r="WEN126" s="751"/>
      <c r="WEO126" s="751"/>
      <c r="WEP126" s="751"/>
      <c r="WEQ126" s="751"/>
      <c r="WER126" s="751"/>
      <c r="WES126" s="751"/>
      <c r="WET126" s="751"/>
      <c r="WEU126" s="751"/>
      <c r="WEV126" s="751"/>
      <c r="WEW126" s="751"/>
      <c r="WEX126" s="751"/>
      <c r="WEY126" s="751"/>
      <c r="WEZ126" s="751"/>
      <c r="WFA126" s="751"/>
      <c r="WFB126" s="751"/>
      <c r="WFC126" s="751"/>
      <c r="WFD126" s="751"/>
      <c r="WFE126" s="751"/>
      <c r="WFF126" s="751"/>
      <c r="WFG126" s="751"/>
      <c r="WFH126" s="751"/>
      <c r="WFI126" s="751"/>
      <c r="WFJ126" s="751"/>
      <c r="WFK126" s="751"/>
      <c r="WFL126" s="751"/>
      <c r="WFM126" s="751"/>
      <c r="WFN126" s="751"/>
      <c r="WFO126" s="751"/>
      <c r="WFP126" s="751"/>
      <c r="WFQ126" s="751"/>
      <c r="WFR126" s="751"/>
      <c r="WFS126" s="751"/>
      <c r="WFT126" s="751"/>
      <c r="WFU126" s="751"/>
      <c r="WFV126" s="751"/>
      <c r="WFW126" s="751"/>
      <c r="WFX126" s="751"/>
      <c r="WFY126" s="751"/>
      <c r="WFZ126" s="751"/>
      <c r="WGA126" s="751"/>
      <c r="WGB126" s="751"/>
      <c r="WGC126" s="751"/>
      <c r="WGD126" s="751"/>
      <c r="WGE126" s="751"/>
      <c r="WGF126" s="751"/>
      <c r="WGG126" s="751"/>
      <c r="WGH126" s="751"/>
      <c r="WGI126" s="751"/>
      <c r="WGJ126" s="751"/>
      <c r="WGK126" s="751"/>
      <c r="WGL126" s="751"/>
      <c r="WGM126" s="751"/>
      <c r="WGN126" s="751"/>
      <c r="WGO126" s="751"/>
      <c r="WGP126" s="751"/>
      <c r="WGQ126" s="751"/>
      <c r="WGR126" s="751"/>
      <c r="WGS126" s="751"/>
      <c r="WGT126" s="751"/>
      <c r="WGU126" s="751"/>
      <c r="WGV126" s="751"/>
      <c r="WGW126" s="751"/>
      <c r="WGX126" s="751"/>
      <c r="WGY126" s="751"/>
      <c r="WGZ126" s="751"/>
      <c r="WHA126" s="751"/>
      <c r="WHB126" s="751"/>
      <c r="WHC126" s="751"/>
      <c r="WHD126" s="751"/>
      <c r="WHE126" s="751"/>
      <c r="WHF126" s="751"/>
      <c r="WHG126" s="751"/>
      <c r="WHH126" s="751"/>
      <c r="WHI126" s="751"/>
      <c r="WHJ126" s="751"/>
      <c r="WHK126" s="751"/>
      <c r="WHL126" s="751"/>
      <c r="WHM126" s="751"/>
      <c r="WHN126" s="751"/>
      <c r="WHO126" s="751"/>
      <c r="WHP126" s="751"/>
      <c r="WHQ126" s="751"/>
      <c r="WHR126" s="751"/>
      <c r="WHS126" s="751"/>
      <c r="WHT126" s="751"/>
      <c r="WHU126" s="751"/>
      <c r="WHV126" s="751"/>
      <c r="WHW126" s="751"/>
      <c r="WHX126" s="751"/>
      <c r="WHY126" s="751"/>
      <c r="WHZ126" s="751"/>
      <c r="WIA126" s="751"/>
      <c r="WIB126" s="751"/>
      <c r="WIC126" s="751"/>
      <c r="WID126" s="751"/>
      <c r="WIE126" s="751"/>
      <c r="WIF126" s="751"/>
      <c r="WIG126" s="751"/>
      <c r="WIH126" s="751"/>
      <c r="WII126" s="751"/>
      <c r="WIJ126" s="751"/>
      <c r="WIK126" s="751"/>
      <c r="WIL126" s="751"/>
      <c r="WIM126" s="751"/>
      <c r="WIN126" s="751"/>
      <c r="WIO126" s="751"/>
      <c r="WIP126" s="751"/>
      <c r="WIQ126" s="751"/>
      <c r="WIR126" s="751"/>
      <c r="WIS126" s="751"/>
      <c r="WIT126" s="751"/>
      <c r="WIU126" s="751"/>
      <c r="WIV126" s="751"/>
      <c r="WIW126" s="751"/>
      <c r="WIX126" s="751"/>
      <c r="WIY126" s="751"/>
      <c r="WIZ126" s="751"/>
      <c r="WJA126" s="751"/>
      <c r="WJB126" s="751"/>
      <c r="WJC126" s="751"/>
      <c r="WJD126" s="751"/>
      <c r="WJE126" s="751"/>
      <c r="WJF126" s="751"/>
      <c r="WJG126" s="751"/>
      <c r="WJH126" s="751"/>
      <c r="WJI126" s="751"/>
      <c r="WJJ126" s="751"/>
      <c r="WJK126" s="751"/>
      <c r="WJL126" s="751"/>
      <c r="WJM126" s="751"/>
      <c r="WJN126" s="751"/>
      <c r="WJO126" s="751"/>
      <c r="WJP126" s="751"/>
      <c r="WJQ126" s="751"/>
      <c r="WJR126" s="751"/>
      <c r="WJS126" s="751"/>
      <c r="WJT126" s="751"/>
      <c r="WJU126" s="751"/>
      <c r="WJV126" s="751"/>
      <c r="WJW126" s="751"/>
      <c r="WJX126" s="751"/>
      <c r="WJY126" s="751"/>
      <c r="WJZ126" s="751"/>
      <c r="WKA126" s="751"/>
      <c r="WKB126" s="751"/>
      <c r="WKC126" s="751"/>
      <c r="WKD126" s="751"/>
      <c r="WKE126" s="751"/>
      <c r="WKF126" s="751"/>
      <c r="WKG126" s="751"/>
      <c r="WKH126" s="751"/>
      <c r="WKI126" s="751"/>
      <c r="WKJ126" s="751"/>
      <c r="WKK126" s="751"/>
      <c r="WKL126" s="751"/>
      <c r="WKM126" s="751"/>
      <c r="WKN126" s="751"/>
      <c r="WKO126" s="751"/>
      <c r="WKP126" s="751"/>
      <c r="WKQ126" s="751"/>
      <c r="WKR126" s="751"/>
      <c r="WKS126" s="751"/>
      <c r="WKT126" s="751"/>
      <c r="WKU126" s="751"/>
      <c r="WKV126" s="751"/>
      <c r="WKW126" s="751"/>
      <c r="WKX126" s="751"/>
      <c r="WKY126" s="751"/>
      <c r="WKZ126" s="751"/>
      <c r="WLA126" s="751"/>
      <c r="WLB126" s="751"/>
      <c r="WLC126" s="751"/>
      <c r="WLD126" s="751"/>
      <c r="WLE126" s="751"/>
      <c r="WLF126" s="751"/>
      <c r="WLG126" s="751"/>
      <c r="WLH126" s="751"/>
      <c r="WLI126" s="751"/>
      <c r="WLJ126" s="751"/>
      <c r="WLK126" s="751"/>
      <c r="WLL126" s="751"/>
      <c r="WLM126" s="751"/>
      <c r="WLN126" s="751"/>
      <c r="WLO126" s="751"/>
      <c r="WLP126" s="751"/>
      <c r="WLQ126" s="751"/>
      <c r="WLR126" s="751"/>
      <c r="WLS126" s="751"/>
      <c r="WLT126" s="751"/>
      <c r="WLU126" s="751"/>
      <c r="WLV126" s="751"/>
      <c r="WLW126" s="751"/>
      <c r="WLX126" s="751"/>
      <c r="WLY126" s="751"/>
      <c r="WLZ126" s="751"/>
      <c r="WMA126" s="751"/>
      <c r="WMB126" s="751"/>
      <c r="WMC126" s="751"/>
      <c r="WMD126" s="751"/>
      <c r="WME126" s="751"/>
      <c r="WMF126" s="751"/>
      <c r="WMG126" s="751"/>
      <c r="WMH126" s="751"/>
      <c r="WMI126" s="751"/>
      <c r="WMJ126" s="751"/>
      <c r="WMK126" s="751"/>
      <c r="WML126" s="751"/>
      <c r="WMM126" s="751"/>
      <c r="WMN126" s="751"/>
      <c r="WMO126" s="751"/>
      <c r="WMP126" s="751"/>
      <c r="WMQ126" s="751"/>
      <c r="WMR126" s="751"/>
      <c r="WMS126" s="751"/>
      <c r="WMT126" s="751"/>
      <c r="WMU126" s="751"/>
      <c r="WMV126" s="751"/>
      <c r="WMW126" s="751"/>
      <c r="WMX126" s="751"/>
      <c r="WMY126" s="751"/>
      <c r="WMZ126" s="751"/>
      <c r="WNA126" s="751"/>
      <c r="WNB126" s="751"/>
      <c r="WNC126" s="751"/>
      <c r="WND126" s="751"/>
      <c r="WNE126" s="751"/>
      <c r="WNF126" s="751"/>
      <c r="WNG126" s="751"/>
      <c r="WNH126" s="751"/>
      <c r="WNI126" s="751"/>
      <c r="WNJ126" s="751"/>
      <c r="WNK126" s="751"/>
      <c r="WNL126" s="751"/>
      <c r="WNM126" s="751"/>
      <c r="WNN126" s="751"/>
      <c r="WNO126" s="751"/>
      <c r="WNP126" s="751"/>
      <c r="WNQ126" s="751"/>
      <c r="WNR126" s="751"/>
      <c r="WNS126" s="751"/>
      <c r="WNT126" s="751"/>
      <c r="WNU126" s="751"/>
      <c r="WNV126" s="751"/>
      <c r="WNW126" s="751"/>
      <c r="WNX126" s="751"/>
      <c r="WNY126" s="751"/>
      <c r="WNZ126" s="751"/>
      <c r="WOA126" s="751"/>
      <c r="WOB126" s="751"/>
      <c r="WOC126" s="751"/>
      <c r="WOD126" s="751"/>
      <c r="WOE126" s="751"/>
      <c r="WOF126" s="751"/>
      <c r="WOG126" s="751"/>
      <c r="WOH126" s="751"/>
      <c r="WOI126" s="751"/>
      <c r="WOJ126" s="751"/>
      <c r="WOK126" s="751"/>
      <c r="WOL126" s="751"/>
      <c r="WOM126" s="751"/>
      <c r="WON126" s="751"/>
      <c r="WOO126" s="751"/>
      <c r="WOP126" s="751"/>
      <c r="WOQ126" s="751"/>
      <c r="WOR126" s="751"/>
      <c r="WOS126" s="751"/>
      <c r="WOT126" s="751"/>
      <c r="WOU126" s="751"/>
      <c r="WOV126" s="751"/>
      <c r="WOW126" s="751"/>
      <c r="WOX126" s="751"/>
      <c r="WOY126" s="751"/>
      <c r="WOZ126" s="751"/>
      <c r="WPA126" s="751"/>
      <c r="WPB126" s="751"/>
      <c r="WPC126" s="751"/>
      <c r="WPD126" s="751"/>
      <c r="WPE126" s="751"/>
      <c r="WPF126" s="751"/>
      <c r="WPG126" s="751"/>
      <c r="WPH126" s="751"/>
      <c r="WPI126" s="751"/>
      <c r="WPJ126" s="751"/>
      <c r="WPK126" s="751"/>
      <c r="WPL126" s="751"/>
      <c r="WPM126" s="751"/>
      <c r="WPN126" s="751"/>
      <c r="WPO126" s="751"/>
      <c r="WPP126" s="751"/>
      <c r="WPQ126" s="751"/>
      <c r="WPR126" s="751"/>
      <c r="WPS126" s="751"/>
      <c r="WPT126" s="751"/>
      <c r="WPU126" s="751"/>
      <c r="WPV126" s="751"/>
      <c r="WPW126" s="751"/>
      <c r="WPX126" s="751"/>
      <c r="WPY126" s="751"/>
      <c r="WPZ126" s="751"/>
      <c r="WQA126" s="751"/>
      <c r="WQB126" s="751"/>
      <c r="WQC126" s="751"/>
      <c r="WQD126" s="751"/>
      <c r="WQE126" s="751"/>
      <c r="WQF126" s="751"/>
      <c r="WQG126" s="751"/>
      <c r="WQH126" s="751"/>
      <c r="WQI126" s="751"/>
      <c r="WQJ126" s="751"/>
      <c r="WQK126" s="751"/>
      <c r="WQL126" s="751"/>
      <c r="WQM126" s="751"/>
      <c r="WQN126" s="751"/>
      <c r="WQO126" s="751"/>
      <c r="WQP126" s="751"/>
      <c r="WQQ126" s="751"/>
      <c r="WQR126" s="751"/>
      <c r="WQS126" s="751"/>
      <c r="WQT126" s="751"/>
      <c r="WQU126" s="751"/>
      <c r="WQV126" s="751"/>
      <c r="WQW126" s="751"/>
      <c r="WQX126" s="751"/>
      <c r="WQY126" s="751"/>
      <c r="WQZ126" s="751"/>
      <c r="WRA126" s="751"/>
      <c r="WRB126" s="751"/>
      <c r="WRC126" s="751"/>
      <c r="WRD126" s="751"/>
      <c r="WRE126" s="751"/>
      <c r="WRF126" s="751"/>
      <c r="WRG126" s="751"/>
      <c r="WRH126" s="751"/>
      <c r="WRI126" s="751"/>
      <c r="WRJ126" s="751"/>
      <c r="WRK126" s="751"/>
      <c r="WRL126" s="751"/>
      <c r="WRM126" s="751"/>
      <c r="WRN126" s="751"/>
      <c r="WRO126" s="751"/>
      <c r="WRP126" s="751"/>
      <c r="WRQ126" s="751"/>
      <c r="WRR126" s="751"/>
      <c r="WRS126" s="751"/>
      <c r="WRT126" s="751"/>
      <c r="WRU126" s="751"/>
      <c r="WRV126" s="751"/>
      <c r="WRW126" s="751"/>
      <c r="WRX126" s="751"/>
      <c r="WRY126" s="751"/>
      <c r="WRZ126" s="751"/>
      <c r="WSA126" s="751"/>
      <c r="WSB126" s="751"/>
      <c r="WSC126" s="751"/>
      <c r="WSD126" s="751"/>
      <c r="WSE126" s="751"/>
      <c r="WSF126" s="751"/>
      <c r="WSG126" s="751"/>
      <c r="WSH126" s="751"/>
      <c r="WSI126" s="751"/>
      <c r="WSJ126" s="751"/>
      <c r="WSK126" s="751"/>
      <c r="WSL126" s="751"/>
      <c r="WSM126" s="751"/>
      <c r="WSN126" s="751"/>
      <c r="WSO126" s="751"/>
      <c r="WSP126" s="751"/>
      <c r="WSQ126" s="751"/>
      <c r="WSR126" s="751"/>
      <c r="WSS126" s="751"/>
      <c r="WST126" s="751"/>
      <c r="WSU126" s="751"/>
      <c r="WSV126" s="751"/>
      <c r="WSW126" s="751"/>
      <c r="WSX126" s="751"/>
      <c r="WSY126" s="751"/>
      <c r="WSZ126" s="751"/>
      <c r="WTA126" s="751"/>
      <c r="WTB126" s="751"/>
      <c r="WTC126" s="751"/>
      <c r="WTD126" s="751"/>
      <c r="WTE126" s="751"/>
      <c r="WTF126" s="751"/>
      <c r="WTG126" s="751"/>
      <c r="WTH126" s="751"/>
      <c r="WTI126" s="751"/>
      <c r="WTJ126" s="751"/>
      <c r="WTK126" s="751"/>
      <c r="WTL126" s="751"/>
      <c r="WTM126" s="751"/>
      <c r="WTN126" s="751"/>
      <c r="WTO126" s="751"/>
      <c r="WTP126" s="751"/>
      <c r="WTQ126" s="751"/>
      <c r="WTR126" s="751"/>
      <c r="WTS126" s="751"/>
      <c r="WTT126" s="751"/>
      <c r="WTU126" s="751"/>
      <c r="WTV126" s="751"/>
      <c r="WTW126" s="751"/>
      <c r="WTX126" s="751"/>
      <c r="WTY126" s="751"/>
      <c r="WTZ126" s="751"/>
      <c r="WUA126" s="751"/>
      <c r="WUB126" s="751"/>
      <c r="WUC126" s="751"/>
      <c r="WUD126" s="751"/>
      <c r="WUE126" s="751"/>
      <c r="WUF126" s="751"/>
      <c r="WUG126" s="751"/>
      <c r="WUH126" s="751"/>
      <c r="WUI126" s="751"/>
      <c r="WUJ126" s="751"/>
      <c r="WUK126" s="751"/>
      <c r="WUL126" s="751"/>
      <c r="WUM126" s="751"/>
      <c r="WUN126" s="751"/>
      <c r="WUO126" s="751"/>
      <c r="WUP126" s="751"/>
      <c r="WUQ126" s="751"/>
      <c r="WUR126" s="751"/>
      <c r="WUS126" s="751"/>
      <c r="WUT126" s="751"/>
      <c r="WUU126" s="751"/>
      <c r="WUV126" s="751"/>
      <c r="WUW126" s="751"/>
      <c r="WUX126" s="751"/>
      <c r="WUY126" s="751"/>
      <c r="WUZ126" s="751"/>
      <c r="WVA126" s="751"/>
      <c r="WVB126" s="751"/>
      <c r="WVC126" s="751"/>
      <c r="WVD126" s="751"/>
      <c r="WVE126" s="751"/>
      <c r="WVF126" s="751"/>
      <c r="WVG126" s="751"/>
      <c r="WVH126" s="751"/>
      <c r="WVI126" s="751"/>
      <c r="WVJ126" s="751"/>
      <c r="WVK126" s="751"/>
      <c r="WVL126" s="751"/>
      <c r="WVM126" s="751"/>
      <c r="WVN126" s="751"/>
      <c r="WVO126" s="751"/>
      <c r="WVP126" s="751"/>
      <c r="WVQ126" s="751"/>
      <c r="WVR126" s="751"/>
      <c r="WVS126" s="751"/>
    </row>
    <row r="127" spans="1:16139">
      <c r="A127" s="751" t="s">
        <v>1099</v>
      </c>
      <c r="B127" s="751" t="s">
        <v>1107</v>
      </c>
      <c r="C127" s="751" t="s">
        <v>1108</v>
      </c>
      <c r="D127" s="751" t="s">
        <v>1102</v>
      </c>
      <c r="E127" s="751" t="s">
        <v>792</v>
      </c>
      <c r="F127" s="751" t="s">
        <v>793</v>
      </c>
      <c r="G127" s="751" t="s">
        <v>1103</v>
      </c>
      <c r="H127" s="751">
        <v>51674</v>
      </c>
      <c r="I127" s="751" t="s">
        <v>1104</v>
      </c>
      <c r="J127" s="751">
        <v>18</v>
      </c>
      <c r="K127" s="751"/>
      <c r="L127" s="751"/>
      <c r="M127" s="751"/>
      <c r="N127" s="751"/>
      <c r="O127" s="751"/>
      <c r="P127" s="751"/>
      <c r="Q127" s="751"/>
      <c r="R127" s="751"/>
      <c r="S127" s="751"/>
      <c r="T127" s="751"/>
      <c r="U127" s="751"/>
      <c r="V127" s="751"/>
      <c r="W127" s="751"/>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751"/>
      <c r="BK127" s="751"/>
      <c r="BL127" s="751"/>
      <c r="BM127" s="751"/>
      <c r="BN127" s="751"/>
      <c r="BO127" s="751"/>
      <c r="BP127" s="751"/>
      <c r="BQ127" s="751"/>
      <c r="BR127" s="751"/>
      <c r="BS127" s="751"/>
      <c r="BT127" s="751"/>
      <c r="BU127" s="751"/>
      <c r="BV127" s="751"/>
      <c r="BW127" s="751"/>
      <c r="BX127" s="751"/>
      <c r="BY127" s="751"/>
      <c r="BZ127" s="751"/>
      <c r="CA127" s="751"/>
      <c r="CB127" s="751"/>
      <c r="CC127" s="751"/>
      <c r="CD127" s="751"/>
      <c r="CE127" s="751"/>
      <c r="CF127" s="751"/>
      <c r="CG127" s="751"/>
      <c r="CH127" s="751"/>
      <c r="CI127" s="751"/>
      <c r="CJ127" s="751"/>
      <c r="CK127" s="751"/>
      <c r="CL127" s="751"/>
      <c r="CM127" s="751"/>
      <c r="CN127" s="751"/>
      <c r="CO127" s="751"/>
      <c r="CP127" s="751"/>
      <c r="CQ127" s="751"/>
      <c r="CR127" s="751"/>
      <c r="CS127" s="751"/>
      <c r="CT127" s="751"/>
      <c r="CU127" s="751"/>
      <c r="CV127" s="751"/>
      <c r="CW127" s="751"/>
      <c r="CX127" s="751"/>
      <c r="CY127" s="751"/>
      <c r="CZ127" s="751"/>
      <c r="DA127" s="751"/>
      <c r="DB127" s="751"/>
      <c r="DC127" s="751"/>
      <c r="DD127" s="751"/>
      <c r="DE127" s="751"/>
      <c r="DF127" s="751"/>
      <c r="DG127" s="751"/>
      <c r="DH127" s="751"/>
      <c r="DI127" s="751"/>
      <c r="DJ127" s="751"/>
      <c r="DK127" s="751"/>
      <c r="DL127" s="751"/>
      <c r="DM127" s="751"/>
      <c r="DN127" s="751"/>
      <c r="DO127" s="751"/>
      <c r="DP127" s="751"/>
      <c r="DQ127" s="751"/>
      <c r="DR127" s="751"/>
      <c r="DS127" s="751"/>
      <c r="DT127" s="751"/>
      <c r="DU127" s="751"/>
      <c r="DV127" s="751"/>
      <c r="DW127" s="751"/>
      <c r="DX127" s="751"/>
      <c r="DY127" s="751"/>
      <c r="DZ127" s="751"/>
      <c r="EA127" s="751"/>
      <c r="EB127" s="751"/>
      <c r="EC127" s="751"/>
      <c r="ED127" s="751"/>
      <c r="EE127" s="751"/>
      <c r="EF127" s="751"/>
      <c r="EG127" s="751"/>
      <c r="EH127" s="751"/>
      <c r="EI127" s="751"/>
      <c r="EJ127" s="751"/>
      <c r="EK127" s="751"/>
      <c r="EL127" s="751"/>
      <c r="EM127" s="751"/>
      <c r="EN127" s="751"/>
      <c r="EO127" s="751"/>
      <c r="EP127" s="751"/>
      <c r="EQ127" s="751"/>
      <c r="ER127" s="751"/>
      <c r="ES127" s="751"/>
      <c r="ET127" s="751"/>
      <c r="EU127" s="751"/>
      <c r="EV127" s="751"/>
      <c r="EW127" s="751"/>
      <c r="EX127" s="751"/>
      <c r="EY127" s="751"/>
      <c r="EZ127" s="751"/>
      <c r="FA127" s="751"/>
      <c r="FB127" s="751"/>
      <c r="FC127" s="751"/>
      <c r="FD127" s="751"/>
      <c r="FE127" s="751"/>
      <c r="FF127" s="751"/>
      <c r="FG127" s="751"/>
      <c r="FH127" s="751"/>
      <c r="FI127" s="751"/>
      <c r="FJ127" s="751"/>
      <c r="FK127" s="751"/>
      <c r="FL127" s="751"/>
      <c r="FM127" s="751"/>
      <c r="FN127" s="751"/>
      <c r="FO127" s="751"/>
      <c r="FP127" s="751"/>
      <c r="FQ127" s="751"/>
      <c r="FR127" s="751"/>
      <c r="FS127" s="751"/>
      <c r="FT127" s="751"/>
      <c r="FU127" s="751"/>
      <c r="FV127" s="751"/>
      <c r="FW127" s="751"/>
      <c r="FX127" s="751"/>
      <c r="FY127" s="751"/>
      <c r="FZ127" s="751"/>
      <c r="GA127" s="751"/>
      <c r="GB127" s="751"/>
      <c r="GC127" s="751"/>
      <c r="GD127" s="751"/>
      <c r="GE127" s="751"/>
      <c r="GF127" s="751"/>
      <c r="GG127" s="751"/>
      <c r="GH127" s="751"/>
      <c r="GI127" s="751"/>
      <c r="GJ127" s="751"/>
      <c r="GK127" s="751"/>
      <c r="GL127" s="751"/>
      <c r="GM127" s="751"/>
      <c r="GN127" s="751"/>
      <c r="GO127" s="751"/>
      <c r="GP127" s="751"/>
      <c r="GQ127" s="751"/>
      <c r="GR127" s="751"/>
      <c r="GS127" s="751"/>
      <c r="GT127" s="751"/>
      <c r="GU127" s="751"/>
      <c r="GV127" s="751"/>
      <c r="GW127" s="751"/>
      <c r="GX127" s="751"/>
      <c r="GY127" s="751"/>
      <c r="GZ127" s="751"/>
      <c r="HA127" s="751"/>
      <c r="HB127" s="751"/>
      <c r="HC127" s="751"/>
      <c r="HD127" s="751"/>
      <c r="HE127" s="751"/>
      <c r="HF127" s="751"/>
      <c r="HG127" s="751"/>
      <c r="HH127" s="751"/>
      <c r="HI127" s="751"/>
      <c r="HJ127" s="751"/>
      <c r="HK127" s="751"/>
      <c r="HL127" s="751"/>
      <c r="HM127" s="751"/>
      <c r="HN127" s="751"/>
      <c r="HO127" s="751"/>
      <c r="HP127" s="751"/>
      <c r="HQ127" s="751"/>
      <c r="HR127" s="751"/>
      <c r="HS127" s="751"/>
      <c r="HT127" s="751"/>
      <c r="HU127" s="751"/>
      <c r="HV127" s="751"/>
      <c r="HW127" s="751"/>
      <c r="HX127" s="751"/>
      <c r="HY127" s="751"/>
      <c r="HZ127" s="751"/>
      <c r="IA127" s="751"/>
      <c r="IB127" s="751"/>
      <c r="IC127" s="751"/>
      <c r="ID127" s="751"/>
      <c r="IE127" s="751"/>
      <c r="IF127" s="751"/>
      <c r="IG127" s="751"/>
      <c r="IH127" s="751"/>
      <c r="II127" s="751"/>
      <c r="IJ127" s="751"/>
      <c r="IK127" s="751"/>
      <c r="IL127" s="751"/>
      <c r="IM127" s="751"/>
      <c r="IN127" s="751"/>
      <c r="IO127" s="751"/>
      <c r="IP127" s="751"/>
      <c r="IQ127" s="751"/>
      <c r="IR127" s="751"/>
      <c r="IS127" s="751"/>
      <c r="IT127" s="751"/>
      <c r="IU127" s="751"/>
      <c r="IV127" s="751"/>
      <c r="IW127" s="751"/>
      <c r="IX127" s="751"/>
      <c r="IY127" s="751"/>
      <c r="IZ127" s="751"/>
      <c r="JA127" s="751"/>
      <c r="JB127" s="751"/>
      <c r="JC127" s="751"/>
      <c r="JD127" s="751"/>
      <c r="JE127" s="751"/>
      <c r="JF127" s="751"/>
      <c r="JG127" s="751"/>
      <c r="JH127" s="751"/>
      <c r="JI127" s="751"/>
      <c r="JJ127" s="751"/>
      <c r="JK127" s="751"/>
      <c r="JL127" s="751"/>
      <c r="JM127" s="751"/>
      <c r="JN127" s="751"/>
      <c r="JO127" s="751"/>
      <c r="JP127" s="751"/>
      <c r="JQ127" s="751"/>
      <c r="JR127" s="751"/>
      <c r="JS127" s="751"/>
      <c r="JT127" s="751"/>
      <c r="JU127" s="751"/>
      <c r="JV127" s="751"/>
      <c r="JW127" s="751"/>
      <c r="JX127" s="751"/>
      <c r="JY127" s="751"/>
      <c r="JZ127" s="751"/>
      <c r="KA127" s="751"/>
      <c r="KB127" s="751"/>
      <c r="KC127" s="751"/>
      <c r="KD127" s="751"/>
      <c r="KE127" s="751"/>
      <c r="KF127" s="751"/>
      <c r="KG127" s="751"/>
      <c r="KH127" s="751"/>
      <c r="KI127" s="751"/>
      <c r="KJ127" s="751"/>
      <c r="KK127" s="751"/>
      <c r="KL127" s="751"/>
      <c r="KM127" s="751"/>
      <c r="KN127" s="751"/>
      <c r="KO127" s="751"/>
      <c r="KP127" s="751"/>
      <c r="KQ127" s="751"/>
      <c r="KR127" s="751"/>
      <c r="KS127" s="751"/>
      <c r="KT127" s="751"/>
      <c r="KU127" s="751"/>
      <c r="KV127" s="751"/>
      <c r="KW127" s="751"/>
      <c r="KX127" s="751"/>
      <c r="KY127" s="751"/>
      <c r="KZ127" s="751"/>
      <c r="LA127" s="751"/>
      <c r="LB127" s="751"/>
      <c r="LC127" s="751"/>
      <c r="LD127" s="751"/>
      <c r="LE127" s="751"/>
      <c r="LF127" s="751"/>
      <c r="LG127" s="751"/>
      <c r="LH127" s="751"/>
      <c r="LI127" s="751"/>
      <c r="LJ127" s="751"/>
      <c r="LK127" s="751"/>
      <c r="LL127" s="751"/>
      <c r="LM127" s="751"/>
      <c r="LN127" s="751"/>
      <c r="LO127" s="751"/>
      <c r="LP127" s="751"/>
      <c r="LQ127" s="751"/>
      <c r="LR127" s="751"/>
      <c r="LS127" s="751"/>
      <c r="LT127" s="751"/>
      <c r="LU127" s="751"/>
      <c r="LV127" s="751"/>
      <c r="LW127" s="751"/>
      <c r="LX127" s="751"/>
      <c r="LY127" s="751"/>
      <c r="LZ127" s="751"/>
      <c r="MA127" s="751"/>
      <c r="MB127" s="751"/>
      <c r="MC127" s="751"/>
      <c r="MD127" s="751"/>
      <c r="ME127" s="751"/>
      <c r="MF127" s="751"/>
      <c r="MG127" s="751"/>
      <c r="MH127" s="751"/>
      <c r="MI127" s="751"/>
      <c r="MJ127" s="751"/>
      <c r="MK127" s="751"/>
      <c r="ML127" s="751"/>
      <c r="MM127" s="751"/>
      <c r="MN127" s="751"/>
      <c r="MO127" s="751"/>
      <c r="MP127" s="751"/>
      <c r="MQ127" s="751"/>
      <c r="MR127" s="751"/>
      <c r="MS127" s="751"/>
      <c r="MT127" s="751"/>
      <c r="MU127" s="751"/>
      <c r="MV127" s="751"/>
      <c r="MW127" s="751"/>
      <c r="MX127" s="751"/>
      <c r="MY127" s="751"/>
      <c r="MZ127" s="751"/>
      <c r="NA127" s="751"/>
      <c r="NB127" s="751"/>
      <c r="NC127" s="751"/>
      <c r="ND127" s="751"/>
      <c r="NE127" s="751"/>
      <c r="NF127" s="751"/>
      <c r="NG127" s="751"/>
      <c r="NH127" s="751"/>
      <c r="NI127" s="751"/>
      <c r="NJ127" s="751"/>
      <c r="NK127" s="751"/>
      <c r="NL127" s="751"/>
      <c r="NM127" s="751"/>
      <c r="NN127" s="751"/>
      <c r="NO127" s="751"/>
      <c r="NP127" s="751"/>
      <c r="NQ127" s="751"/>
      <c r="NR127" s="751"/>
      <c r="NS127" s="751"/>
      <c r="NT127" s="751"/>
      <c r="NU127" s="751"/>
      <c r="NV127" s="751"/>
      <c r="NW127" s="751"/>
      <c r="NX127" s="751"/>
      <c r="NY127" s="751"/>
      <c r="NZ127" s="751"/>
      <c r="OA127" s="751"/>
      <c r="OB127" s="751"/>
      <c r="OC127" s="751"/>
      <c r="OD127" s="751"/>
      <c r="OE127" s="751"/>
      <c r="OF127" s="751"/>
      <c r="OG127" s="751"/>
      <c r="OH127" s="751"/>
      <c r="OI127" s="751"/>
      <c r="OJ127" s="751"/>
      <c r="OK127" s="751"/>
      <c r="OL127" s="751"/>
      <c r="OM127" s="751"/>
      <c r="ON127" s="751"/>
      <c r="OO127" s="751"/>
      <c r="OP127" s="751"/>
      <c r="OQ127" s="751"/>
      <c r="OR127" s="751"/>
      <c r="OS127" s="751"/>
      <c r="OT127" s="751"/>
      <c r="OU127" s="751"/>
      <c r="OV127" s="751"/>
      <c r="OW127" s="751"/>
      <c r="OX127" s="751"/>
      <c r="OY127" s="751"/>
      <c r="OZ127" s="751"/>
      <c r="PA127" s="751"/>
      <c r="PB127" s="751"/>
      <c r="PC127" s="751"/>
      <c r="PD127" s="751"/>
      <c r="PE127" s="751"/>
      <c r="PF127" s="751"/>
      <c r="PG127" s="751"/>
      <c r="PH127" s="751"/>
      <c r="PI127" s="751"/>
      <c r="PJ127" s="751"/>
      <c r="PK127" s="751"/>
      <c r="PL127" s="751"/>
      <c r="PM127" s="751"/>
      <c r="PN127" s="751"/>
      <c r="PO127" s="751"/>
      <c r="PP127" s="751"/>
      <c r="PQ127" s="751"/>
      <c r="PR127" s="751"/>
      <c r="PS127" s="751"/>
      <c r="PT127" s="751"/>
      <c r="PU127" s="751"/>
      <c r="PV127" s="751"/>
      <c r="PW127" s="751"/>
      <c r="PX127" s="751"/>
      <c r="PY127" s="751"/>
      <c r="PZ127" s="751"/>
      <c r="QA127" s="751"/>
      <c r="QB127" s="751"/>
      <c r="QC127" s="751"/>
      <c r="QD127" s="751"/>
      <c r="QE127" s="751"/>
      <c r="QF127" s="751"/>
      <c r="QG127" s="751"/>
      <c r="QH127" s="751"/>
      <c r="QI127" s="751"/>
      <c r="QJ127" s="751"/>
      <c r="QK127" s="751"/>
      <c r="QL127" s="751"/>
      <c r="QM127" s="751"/>
      <c r="QN127" s="751"/>
      <c r="QO127" s="751"/>
      <c r="QP127" s="751"/>
      <c r="QQ127" s="751"/>
      <c r="QR127" s="751"/>
      <c r="QS127" s="751"/>
      <c r="QT127" s="751"/>
      <c r="QU127" s="751"/>
      <c r="QV127" s="751"/>
      <c r="QW127" s="751"/>
      <c r="QX127" s="751"/>
      <c r="QY127" s="751"/>
      <c r="QZ127" s="751"/>
      <c r="RA127" s="751"/>
      <c r="RB127" s="751"/>
      <c r="RC127" s="751"/>
      <c r="RD127" s="751"/>
      <c r="RE127" s="751"/>
      <c r="RF127" s="751"/>
      <c r="RG127" s="751"/>
      <c r="RH127" s="751"/>
      <c r="RI127" s="751"/>
      <c r="RJ127" s="751"/>
      <c r="RK127" s="751"/>
      <c r="RL127" s="751"/>
      <c r="RM127" s="751"/>
      <c r="RN127" s="751"/>
      <c r="RO127" s="751"/>
      <c r="RP127" s="751"/>
      <c r="RQ127" s="751"/>
      <c r="RR127" s="751"/>
      <c r="RS127" s="751"/>
      <c r="RT127" s="751"/>
      <c r="RU127" s="751"/>
      <c r="RV127" s="751"/>
      <c r="RW127" s="751"/>
      <c r="RX127" s="751"/>
      <c r="RY127" s="751"/>
      <c r="RZ127" s="751"/>
      <c r="SA127" s="751"/>
      <c r="SB127" s="751"/>
      <c r="SC127" s="751"/>
      <c r="SD127" s="751"/>
      <c r="SE127" s="751"/>
      <c r="SF127" s="751"/>
      <c r="SG127" s="751"/>
      <c r="SH127" s="751"/>
      <c r="SI127" s="751"/>
      <c r="SJ127" s="751"/>
      <c r="SK127" s="751"/>
      <c r="SL127" s="751"/>
      <c r="SM127" s="751"/>
      <c r="SN127" s="751"/>
      <c r="SO127" s="751"/>
      <c r="SP127" s="751"/>
      <c r="SQ127" s="751"/>
      <c r="SR127" s="751"/>
      <c r="SS127" s="751"/>
      <c r="ST127" s="751"/>
      <c r="SU127" s="751"/>
      <c r="SV127" s="751"/>
      <c r="SW127" s="751"/>
      <c r="SX127" s="751"/>
      <c r="SY127" s="751"/>
      <c r="SZ127" s="751"/>
      <c r="TA127" s="751"/>
      <c r="TB127" s="751"/>
      <c r="TC127" s="751"/>
      <c r="TD127" s="751"/>
      <c r="TE127" s="751"/>
      <c r="TF127" s="751"/>
      <c r="TG127" s="751"/>
      <c r="TH127" s="751"/>
      <c r="TI127" s="751"/>
      <c r="TJ127" s="751"/>
      <c r="TK127" s="751"/>
      <c r="TL127" s="751"/>
      <c r="TM127" s="751"/>
      <c r="TN127" s="751"/>
      <c r="TO127" s="751"/>
      <c r="TP127" s="751"/>
      <c r="TQ127" s="751"/>
      <c r="TR127" s="751"/>
      <c r="TS127" s="751"/>
      <c r="TT127" s="751"/>
      <c r="TU127" s="751"/>
      <c r="TV127" s="751"/>
      <c r="TW127" s="751"/>
      <c r="TX127" s="751"/>
      <c r="TY127" s="751"/>
      <c r="TZ127" s="751"/>
      <c r="UA127" s="751"/>
      <c r="UB127" s="751"/>
      <c r="UC127" s="751"/>
      <c r="UD127" s="751"/>
      <c r="UE127" s="751"/>
      <c r="UF127" s="751"/>
      <c r="UG127" s="751"/>
      <c r="UH127" s="751"/>
      <c r="UI127" s="751"/>
      <c r="UJ127" s="751"/>
      <c r="UK127" s="751"/>
      <c r="UL127" s="751"/>
      <c r="UM127" s="751"/>
      <c r="UN127" s="751"/>
      <c r="UO127" s="751"/>
      <c r="UP127" s="751"/>
      <c r="UQ127" s="751"/>
      <c r="UR127" s="751"/>
      <c r="US127" s="751"/>
      <c r="UT127" s="751"/>
      <c r="UU127" s="751"/>
      <c r="UV127" s="751"/>
      <c r="UW127" s="751"/>
      <c r="UX127" s="751"/>
      <c r="UY127" s="751"/>
      <c r="UZ127" s="751"/>
      <c r="VA127" s="751"/>
      <c r="VB127" s="751"/>
      <c r="VC127" s="751"/>
      <c r="VD127" s="751"/>
      <c r="VE127" s="751"/>
      <c r="VF127" s="751"/>
      <c r="VG127" s="751"/>
      <c r="VH127" s="751"/>
      <c r="VI127" s="751"/>
      <c r="VJ127" s="751"/>
      <c r="VK127" s="751"/>
      <c r="VL127" s="751"/>
      <c r="VM127" s="751"/>
      <c r="VN127" s="751"/>
      <c r="VO127" s="751"/>
      <c r="VP127" s="751"/>
      <c r="VQ127" s="751"/>
      <c r="VR127" s="751"/>
      <c r="VS127" s="751"/>
      <c r="VT127" s="751"/>
      <c r="VU127" s="751"/>
      <c r="VV127" s="751"/>
      <c r="VW127" s="751"/>
      <c r="VX127" s="751"/>
      <c r="VY127" s="751"/>
      <c r="VZ127" s="751"/>
      <c r="WA127" s="751"/>
      <c r="WB127" s="751"/>
      <c r="WC127" s="751"/>
      <c r="WD127" s="751"/>
      <c r="WE127" s="751"/>
      <c r="WF127" s="751"/>
      <c r="WG127" s="751"/>
      <c r="WH127" s="751"/>
      <c r="WI127" s="751"/>
      <c r="WJ127" s="751"/>
      <c r="WK127" s="751"/>
      <c r="WL127" s="751"/>
      <c r="WM127" s="751"/>
      <c r="WN127" s="751"/>
      <c r="WO127" s="751"/>
      <c r="WP127" s="751"/>
      <c r="WQ127" s="751"/>
      <c r="WR127" s="751"/>
      <c r="WS127" s="751"/>
      <c r="WT127" s="751"/>
      <c r="WU127" s="751"/>
      <c r="WV127" s="751"/>
      <c r="WW127" s="751"/>
      <c r="WX127" s="751"/>
      <c r="WY127" s="751"/>
      <c r="WZ127" s="751"/>
      <c r="XA127" s="751"/>
      <c r="XB127" s="751"/>
      <c r="XC127" s="751"/>
      <c r="XD127" s="751"/>
      <c r="XE127" s="751"/>
      <c r="XF127" s="751"/>
      <c r="XG127" s="751"/>
      <c r="XH127" s="751"/>
      <c r="XI127" s="751"/>
      <c r="XJ127" s="751"/>
      <c r="XK127" s="751"/>
      <c r="XL127" s="751"/>
      <c r="XM127" s="751"/>
      <c r="XN127" s="751"/>
      <c r="XO127" s="751"/>
      <c r="XP127" s="751"/>
      <c r="XQ127" s="751"/>
      <c r="XR127" s="751"/>
      <c r="XS127" s="751"/>
      <c r="XT127" s="751"/>
      <c r="XU127" s="751"/>
      <c r="XV127" s="751"/>
      <c r="XW127" s="751"/>
      <c r="XX127" s="751"/>
      <c r="XY127" s="751"/>
      <c r="XZ127" s="751"/>
      <c r="YA127" s="751"/>
      <c r="YB127" s="751"/>
      <c r="YC127" s="751"/>
      <c r="YD127" s="751"/>
      <c r="YE127" s="751"/>
      <c r="YF127" s="751"/>
      <c r="YG127" s="751"/>
      <c r="YH127" s="751"/>
      <c r="YI127" s="751"/>
      <c r="YJ127" s="751"/>
      <c r="YK127" s="751"/>
      <c r="YL127" s="751"/>
      <c r="YM127" s="751"/>
      <c r="YN127" s="751"/>
      <c r="YO127" s="751"/>
      <c r="YP127" s="751"/>
      <c r="YQ127" s="751"/>
      <c r="YR127" s="751"/>
      <c r="YS127" s="751"/>
      <c r="YT127" s="751"/>
      <c r="YU127" s="751"/>
      <c r="YV127" s="751"/>
      <c r="YW127" s="751"/>
      <c r="YX127" s="751"/>
      <c r="YY127" s="751"/>
      <c r="YZ127" s="751"/>
      <c r="ZA127" s="751"/>
      <c r="ZB127" s="751"/>
      <c r="ZC127" s="751"/>
      <c r="ZD127" s="751"/>
      <c r="ZE127" s="751"/>
      <c r="ZF127" s="751"/>
      <c r="ZG127" s="751"/>
      <c r="ZH127" s="751"/>
      <c r="ZI127" s="751"/>
      <c r="ZJ127" s="751"/>
      <c r="ZK127" s="751"/>
      <c r="ZL127" s="751"/>
      <c r="ZM127" s="751"/>
      <c r="ZN127" s="751"/>
      <c r="ZO127" s="751"/>
      <c r="ZP127" s="751"/>
      <c r="ZQ127" s="751"/>
      <c r="ZR127" s="751"/>
      <c r="ZS127" s="751"/>
      <c r="ZT127" s="751"/>
      <c r="ZU127" s="751"/>
      <c r="ZV127" s="751"/>
      <c r="ZW127" s="751"/>
      <c r="ZX127" s="751"/>
      <c r="ZY127" s="751"/>
      <c r="ZZ127" s="751"/>
      <c r="AAA127" s="751"/>
      <c r="AAB127" s="751"/>
      <c r="AAC127" s="751"/>
      <c r="AAD127" s="751"/>
      <c r="AAE127" s="751"/>
      <c r="AAF127" s="751"/>
      <c r="AAG127" s="751"/>
      <c r="AAH127" s="751"/>
      <c r="AAI127" s="751"/>
      <c r="AAJ127" s="751"/>
      <c r="AAK127" s="751"/>
      <c r="AAL127" s="751"/>
      <c r="AAM127" s="751"/>
      <c r="AAN127" s="751"/>
      <c r="AAO127" s="751"/>
      <c r="AAP127" s="751"/>
      <c r="AAQ127" s="751"/>
      <c r="AAR127" s="751"/>
      <c r="AAS127" s="751"/>
      <c r="AAT127" s="751"/>
      <c r="AAU127" s="751"/>
      <c r="AAV127" s="751"/>
      <c r="AAW127" s="751"/>
      <c r="AAX127" s="751"/>
      <c r="AAY127" s="751"/>
      <c r="AAZ127" s="751"/>
      <c r="ABA127" s="751"/>
      <c r="ABB127" s="751"/>
      <c r="ABC127" s="751"/>
      <c r="ABD127" s="751"/>
      <c r="ABE127" s="751"/>
      <c r="ABF127" s="751"/>
      <c r="ABG127" s="751"/>
      <c r="ABH127" s="751"/>
      <c r="ABI127" s="751"/>
      <c r="ABJ127" s="751"/>
      <c r="ABK127" s="751"/>
      <c r="ABL127" s="751"/>
      <c r="ABM127" s="751"/>
      <c r="ABN127" s="751"/>
      <c r="ABO127" s="751"/>
      <c r="ABP127" s="751"/>
      <c r="ABQ127" s="751"/>
      <c r="ABR127" s="751"/>
      <c r="ABS127" s="751"/>
      <c r="ABT127" s="751"/>
      <c r="ABU127" s="751"/>
      <c r="ABV127" s="751"/>
      <c r="ABW127" s="751"/>
      <c r="ABX127" s="751"/>
      <c r="ABY127" s="751"/>
      <c r="ABZ127" s="751"/>
      <c r="ACA127" s="751"/>
      <c r="ACB127" s="751"/>
      <c r="ACC127" s="751"/>
      <c r="ACD127" s="751"/>
      <c r="ACE127" s="751"/>
      <c r="ACF127" s="751"/>
      <c r="ACG127" s="751"/>
      <c r="ACH127" s="751"/>
      <c r="ACI127" s="751"/>
      <c r="ACJ127" s="751"/>
      <c r="ACK127" s="751"/>
      <c r="ACL127" s="751"/>
      <c r="ACM127" s="751"/>
      <c r="ACN127" s="751"/>
      <c r="ACO127" s="751"/>
      <c r="ACP127" s="751"/>
      <c r="ACQ127" s="751"/>
      <c r="ACR127" s="751"/>
      <c r="ACS127" s="751"/>
      <c r="ACT127" s="751"/>
      <c r="ACU127" s="751"/>
      <c r="ACV127" s="751"/>
      <c r="ACW127" s="751"/>
      <c r="ACX127" s="751"/>
      <c r="ACY127" s="751"/>
      <c r="ACZ127" s="751"/>
      <c r="ADA127" s="751"/>
      <c r="ADB127" s="751"/>
      <c r="ADC127" s="751"/>
      <c r="ADD127" s="751"/>
      <c r="ADE127" s="751"/>
      <c r="ADF127" s="751"/>
      <c r="ADG127" s="751"/>
      <c r="ADH127" s="751"/>
      <c r="ADI127" s="751"/>
      <c r="ADJ127" s="751"/>
      <c r="ADK127" s="751"/>
      <c r="ADL127" s="751"/>
      <c r="ADM127" s="751"/>
      <c r="ADN127" s="751"/>
      <c r="ADO127" s="751"/>
      <c r="ADP127" s="751"/>
      <c r="ADQ127" s="751"/>
      <c r="ADR127" s="751"/>
      <c r="ADS127" s="751"/>
      <c r="ADT127" s="751"/>
      <c r="ADU127" s="751"/>
      <c r="ADV127" s="751"/>
      <c r="ADW127" s="751"/>
      <c r="ADX127" s="751"/>
      <c r="ADY127" s="751"/>
      <c r="ADZ127" s="751"/>
      <c r="AEA127" s="751"/>
      <c r="AEB127" s="751"/>
      <c r="AEC127" s="751"/>
      <c r="AED127" s="751"/>
      <c r="AEE127" s="751"/>
      <c r="AEF127" s="751"/>
      <c r="AEG127" s="751"/>
      <c r="AEH127" s="751"/>
      <c r="AEI127" s="751"/>
      <c r="AEJ127" s="751"/>
      <c r="AEK127" s="751"/>
      <c r="AEL127" s="751"/>
      <c r="AEM127" s="751"/>
      <c r="AEN127" s="751"/>
      <c r="AEO127" s="751"/>
      <c r="AEP127" s="751"/>
      <c r="AEQ127" s="751"/>
      <c r="AER127" s="751"/>
      <c r="AES127" s="751"/>
      <c r="AET127" s="751"/>
      <c r="AEU127" s="751"/>
      <c r="AEV127" s="751"/>
      <c r="AEW127" s="751"/>
      <c r="AEX127" s="751"/>
      <c r="AEY127" s="751"/>
      <c r="AEZ127" s="751"/>
      <c r="AFA127" s="751"/>
      <c r="AFB127" s="751"/>
      <c r="AFC127" s="751"/>
      <c r="AFD127" s="751"/>
      <c r="AFE127" s="751"/>
      <c r="AFF127" s="751"/>
      <c r="AFG127" s="751"/>
      <c r="AFH127" s="751"/>
      <c r="AFI127" s="751"/>
      <c r="AFJ127" s="751"/>
      <c r="AFK127" s="751"/>
      <c r="AFL127" s="751"/>
      <c r="AFM127" s="751"/>
      <c r="AFN127" s="751"/>
      <c r="AFO127" s="751"/>
      <c r="AFP127" s="751"/>
      <c r="AFQ127" s="751"/>
      <c r="AFR127" s="751"/>
      <c r="AFS127" s="751"/>
      <c r="AFT127" s="751"/>
      <c r="AFU127" s="751"/>
      <c r="AFV127" s="751"/>
      <c r="AFW127" s="751"/>
      <c r="AFX127" s="751"/>
      <c r="AFY127" s="751"/>
      <c r="AFZ127" s="751"/>
      <c r="AGA127" s="751"/>
      <c r="AGB127" s="751"/>
      <c r="AGC127" s="751"/>
      <c r="AGD127" s="751"/>
      <c r="AGE127" s="751"/>
      <c r="AGF127" s="751"/>
      <c r="AGG127" s="751"/>
      <c r="AGH127" s="751"/>
      <c r="AGI127" s="751"/>
      <c r="AGJ127" s="751"/>
      <c r="AGK127" s="751"/>
      <c r="AGL127" s="751"/>
      <c r="AGM127" s="751"/>
      <c r="AGN127" s="751"/>
      <c r="AGO127" s="751"/>
      <c r="AGP127" s="751"/>
      <c r="AGQ127" s="751"/>
      <c r="AGR127" s="751"/>
      <c r="AGS127" s="751"/>
      <c r="AGT127" s="751"/>
      <c r="AGU127" s="751"/>
      <c r="AGV127" s="751"/>
      <c r="AGW127" s="751"/>
      <c r="AGX127" s="751"/>
      <c r="AGY127" s="751"/>
      <c r="AGZ127" s="751"/>
      <c r="AHA127" s="751"/>
      <c r="AHB127" s="751"/>
      <c r="AHC127" s="751"/>
      <c r="AHD127" s="751"/>
      <c r="AHE127" s="751"/>
      <c r="AHF127" s="751"/>
      <c r="AHG127" s="751"/>
      <c r="AHH127" s="751"/>
      <c r="AHI127" s="751"/>
      <c r="AHJ127" s="751"/>
      <c r="AHK127" s="751"/>
      <c r="AHL127" s="751"/>
      <c r="AHM127" s="751"/>
      <c r="AHN127" s="751"/>
      <c r="AHO127" s="751"/>
      <c r="AHP127" s="751"/>
      <c r="AHQ127" s="751"/>
      <c r="AHR127" s="751"/>
      <c r="AHS127" s="751"/>
      <c r="AHT127" s="751"/>
      <c r="AHU127" s="751"/>
      <c r="AHV127" s="751"/>
      <c r="AHW127" s="751"/>
      <c r="AHX127" s="751"/>
      <c r="AHY127" s="751"/>
      <c r="AHZ127" s="751"/>
      <c r="AIA127" s="751"/>
      <c r="AIB127" s="751"/>
      <c r="AIC127" s="751"/>
      <c r="AID127" s="751"/>
      <c r="AIE127" s="751"/>
      <c r="AIF127" s="751"/>
      <c r="AIG127" s="751"/>
      <c r="AIH127" s="751"/>
      <c r="AII127" s="751"/>
      <c r="AIJ127" s="751"/>
      <c r="AIK127" s="751"/>
      <c r="AIL127" s="751"/>
      <c r="AIM127" s="751"/>
      <c r="AIN127" s="751"/>
      <c r="AIO127" s="751"/>
      <c r="AIP127" s="751"/>
      <c r="AIQ127" s="751"/>
      <c r="AIR127" s="751"/>
      <c r="AIS127" s="751"/>
      <c r="AIT127" s="751"/>
      <c r="AIU127" s="751"/>
      <c r="AIV127" s="751"/>
      <c r="AIW127" s="751"/>
      <c r="AIX127" s="751"/>
      <c r="AIY127" s="751"/>
      <c r="AIZ127" s="751"/>
      <c r="AJA127" s="751"/>
      <c r="AJB127" s="751"/>
      <c r="AJC127" s="751"/>
      <c r="AJD127" s="751"/>
      <c r="AJE127" s="751"/>
      <c r="AJF127" s="751"/>
      <c r="AJG127" s="751"/>
      <c r="AJH127" s="751"/>
      <c r="AJI127" s="751"/>
      <c r="AJJ127" s="751"/>
      <c r="AJK127" s="751"/>
      <c r="AJL127" s="751"/>
      <c r="AJM127" s="751"/>
      <c r="AJN127" s="751"/>
      <c r="AJO127" s="751"/>
      <c r="AJP127" s="751"/>
      <c r="AJQ127" s="751"/>
      <c r="AJR127" s="751"/>
      <c r="AJS127" s="751"/>
      <c r="AJT127" s="751"/>
      <c r="AJU127" s="751"/>
      <c r="AJV127" s="751"/>
      <c r="AJW127" s="751"/>
      <c r="AJX127" s="751"/>
      <c r="AJY127" s="751"/>
      <c r="AJZ127" s="751"/>
      <c r="AKA127" s="751"/>
      <c r="AKB127" s="751"/>
      <c r="AKC127" s="751"/>
      <c r="AKD127" s="751"/>
      <c r="AKE127" s="751"/>
      <c r="AKF127" s="751"/>
      <c r="AKG127" s="751"/>
      <c r="AKH127" s="751"/>
      <c r="AKI127" s="751"/>
      <c r="AKJ127" s="751"/>
      <c r="AKK127" s="751"/>
      <c r="AKL127" s="751"/>
      <c r="AKM127" s="751"/>
      <c r="AKN127" s="751"/>
      <c r="AKO127" s="751"/>
      <c r="AKP127" s="751"/>
      <c r="AKQ127" s="751"/>
      <c r="AKR127" s="751"/>
      <c r="AKS127" s="751"/>
      <c r="AKT127" s="751"/>
      <c r="AKU127" s="751"/>
      <c r="AKV127" s="751"/>
      <c r="AKW127" s="751"/>
      <c r="AKX127" s="751"/>
      <c r="AKY127" s="751"/>
      <c r="AKZ127" s="751"/>
      <c r="ALA127" s="751"/>
      <c r="ALB127" s="751"/>
      <c r="ALC127" s="751"/>
      <c r="ALD127" s="751"/>
      <c r="ALE127" s="751"/>
      <c r="ALF127" s="751"/>
      <c r="ALG127" s="751"/>
      <c r="ALH127" s="751"/>
      <c r="ALI127" s="751"/>
      <c r="ALJ127" s="751"/>
      <c r="ALK127" s="751"/>
      <c r="ALL127" s="751"/>
      <c r="ALM127" s="751"/>
      <c r="ALN127" s="751"/>
      <c r="ALO127" s="751"/>
      <c r="ALP127" s="751"/>
      <c r="ALQ127" s="751"/>
      <c r="ALR127" s="751"/>
      <c r="ALS127" s="751"/>
      <c r="ALT127" s="751"/>
      <c r="ALU127" s="751"/>
      <c r="ALV127" s="751"/>
      <c r="ALW127" s="751"/>
      <c r="ALX127" s="751"/>
      <c r="ALY127" s="751"/>
      <c r="ALZ127" s="751"/>
      <c r="AMA127" s="751"/>
      <c r="AMB127" s="751"/>
      <c r="AMC127" s="751"/>
      <c r="AMD127" s="751"/>
      <c r="AME127" s="751"/>
      <c r="AMF127" s="751"/>
      <c r="AMG127" s="751"/>
      <c r="AMH127" s="751"/>
      <c r="AMI127" s="751"/>
      <c r="AMJ127" s="751"/>
      <c r="AMK127" s="751"/>
      <c r="AML127" s="751"/>
      <c r="AMM127" s="751"/>
      <c r="AMN127" s="751"/>
      <c r="AMO127" s="751"/>
      <c r="AMP127" s="751"/>
      <c r="AMQ127" s="751"/>
      <c r="AMR127" s="751"/>
      <c r="AMS127" s="751"/>
      <c r="AMT127" s="751"/>
      <c r="AMU127" s="751"/>
      <c r="AMV127" s="751"/>
      <c r="AMW127" s="751"/>
      <c r="AMX127" s="751"/>
      <c r="AMY127" s="751"/>
      <c r="AMZ127" s="751"/>
      <c r="ANA127" s="751"/>
      <c r="ANB127" s="751"/>
      <c r="ANC127" s="751"/>
      <c r="AND127" s="751"/>
      <c r="ANE127" s="751"/>
      <c r="ANF127" s="751"/>
      <c r="ANG127" s="751"/>
      <c r="ANH127" s="751"/>
      <c r="ANI127" s="751"/>
      <c r="ANJ127" s="751"/>
      <c r="ANK127" s="751"/>
      <c r="ANL127" s="751"/>
      <c r="ANM127" s="751"/>
      <c r="ANN127" s="751"/>
      <c r="ANO127" s="751"/>
      <c r="ANP127" s="751"/>
      <c r="ANQ127" s="751"/>
      <c r="ANR127" s="751"/>
      <c r="ANS127" s="751"/>
      <c r="ANT127" s="751"/>
      <c r="ANU127" s="751"/>
      <c r="ANV127" s="751"/>
      <c r="ANW127" s="751"/>
      <c r="ANX127" s="751"/>
      <c r="ANY127" s="751"/>
      <c r="ANZ127" s="751"/>
      <c r="AOA127" s="751"/>
      <c r="AOB127" s="751"/>
      <c r="AOC127" s="751"/>
      <c r="AOD127" s="751"/>
      <c r="AOE127" s="751"/>
      <c r="AOF127" s="751"/>
      <c r="AOG127" s="751"/>
      <c r="AOH127" s="751"/>
      <c r="AOI127" s="751"/>
      <c r="AOJ127" s="751"/>
      <c r="AOK127" s="751"/>
      <c r="AOL127" s="751"/>
      <c r="AOM127" s="751"/>
      <c r="AON127" s="751"/>
      <c r="AOO127" s="751"/>
      <c r="AOP127" s="751"/>
      <c r="AOQ127" s="751"/>
      <c r="AOR127" s="751"/>
      <c r="AOS127" s="751"/>
      <c r="AOT127" s="751"/>
      <c r="AOU127" s="751"/>
      <c r="AOV127" s="751"/>
      <c r="AOW127" s="751"/>
      <c r="AOX127" s="751"/>
      <c r="AOY127" s="751"/>
      <c r="AOZ127" s="751"/>
      <c r="APA127" s="751"/>
      <c r="APB127" s="751"/>
      <c r="APC127" s="751"/>
      <c r="APD127" s="751"/>
      <c r="APE127" s="751"/>
      <c r="APF127" s="751"/>
      <c r="APG127" s="751"/>
      <c r="APH127" s="751"/>
      <c r="API127" s="751"/>
      <c r="APJ127" s="751"/>
      <c r="APK127" s="751"/>
      <c r="APL127" s="751"/>
      <c r="APM127" s="751"/>
      <c r="APN127" s="751"/>
      <c r="APO127" s="751"/>
      <c r="APP127" s="751"/>
      <c r="APQ127" s="751"/>
      <c r="APR127" s="751"/>
      <c r="APS127" s="751"/>
      <c r="APT127" s="751"/>
      <c r="APU127" s="751"/>
      <c r="APV127" s="751"/>
      <c r="APW127" s="751"/>
      <c r="APX127" s="751"/>
      <c r="APY127" s="751"/>
      <c r="APZ127" s="751"/>
      <c r="AQA127" s="751"/>
      <c r="AQB127" s="751"/>
      <c r="AQC127" s="751"/>
      <c r="AQD127" s="751"/>
      <c r="AQE127" s="751"/>
      <c r="AQF127" s="751"/>
      <c r="AQG127" s="751"/>
      <c r="AQH127" s="751"/>
      <c r="AQI127" s="751"/>
      <c r="AQJ127" s="751"/>
      <c r="AQK127" s="751"/>
      <c r="AQL127" s="751"/>
      <c r="AQM127" s="751"/>
      <c r="AQN127" s="751"/>
      <c r="AQO127" s="751"/>
      <c r="AQP127" s="751"/>
      <c r="AQQ127" s="751"/>
      <c r="AQR127" s="751"/>
      <c r="AQS127" s="751"/>
      <c r="AQT127" s="751"/>
      <c r="AQU127" s="751"/>
      <c r="AQV127" s="751"/>
      <c r="AQW127" s="751"/>
      <c r="AQX127" s="751"/>
      <c r="AQY127" s="751"/>
      <c r="AQZ127" s="751"/>
      <c r="ARA127" s="751"/>
      <c r="ARB127" s="751"/>
      <c r="ARC127" s="751"/>
      <c r="ARD127" s="751"/>
      <c r="ARE127" s="751"/>
      <c r="ARF127" s="751"/>
      <c r="ARG127" s="751"/>
      <c r="ARH127" s="751"/>
      <c r="ARI127" s="751"/>
      <c r="ARJ127" s="751"/>
      <c r="ARK127" s="751"/>
      <c r="ARL127" s="751"/>
      <c r="ARM127" s="751"/>
      <c r="ARN127" s="751"/>
      <c r="ARO127" s="751"/>
      <c r="ARP127" s="751"/>
      <c r="ARQ127" s="751"/>
      <c r="ARR127" s="751"/>
      <c r="ARS127" s="751"/>
      <c r="ART127" s="751"/>
      <c r="ARU127" s="751"/>
      <c r="ARV127" s="751"/>
      <c r="ARW127" s="751"/>
      <c r="ARX127" s="751"/>
      <c r="ARY127" s="751"/>
      <c r="ARZ127" s="751"/>
      <c r="ASA127" s="751"/>
      <c r="ASB127" s="751"/>
      <c r="ASC127" s="751"/>
      <c r="ASD127" s="751"/>
      <c r="ASE127" s="751"/>
      <c r="ASF127" s="751"/>
      <c r="ASG127" s="751"/>
      <c r="ASH127" s="751"/>
      <c r="ASI127" s="751"/>
      <c r="ASJ127" s="751"/>
      <c r="ASK127" s="751"/>
      <c r="ASL127" s="751"/>
      <c r="ASM127" s="751"/>
      <c r="ASN127" s="751"/>
      <c r="ASO127" s="751"/>
      <c r="ASP127" s="751"/>
      <c r="ASQ127" s="751"/>
      <c r="ASR127" s="751"/>
      <c r="ASS127" s="751"/>
      <c r="AST127" s="751"/>
      <c r="ASU127" s="751"/>
      <c r="ASV127" s="751"/>
      <c r="ASW127" s="751"/>
      <c r="ASX127" s="751"/>
      <c r="ASY127" s="751"/>
      <c r="ASZ127" s="751"/>
      <c r="ATA127" s="751"/>
      <c r="ATB127" s="751"/>
      <c r="ATC127" s="751"/>
      <c r="ATD127" s="751"/>
      <c r="ATE127" s="751"/>
      <c r="ATF127" s="751"/>
      <c r="ATG127" s="751"/>
      <c r="ATH127" s="751"/>
      <c r="ATI127" s="751"/>
      <c r="ATJ127" s="751"/>
      <c r="ATK127" s="751"/>
      <c r="ATL127" s="751"/>
      <c r="ATM127" s="751"/>
      <c r="ATN127" s="751"/>
      <c r="ATO127" s="751"/>
      <c r="ATP127" s="751"/>
      <c r="ATQ127" s="751"/>
      <c r="ATR127" s="751"/>
      <c r="ATS127" s="751"/>
      <c r="ATT127" s="751"/>
      <c r="ATU127" s="751"/>
      <c r="ATV127" s="751"/>
      <c r="ATW127" s="751"/>
      <c r="ATX127" s="751"/>
      <c r="ATY127" s="751"/>
      <c r="ATZ127" s="751"/>
      <c r="AUA127" s="751"/>
      <c r="AUB127" s="751"/>
      <c r="AUC127" s="751"/>
      <c r="AUD127" s="751"/>
      <c r="AUE127" s="751"/>
      <c r="AUF127" s="751"/>
      <c r="AUG127" s="751"/>
      <c r="AUH127" s="751"/>
      <c r="AUI127" s="751"/>
      <c r="AUJ127" s="751"/>
      <c r="AUK127" s="751"/>
      <c r="AUL127" s="751"/>
      <c r="AUM127" s="751"/>
      <c r="AUN127" s="751"/>
      <c r="AUO127" s="751"/>
      <c r="AUP127" s="751"/>
      <c r="AUQ127" s="751"/>
      <c r="AUR127" s="751"/>
      <c r="AUS127" s="751"/>
      <c r="AUT127" s="751"/>
      <c r="AUU127" s="751"/>
      <c r="AUV127" s="751"/>
      <c r="AUW127" s="751"/>
      <c r="AUX127" s="751"/>
      <c r="AUY127" s="751"/>
      <c r="AUZ127" s="751"/>
      <c r="AVA127" s="751"/>
      <c r="AVB127" s="751"/>
      <c r="AVC127" s="751"/>
      <c r="AVD127" s="751"/>
      <c r="AVE127" s="751"/>
      <c r="AVF127" s="751"/>
      <c r="AVG127" s="751"/>
      <c r="AVH127" s="751"/>
      <c r="AVI127" s="751"/>
      <c r="AVJ127" s="751"/>
      <c r="AVK127" s="751"/>
      <c r="AVL127" s="751"/>
      <c r="AVM127" s="751"/>
      <c r="AVN127" s="751"/>
      <c r="AVO127" s="751"/>
      <c r="AVP127" s="751"/>
      <c r="AVQ127" s="751"/>
      <c r="AVR127" s="751"/>
      <c r="AVS127" s="751"/>
      <c r="AVT127" s="751"/>
      <c r="AVU127" s="751"/>
      <c r="AVV127" s="751"/>
      <c r="AVW127" s="751"/>
      <c r="AVX127" s="751"/>
      <c r="AVY127" s="751"/>
      <c r="AVZ127" s="751"/>
      <c r="AWA127" s="751"/>
      <c r="AWB127" s="751"/>
      <c r="AWC127" s="751"/>
      <c r="AWD127" s="751"/>
      <c r="AWE127" s="751"/>
      <c r="AWF127" s="751"/>
      <c r="AWG127" s="751"/>
      <c r="AWH127" s="751"/>
      <c r="AWI127" s="751"/>
      <c r="AWJ127" s="751"/>
      <c r="AWK127" s="751"/>
      <c r="AWL127" s="751"/>
      <c r="AWM127" s="751"/>
      <c r="AWN127" s="751"/>
      <c r="AWO127" s="751"/>
      <c r="AWP127" s="751"/>
      <c r="AWQ127" s="751"/>
      <c r="AWR127" s="751"/>
      <c r="AWS127" s="751"/>
      <c r="AWT127" s="751"/>
      <c r="AWU127" s="751"/>
      <c r="AWV127" s="751"/>
      <c r="AWW127" s="751"/>
      <c r="AWX127" s="751"/>
      <c r="AWY127" s="751"/>
      <c r="AWZ127" s="751"/>
      <c r="AXA127" s="751"/>
      <c r="AXB127" s="751"/>
      <c r="AXC127" s="751"/>
      <c r="AXD127" s="751"/>
      <c r="AXE127" s="751"/>
      <c r="AXF127" s="751"/>
      <c r="AXG127" s="751"/>
      <c r="AXH127" s="751"/>
      <c r="AXI127" s="751"/>
      <c r="AXJ127" s="751"/>
      <c r="AXK127" s="751"/>
      <c r="AXL127" s="751"/>
      <c r="AXM127" s="751"/>
      <c r="AXN127" s="751"/>
      <c r="AXO127" s="751"/>
      <c r="AXP127" s="751"/>
      <c r="AXQ127" s="751"/>
      <c r="AXR127" s="751"/>
      <c r="AXS127" s="751"/>
      <c r="AXT127" s="751"/>
      <c r="AXU127" s="751"/>
      <c r="AXV127" s="751"/>
      <c r="AXW127" s="751"/>
      <c r="AXX127" s="751"/>
      <c r="AXY127" s="751"/>
      <c r="AXZ127" s="751"/>
      <c r="AYA127" s="751"/>
      <c r="AYB127" s="751"/>
      <c r="AYC127" s="751"/>
      <c r="AYD127" s="751"/>
      <c r="AYE127" s="751"/>
      <c r="AYF127" s="751"/>
      <c r="AYG127" s="751"/>
      <c r="AYH127" s="751"/>
      <c r="AYI127" s="751"/>
      <c r="AYJ127" s="751"/>
      <c r="AYK127" s="751"/>
      <c r="AYL127" s="751"/>
      <c r="AYM127" s="751"/>
      <c r="AYN127" s="751"/>
      <c r="AYO127" s="751"/>
      <c r="AYP127" s="751"/>
      <c r="AYQ127" s="751"/>
      <c r="AYR127" s="751"/>
      <c r="AYS127" s="751"/>
      <c r="AYT127" s="751"/>
      <c r="AYU127" s="751"/>
      <c r="AYV127" s="751"/>
      <c r="AYW127" s="751"/>
      <c r="AYX127" s="751"/>
      <c r="AYY127" s="751"/>
      <c r="AYZ127" s="751"/>
      <c r="AZA127" s="751"/>
      <c r="AZB127" s="751"/>
      <c r="AZC127" s="751"/>
      <c r="AZD127" s="751"/>
      <c r="AZE127" s="751"/>
      <c r="AZF127" s="751"/>
      <c r="AZG127" s="751"/>
      <c r="AZH127" s="751"/>
      <c r="AZI127" s="751"/>
      <c r="AZJ127" s="751"/>
      <c r="AZK127" s="751"/>
      <c r="AZL127" s="751"/>
      <c r="AZM127" s="751"/>
      <c r="AZN127" s="751"/>
      <c r="AZO127" s="751"/>
      <c r="AZP127" s="751"/>
      <c r="AZQ127" s="751"/>
      <c r="AZR127" s="751"/>
      <c r="AZS127" s="751"/>
      <c r="AZT127" s="751"/>
      <c r="AZU127" s="751"/>
      <c r="AZV127" s="751"/>
      <c r="AZW127" s="751"/>
      <c r="AZX127" s="751"/>
      <c r="AZY127" s="751"/>
      <c r="AZZ127" s="751"/>
      <c r="BAA127" s="751"/>
      <c r="BAB127" s="751"/>
      <c r="BAC127" s="751"/>
      <c r="BAD127" s="751"/>
      <c r="BAE127" s="751"/>
      <c r="BAF127" s="751"/>
      <c r="BAG127" s="751"/>
      <c r="BAH127" s="751"/>
      <c r="BAI127" s="751"/>
      <c r="BAJ127" s="751"/>
      <c r="BAK127" s="751"/>
      <c r="BAL127" s="751"/>
      <c r="BAM127" s="751"/>
      <c r="BAN127" s="751"/>
      <c r="BAO127" s="751"/>
      <c r="BAP127" s="751"/>
      <c r="BAQ127" s="751"/>
      <c r="BAR127" s="751"/>
      <c r="BAS127" s="751"/>
      <c r="BAT127" s="751"/>
      <c r="BAU127" s="751"/>
      <c r="BAV127" s="751"/>
      <c r="BAW127" s="751"/>
      <c r="BAX127" s="751"/>
      <c r="BAY127" s="751"/>
      <c r="BAZ127" s="751"/>
      <c r="BBA127" s="751"/>
      <c r="BBB127" s="751"/>
      <c r="BBC127" s="751"/>
      <c r="BBD127" s="751"/>
      <c r="BBE127" s="751"/>
      <c r="BBF127" s="751"/>
      <c r="BBG127" s="751"/>
      <c r="BBH127" s="751"/>
      <c r="BBI127" s="751"/>
      <c r="BBJ127" s="751"/>
      <c r="BBK127" s="751"/>
      <c r="BBL127" s="751"/>
      <c r="BBM127" s="751"/>
      <c r="BBN127" s="751"/>
      <c r="BBO127" s="751"/>
      <c r="BBP127" s="751"/>
      <c r="BBQ127" s="751"/>
      <c r="BBR127" s="751"/>
      <c r="BBS127" s="751"/>
      <c r="BBT127" s="751"/>
      <c r="BBU127" s="751"/>
      <c r="BBV127" s="751"/>
      <c r="BBW127" s="751"/>
      <c r="BBX127" s="751"/>
      <c r="BBY127" s="751"/>
      <c r="BBZ127" s="751"/>
      <c r="BCA127" s="751"/>
      <c r="BCB127" s="751"/>
      <c r="BCC127" s="751"/>
      <c r="BCD127" s="751"/>
      <c r="BCE127" s="751"/>
      <c r="BCF127" s="751"/>
      <c r="BCG127" s="751"/>
      <c r="BCH127" s="751"/>
      <c r="BCI127" s="751"/>
      <c r="BCJ127" s="751"/>
      <c r="BCK127" s="751"/>
      <c r="BCL127" s="751"/>
      <c r="BCM127" s="751"/>
      <c r="BCN127" s="751"/>
      <c r="BCO127" s="751"/>
      <c r="BCP127" s="751"/>
      <c r="BCQ127" s="751"/>
      <c r="BCR127" s="751"/>
      <c r="BCS127" s="751"/>
      <c r="BCT127" s="751"/>
      <c r="BCU127" s="751"/>
      <c r="BCV127" s="751"/>
      <c r="BCW127" s="751"/>
      <c r="BCX127" s="751"/>
      <c r="BCY127" s="751"/>
      <c r="BCZ127" s="751"/>
      <c r="BDA127" s="751"/>
      <c r="BDB127" s="751"/>
      <c r="BDC127" s="751"/>
      <c r="BDD127" s="751"/>
      <c r="BDE127" s="751"/>
      <c r="BDF127" s="751"/>
      <c r="BDG127" s="751"/>
      <c r="BDH127" s="751"/>
      <c r="BDI127" s="751"/>
      <c r="BDJ127" s="751"/>
      <c r="BDK127" s="751"/>
      <c r="BDL127" s="751"/>
      <c r="BDM127" s="751"/>
      <c r="BDN127" s="751"/>
      <c r="BDO127" s="751"/>
      <c r="BDP127" s="751"/>
      <c r="BDQ127" s="751"/>
      <c r="BDR127" s="751"/>
      <c r="BDS127" s="751"/>
      <c r="BDT127" s="751"/>
      <c r="BDU127" s="751"/>
      <c r="BDV127" s="751"/>
      <c r="BDW127" s="751"/>
      <c r="BDX127" s="751"/>
      <c r="BDY127" s="751"/>
      <c r="BDZ127" s="751"/>
      <c r="BEA127" s="751"/>
      <c r="BEB127" s="751"/>
      <c r="BEC127" s="751"/>
      <c r="BED127" s="751"/>
      <c r="BEE127" s="751"/>
      <c r="BEF127" s="751"/>
      <c r="BEG127" s="751"/>
      <c r="BEH127" s="751"/>
      <c r="BEI127" s="751"/>
      <c r="BEJ127" s="751"/>
      <c r="BEK127" s="751"/>
      <c r="BEL127" s="751"/>
      <c r="BEM127" s="751"/>
      <c r="BEN127" s="751"/>
      <c r="BEO127" s="751"/>
      <c r="BEP127" s="751"/>
      <c r="BEQ127" s="751"/>
      <c r="BER127" s="751"/>
      <c r="BES127" s="751"/>
      <c r="BET127" s="751"/>
      <c r="BEU127" s="751"/>
      <c r="BEV127" s="751"/>
      <c r="BEW127" s="751"/>
      <c r="BEX127" s="751"/>
      <c r="BEY127" s="751"/>
      <c r="BEZ127" s="751"/>
      <c r="BFA127" s="751"/>
      <c r="BFB127" s="751"/>
      <c r="BFC127" s="751"/>
      <c r="BFD127" s="751"/>
      <c r="BFE127" s="751"/>
      <c r="BFF127" s="751"/>
      <c r="BFG127" s="751"/>
      <c r="BFH127" s="751"/>
      <c r="BFI127" s="751"/>
      <c r="BFJ127" s="751"/>
      <c r="BFK127" s="751"/>
      <c r="BFL127" s="751"/>
      <c r="BFM127" s="751"/>
      <c r="BFN127" s="751"/>
      <c r="BFO127" s="751"/>
      <c r="BFP127" s="751"/>
      <c r="BFQ127" s="751"/>
      <c r="BFR127" s="751"/>
      <c r="BFS127" s="751"/>
      <c r="BFT127" s="751"/>
      <c r="BFU127" s="751"/>
      <c r="BFV127" s="751"/>
      <c r="BFW127" s="751"/>
      <c r="BFX127" s="751"/>
      <c r="BFY127" s="751"/>
      <c r="BFZ127" s="751"/>
      <c r="BGA127" s="751"/>
      <c r="BGB127" s="751"/>
      <c r="BGC127" s="751"/>
      <c r="BGD127" s="751"/>
      <c r="BGE127" s="751"/>
      <c r="BGF127" s="751"/>
      <c r="BGG127" s="751"/>
      <c r="BGH127" s="751"/>
      <c r="BGI127" s="751"/>
      <c r="BGJ127" s="751"/>
      <c r="BGK127" s="751"/>
      <c r="BGL127" s="751"/>
      <c r="BGM127" s="751"/>
      <c r="BGN127" s="751"/>
      <c r="BGO127" s="751"/>
      <c r="BGP127" s="751"/>
      <c r="BGQ127" s="751"/>
      <c r="BGR127" s="751"/>
      <c r="BGS127" s="751"/>
      <c r="BGT127" s="751"/>
      <c r="BGU127" s="751"/>
      <c r="BGV127" s="751"/>
      <c r="BGW127" s="751"/>
      <c r="BGX127" s="751"/>
      <c r="BGY127" s="751"/>
      <c r="BGZ127" s="751"/>
      <c r="BHA127" s="751"/>
      <c r="BHB127" s="751"/>
      <c r="BHC127" s="751"/>
      <c r="BHD127" s="751"/>
      <c r="BHE127" s="751"/>
      <c r="BHF127" s="751"/>
      <c r="BHG127" s="751"/>
      <c r="BHH127" s="751"/>
      <c r="BHI127" s="751"/>
      <c r="BHJ127" s="751"/>
      <c r="BHK127" s="751"/>
      <c r="BHL127" s="751"/>
      <c r="BHM127" s="751"/>
      <c r="BHN127" s="751"/>
      <c r="BHO127" s="751"/>
      <c r="BHP127" s="751"/>
      <c r="BHQ127" s="751"/>
      <c r="BHR127" s="751"/>
      <c r="BHS127" s="751"/>
      <c r="BHT127" s="751"/>
      <c r="BHU127" s="751"/>
      <c r="BHV127" s="751"/>
      <c r="BHW127" s="751"/>
      <c r="BHX127" s="751"/>
      <c r="BHY127" s="751"/>
      <c r="BHZ127" s="751"/>
      <c r="BIA127" s="751"/>
      <c r="BIB127" s="751"/>
      <c r="BIC127" s="751"/>
      <c r="BID127" s="751"/>
      <c r="BIE127" s="751"/>
      <c r="BIF127" s="751"/>
      <c r="BIG127" s="751"/>
      <c r="BIH127" s="751"/>
      <c r="BII127" s="751"/>
      <c r="BIJ127" s="751"/>
      <c r="BIK127" s="751"/>
      <c r="BIL127" s="751"/>
      <c r="BIM127" s="751"/>
      <c r="BIN127" s="751"/>
      <c r="BIO127" s="751"/>
      <c r="BIP127" s="751"/>
      <c r="BIQ127" s="751"/>
      <c r="BIR127" s="751"/>
      <c r="BIS127" s="751"/>
      <c r="BIT127" s="751"/>
      <c r="BIU127" s="751"/>
      <c r="BIV127" s="751"/>
      <c r="BIW127" s="751"/>
      <c r="BIX127" s="751"/>
      <c r="BIY127" s="751"/>
      <c r="BIZ127" s="751"/>
      <c r="BJA127" s="751"/>
      <c r="BJB127" s="751"/>
      <c r="BJC127" s="751"/>
      <c r="BJD127" s="751"/>
      <c r="BJE127" s="751"/>
      <c r="BJF127" s="751"/>
      <c r="BJG127" s="751"/>
      <c r="BJH127" s="751"/>
      <c r="BJI127" s="751"/>
      <c r="BJJ127" s="751"/>
      <c r="BJK127" s="751"/>
      <c r="BJL127" s="751"/>
      <c r="BJM127" s="751"/>
      <c r="BJN127" s="751"/>
      <c r="BJO127" s="751"/>
      <c r="BJP127" s="751"/>
      <c r="BJQ127" s="751"/>
      <c r="BJR127" s="751"/>
      <c r="BJS127" s="751"/>
      <c r="BJT127" s="751"/>
      <c r="BJU127" s="751"/>
      <c r="BJV127" s="751"/>
      <c r="BJW127" s="751"/>
      <c r="BJX127" s="751"/>
      <c r="BJY127" s="751"/>
      <c r="BJZ127" s="751"/>
      <c r="BKA127" s="751"/>
      <c r="BKB127" s="751"/>
      <c r="BKC127" s="751"/>
      <c r="BKD127" s="751"/>
      <c r="BKE127" s="751"/>
      <c r="BKF127" s="751"/>
      <c r="BKG127" s="751"/>
      <c r="BKH127" s="751"/>
      <c r="BKI127" s="751"/>
      <c r="BKJ127" s="751"/>
      <c r="BKK127" s="751"/>
      <c r="BKL127" s="751"/>
      <c r="BKM127" s="751"/>
      <c r="BKN127" s="751"/>
      <c r="BKO127" s="751"/>
      <c r="BKP127" s="751"/>
      <c r="BKQ127" s="751"/>
      <c r="BKR127" s="751"/>
      <c r="BKS127" s="751"/>
      <c r="BKT127" s="751"/>
      <c r="BKU127" s="751"/>
      <c r="BKV127" s="751"/>
      <c r="BKW127" s="751"/>
      <c r="BKX127" s="751"/>
      <c r="BKY127" s="751"/>
      <c r="BKZ127" s="751"/>
      <c r="BLA127" s="751"/>
      <c r="BLB127" s="751"/>
      <c r="BLC127" s="751"/>
      <c r="BLD127" s="751"/>
      <c r="BLE127" s="751"/>
      <c r="BLF127" s="751"/>
      <c r="BLG127" s="751"/>
      <c r="BLH127" s="751"/>
      <c r="BLI127" s="751"/>
      <c r="BLJ127" s="751"/>
      <c r="BLK127" s="751"/>
      <c r="BLL127" s="751"/>
      <c r="BLM127" s="751"/>
      <c r="BLN127" s="751"/>
      <c r="BLO127" s="751"/>
      <c r="BLP127" s="751"/>
      <c r="BLQ127" s="751"/>
      <c r="BLR127" s="751"/>
      <c r="BLS127" s="751"/>
      <c r="BLT127" s="751"/>
      <c r="BLU127" s="751"/>
      <c r="BLV127" s="751"/>
      <c r="BLW127" s="751"/>
      <c r="BLX127" s="751"/>
      <c r="BLY127" s="751"/>
      <c r="BLZ127" s="751"/>
      <c r="BMA127" s="751"/>
      <c r="BMB127" s="751"/>
      <c r="BMC127" s="751"/>
      <c r="BMD127" s="751"/>
      <c r="BME127" s="751"/>
      <c r="BMF127" s="751"/>
      <c r="BMG127" s="751"/>
      <c r="BMH127" s="751"/>
      <c r="BMI127" s="751"/>
      <c r="BMJ127" s="751"/>
      <c r="BMK127" s="751"/>
      <c r="BML127" s="751"/>
      <c r="BMM127" s="751"/>
      <c r="BMN127" s="751"/>
      <c r="BMO127" s="751"/>
      <c r="BMP127" s="751"/>
      <c r="BMQ127" s="751"/>
      <c r="BMR127" s="751"/>
      <c r="BMS127" s="751"/>
      <c r="BMT127" s="751"/>
      <c r="BMU127" s="751"/>
      <c r="BMV127" s="751"/>
      <c r="BMW127" s="751"/>
      <c r="BMX127" s="751"/>
      <c r="BMY127" s="751"/>
      <c r="BMZ127" s="751"/>
      <c r="BNA127" s="751"/>
      <c r="BNB127" s="751"/>
      <c r="BNC127" s="751"/>
      <c r="BND127" s="751"/>
      <c r="BNE127" s="751"/>
      <c r="BNF127" s="751"/>
      <c r="BNG127" s="751"/>
      <c r="BNH127" s="751"/>
      <c r="BNI127" s="751"/>
      <c r="BNJ127" s="751"/>
      <c r="BNK127" s="751"/>
      <c r="BNL127" s="751"/>
      <c r="BNM127" s="751"/>
      <c r="BNN127" s="751"/>
      <c r="BNO127" s="751"/>
      <c r="BNP127" s="751"/>
      <c r="BNQ127" s="751"/>
      <c r="BNR127" s="751"/>
      <c r="BNS127" s="751"/>
      <c r="BNT127" s="751"/>
      <c r="BNU127" s="751"/>
      <c r="BNV127" s="751"/>
      <c r="BNW127" s="751"/>
      <c r="BNX127" s="751"/>
      <c r="BNY127" s="751"/>
      <c r="BNZ127" s="751"/>
      <c r="BOA127" s="751"/>
      <c r="BOB127" s="751"/>
      <c r="BOC127" s="751"/>
      <c r="BOD127" s="751"/>
      <c r="BOE127" s="751"/>
      <c r="BOF127" s="751"/>
      <c r="BOG127" s="751"/>
      <c r="BOH127" s="751"/>
      <c r="BOI127" s="751"/>
      <c r="BOJ127" s="751"/>
      <c r="BOK127" s="751"/>
      <c r="BOL127" s="751"/>
      <c r="BOM127" s="751"/>
      <c r="BON127" s="751"/>
      <c r="BOO127" s="751"/>
      <c r="BOP127" s="751"/>
      <c r="BOQ127" s="751"/>
      <c r="BOR127" s="751"/>
      <c r="BOS127" s="751"/>
      <c r="BOT127" s="751"/>
      <c r="BOU127" s="751"/>
      <c r="BOV127" s="751"/>
      <c r="BOW127" s="751"/>
      <c r="BOX127" s="751"/>
      <c r="BOY127" s="751"/>
      <c r="BOZ127" s="751"/>
      <c r="BPA127" s="751"/>
      <c r="BPB127" s="751"/>
      <c r="BPC127" s="751"/>
      <c r="BPD127" s="751"/>
      <c r="BPE127" s="751"/>
      <c r="BPF127" s="751"/>
      <c r="BPG127" s="751"/>
      <c r="BPH127" s="751"/>
      <c r="BPI127" s="751"/>
      <c r="BPJ127" s="751"/>
      <c r="BPK127" s="751"/>
      <c r="BPL127" s="751"/>
      <c r="BPM127" s="751"/>
      <c r="BPN127" s="751"/>
      <c r="BPO127" s="751"/>
      <c r="BPP127" s="751"/>
      <c r="BPQ127" s="751"/>
      <c r="BPR127" s="751"/>
      <c r="BPS127" s="751"/>
      <c r="BPT127" s="751"/>
      <c r="BPU127" s="751"/>
      <c r="BPV127" s="751"/>
      <c r="BPW127" s="751"/>
      <c r="BPX127" s="751"/>
      <c r="BPY127" s="751"/>
      <c r="BPZ127" s="751"/>
      <c r="BQA127" s="751"/>
      <c r="BQB127" s="751"/>
      <c r="BQC127" s="751"/>
      <c r="BQD127" s="751"/>
      <c r="BQE127" s="751"/>
      <c r="BQF127" s="751"/>
      <c r="BQG127" s="751"/>
      <c r="BQH127" s="751"/>
      <c r="BQI127" s="751"/>
      <c r="BQJ127" s="751"/>
      <c r="BQK127" s="751"/>
      <c r="BQL127" s="751"/>
      <c r="BQM127" s="751"/>
      <c r="BQN127" s="751"/>
      <c r="BQO127" s="751"/>
      <c r="BQP127" s="751"/>
      <c r="BQQ127" s="751"/>
      <c r="BQR127" s="751"/>
      <c r="BQS127" s="751"/>
      <c r="BQT127" s="751"/>
      <c r="BQU127" s="751"/>
      <c r="BQV127" s="751"/>
      <c r="BQW127" s="751"/>
      <c r="BQX127" s="751"/>
      <c r="BQY127" s="751"/>
      <c r="BQZ127" s="751"/>
      <c r="BRA127" s="751"/>
      <c r="BRB127" s="751"/>
      <c r="BRC127" s="751"/>
      <c r="BRD127" s="751"/>
      <c r="BRE127" s="751"/>
      <c r="BRF127" s="751"/>
      <c r="BRG127" s="751"/>
      <c r="BRH127" s="751"/>
      <c r="BRI127" s="751"/>
      <c r="BRJ127" s="751"/>
      <c r="BRK127" s="751"/>
      <c r="BRL127" s="751"/>
      <c r="BRM127" s="751"/>
      <c r="BRN127" s="751"/>
      <c r="BRO127" s="751"/>
      <c r="BRP127" s="751"/>
      <c r="BRQ127" s="751"/>
      <c r="BRR127" s="751"/>
      <c r="BRS127" s="751"/>
      <c r="BRT127" s="751"/>
      <c r="BRU127" s="751"/>
      <c r="BRV127" s="751"/>
      <c r="BRW127" s="751"/>
      <c r="BRX127" s="751"/>
      <c r="BRY127" s="751"/>
      <c r="BRZ127" s="751"/>
      <c r="BSA127" s="751"/>
      <c r="BSB127" s="751"/>
      <c r="BSC127" s="751"/>
      <c r="BSD127" s="751"/>
      <c r="BSE127" s="751"/>
      <c r="BSF127" s="751"/>
      <c r="BSG127" s="751"/>
      <c r="BSH127" s="751"/>
      <c r="BSI127" s="751"/>
      <c r="BSJ127" s="751"/>
      <c r="BSK127" s="751"/>
      <c r="BSL127" s="751"/>
      <c r="BSM127" s="751"/>
      <c r="BSN127" s="751"/>
      <c r="BSO127" s="751"/>
      <c r="BSP127" s="751"/>
      <c r="BSQ127" s="751"/>
      <c r="BSR127" s="751"/>
      <c r="BSS127" s="751"/>
      <c r="BST127" s="751"/>
      <c r="BSU127" s="751"/>
      <c r="BSV127" s="751"/>
      <c r="BSW127" s="751"/>
      <c r="BSX127" s="751"/>
      <c r="BSY127" s="751"/>
      <c r="BSZ127" s="751"/>
      <c r="BTA127" s="751"/>
      <c r="BTB127" s="751"/>
      <c r="BTC127" s="751"/>
      <c r="BTD127" s="751"/>
      <c r="BTE127" s="751"/>
      <c r="BTF127" s="751"/>
      <c r="BTG127" s="751"/>
      <c r="BTH127" s="751"/>
      <c r="BTI127" s="751"/>
      <c r="BTJ127" s="751"/>
      <c r="BTK127" s="751"/>
      <c r="BTL127" s="751"/>
      <c r="BTM127" s="751"/>
      <c r="BTN127" s="751"/>
      <c r="BTO127" s="751"/>
      <c r="BTP127" s="751"/>
      <c r="BTQ127" s="751"/>
      <c r="BTR127" s="751"/>
      <c r="BTS127" s="751"/>
      <c r="BTT127" s="751"/>
      <c r="BTU127" s="751"/>
      <c r="BTV127" s="751"/>
      <c r="BTW127" s="751"/>
      <c r="BTX127" s="751"/>
      <c r="BTY127" s="751"/>
      <c r="BTZ127" s="751"/>
      <c r="BUA127" s="751"/>
      <c r="BUB127" s="751"/>
      <c r="BUC127" s="751"/>
      <c r="BUD127" s="751"/>
      <c r="BUE127" s="751"/>
      <c r="BUF127" s="751"/>
      <c r="BUG127" s="751"/>
      <c r="BUH127" s="751"/>
      <c r="BUI127" s="751"/>
      <c r="BUJ127" s="751"/>
      <c r="BUK127" s="751"/>
      <c r="BUL127" s="751"/>
      <c r="BUM127" s="751"/>
      <c r="BUN127" s="751"/>
      <c r="BUO127" s="751"/>
      <c r="BUP127" s="751"/>
      <c r="BUQ127" s="751"/>
      <c r="BUR127" s="751"/>
      <c r="BUS127" s="751"/>
      <c r="BUT127" s="751"/>
      <c r="BUU127" s="751"/>
      <c r="BUV127" s="751"/>
      <c r="BUW127" s="751"/>
      <c r="BUX127" s="751"/>
      <c r="BUY127" s="751"/>
      <c r="BUZ127" s="751"/>
      <c r="BVA127" s="751"/>
      <c r="BVB127" s="751"/>
      <c r="BVC127" s="751"/>
      <c r="BVD127" s="751"/>
      <c r="BVE127" s="751"/>
      <c r="BVF127" s="751"/>
      <c r="BVG127" s="751"/>
      <c r="BVH127" s="751"/>
      <c r="BVI127" s="751"/>
      <c r="BVJ127" s="751"/>
      <c r="BVK127" s="751"/>
      <c r="BVL127" s="751"/>
      <c r="BVM127" s="751"/>
      <c r="BVN127" s="751"/>
      <c r="BVO127" s="751"/>
      <c r="BVP127" s="751"/>
      <c r="BVQ127" s="751"/>
      <c r="BVR127" s="751"/>
      <c r="BVS127" s="751"/>
      <c r="BVT127" s="751"/>
      <c r="BVU127" s="751"/>
      <c r="BVV127" s="751"/>
      <c r="BVW127" s="751"/>
      <c r="BVX127" s="751"/>
      <c r="BVY127" s="751"/>
      <c r="BVZ127" s="751"/>
      <c r="BWA127" s="751"/>
      <c r="BWB127" s="751"/>
      <c r="BWC127" s="751"/>
      <c r="BWD127" s="751"/>
      <c r="BWE127" s="751"/>
      <c r="BWF127" s="751"/>
      <c r="BWG127" s="751"/>
      <c r="BWH127" s="751"/>
      <c r="BWI127" s="751"/>
      <c r="BWJ127" s="751"/>
      <c r="BWK127" s="751"/>
      <c r="BWL127" s="751"/>
      <c r="BWM127" s="751"/>
      <c r="BWN127" s="751"/>
      <c r="BWO127" s="751"/>
      <c r="BWP127" s="751"/>
      <c r="BWQ127" s="751"/>
      <c r="BWR127" s="751"/>
      <c r="BWS127" s="751"/>
      <c r="BWT127" s="751"/>
      <c r="BWU127" s="751"/>
      <c r="BWV127" s="751"/>
      <c r="BWW127" s="751"/>
      <c r="BWX127" s="751"/>
      <c r="BWY127" s="751"/>
      <c r="BWZ127" s="751"/>
      <c r="BXA127" s="751"/>
      <c r="BXB127" s="751"/>
      <c r="BXC127" s="751"/>
      <c r="BXD127" s="751"/>
      <c r="BXE127" s="751"/>
      <c r="BXF127" s="751"/>
      <c r="BXG127" s="751"/>
      <c r="BXH127" s="751"/>
      <c r="BXI127" s="751"/>
      <c r="BXJ127" s="751"/>
      <c r="BXK127" s="751"/>
      <c r="BXL127" s="751"/>
      <c r="BXM127" s="751"/>
      <c r="BXN127" s="751"/>
      <c r="BXO127" s="751"/>
      <c r="BXP127" s="751"/>
      <c r="BXQ127" s="751"/>
      <c r="BXR127" s="751"/>
      <c r="BXS127" s="751"/>
      <c r="BXT127" s="751"/>
      <c r="BXU127" s="751"/>
      <c r="BXV127" s="751"/>
      <c r="BXW127" s="751"/>
      <c r="BXX127" s="751"/>
      <c r="BXY127" s="751"/>
      <c r="BXZ127" s="751"/>
      <c r="BYA127" s="751"/>
      <c r="BYB127" s="751"/>
      <c r="BYC127" s="751"/>
      <c r="BYD127" s="751"/>
      <c r="BYE127" s="751"/>
      <c r="BYF127" s="751"/>
      <c r="BYG127" s="751"/>
      <c r="BYH127" s="751"/>
      <c r="BYI127" s="751"/>
      <c r="BYJ127" s="751"/>
      <c r="BYK127" s="751"/>
      <c r="BYL127" s="751"/>
      <c r="BYM127" s="751"/>
      <c r="BYN127" s="751"/>
      <c r="BYO127" s="751"/>
      <c r="BYP127" s="751"/>
      <c r="BYQ127" s="751"/>
      <c r="BYR127" s="751"/>
      <c r="BYS127" s="751"/>
      <c r="BYT127" s="751"/>
      <c r="BYU127" s="751"/>
      <c r="BYV127" s="751"/>
      <c r="BYW127" s="751"/>
      <c r="BYX127" s="751"/>
      <c r="BYY127" s="751"/>
      <c r="BYZ127" s="751"/>
      <c r="BZA127" s="751"/>
      <c r="BZB127" s="751"/>
      <c r="BZC127" s="751"/>
      <c r="BZD127" s="751"/>
      <c r="BZE127" s="751"/>
      <c r="BZF127" s="751"/>
      <c r="BZG127" s="751"/>
      <c r="BZH127" s="751"/>
      <c r="BZI127" s="751"/>
      <c r="BZJ127" s="751"/>
      <c r="BZK127" s="751"/>
      <c r="BZL127" s="751"/>
      <c r="BZM127" s="751"/>
      <c r="BZN127" s="751"/>
      <c r="BZO127" s="751"/>
      <c r="BZP127" s="751"/>
      <c r="BZQ127" s="751"/>
      <c r="BZR127" s="751"/>
      <c r="BZS127" s="751"/>
      <c r="BZT127" s="751"/>
      <c r="BZU127" s="751"/>
      <c r="BZV127" s="751"/>
      <c r="BZW127" s="751"/>
      <c r="BZX127" s="751"/>
      <c r="BZY127" s="751"/>
      <c r="BZZ127" s="751"/>
      <c r="CAA127" s="751"/>
      <c r="CAB127" s="751"/>
      <c r="CAC127" s="751"/>
      <c r="CAD127" s="751"/>
      <c r="CAE127" s="751"/>
      <c r="CAF127" s="751"/>
      <c r="CAG127" s="751"/>
      <c r="CAH127" s="751"/>
      <c r="CAI127" s="751"/>
      <c r="CAJ127" s="751"/>
      <c r="CAK127" s="751"/>
      <c r="CAL127" s="751"/>
      <c r="CAM127" s="751"/>
      <c r="CAN127" s="751"/>
      <c r="CAO127" s="751"/>
      <c r="CAP127" s="751"/>
      <c r="CAQ127" s="751"/>
      <c r="CAR127" s="751"/>
      <c r="CAS127" s="751"/>
      <c r="CAT127" s="751"/>
      <c r="CAU127" s="751"/>
      <c r="CAV127" s="751"/>
      <c r="CAW127" s="751"/>
      <c r="CAX127" s="751"/>
      <c r="CAY127" s="751"/>
      <c r="CAZ127" s="751"/>
      <c r="CBA127" s="751"/>
      <c r="CBB127" s="751"/>
      <c r="CBC127" s="751"/>
      <c r="CBD127" s="751"/>
      <c r="CBE127" s="751"/>
      <c r="CBF127" s="751"/>
      <c r="CBG127" s="751"/>
      <c r="CBH127" s="751"/>
      <c r="CBI127" s="751"/>
      <c r="CBJ127" s="751"/>
      <c r="CBK127" s="751"/>
      <c r="CBL127" s="751"/>
      <c r="CBM127" s="751"/>
      <c r="CBN127" s="751"/>
      <c r="CBO127" s="751"/>
      <c r="CBP127" s="751"/>
      <c r="CBQ127" s="751"/>
      <c r="CBR127" s="751"/>
      <c r="CBS127" s="751"/>
      <c r="CBT127" s="751"/>
      <c r="CBU127" s="751"/>
      <c r="CBV127" s="751"/>
      <c r="CBW127" s="751"/>
      <c r="CBX127" s="751"/>
      <c r="CBY127" s="751"/>
      <c r="CBZ127" s="751"/>
      <c r="CCA127" s="751"/>
      <c r="CCB127" s="751"/>
      <c r="CCC127" s="751"/>
      <c r="CCD127" s="751"/>
      <c r="CCE127" s="751"/>
      <c r="CCF127" s="751"/>
      <c r="CCG127" s="751"/>
      <c r="CCH127" s="751"/>
      <c r="CCI127" s="751"/>
      <c r="CCJ127" s="751"/>
      <c r="CCK127" s="751"/>
      <c r="CCL127" s="751"/>
      <c r="CCM127" s="751"/>
      <c r="CCN127" s="751"/>
      <c r="CCO127" s="751"/>
      <c r="CCP127" s="751"/>
      <c r="CCQ127" s="751"/>
      <c r="CCR127" s="751"/>
      <c r="CCS127" s="751"/>
      <c r="CCT127" s="751"/>
      <c r="CCU127" s="751"/>
      <c r="CCV127" s="751"/>
      <c r="CCW127" s="751"/>
      <c r="CCX127" s="751"/>
      <c r="CCY127" s="751"/>
      <c r="CCZ127" s="751"/>
      <c r="CDA127" s="751"/>
      <c r="CDB127" s="751"/>
      <c r="CDC127" s="751"/>
      <c r="CDD127" s="751"/>
      <c r="CDE127" s="751"/>
      <c r="CDF127" s="751"/>
      <c r="CDG127" s="751"/>
      <c r="CDH127" s="751"/>
      <c r="CDI127" s="751"/>
      <c r="CDJ127" s="751"/>
      <c r="CDK127" s="751"/>
      <c r="CDL127" s="751"/>
      <c r="CDM127" s="751"/>
      <c r="CDN127" s="751"/>
      <c r="CDO127" s="751"/>
      <c r="CDP127" s="751"/>
      <c r="CDQ127" s="751"/>
      <c r="CDR127" s="751"/>
      <c r="CDS127" s="751"/>
      <c r="CDT127" s="751"/>
      <c r="CDU127" s="751"/>
      <c r="CDV127" s="751"/>
      <c r="CDW127" s="751"/>
      <c r="CDX127" s="751"/>
      <c r="CDY127" s="751"/>
      <c r="CDZ127" s="751"/>
      <c r="CEA127" s="751"/>
      <c r="CEB127" s="751"/>
      <c r="CEC127" s="751"/>
      <c r="CED127" s="751"/>
      <c r="CEE127" s="751"/>
      <c r="CEF127" s="751"/>
      <c r="CEG127" s="751"/>
      <c r="CEH127" s="751"/>
      <c r="CEI127" s="751"/>
      <c r="CEJ127" s="751"/>
      <c r="CEK127" s="751"/>
      <c r="CEL127" s="751"/>
      <c r="CEM127" s="751"/>
      <c r="CEN127" s="751"/>
      <c r="CEO127" s="751"/>
      <c r="CEP127" s="751"/>
      <c r="CEQ127" s="751"/>
      <c r="CER127" s="751"/>
      <c r="CES127" s="751"/>
      <c r="CET127" s="751"/>
      <c r="CEU127" s="751"/>
      <c r="CEV127" s="751"/>
      <c r="CEW127" s="751"/>
      <c r="CEX127" s="751"/>
      <c r="CEY127" s="751"/>
      <c r="CEZ127" s="751"/>
      <c r="CFA127" s="751"/>
      <c r="CFB127" s="751"/>
      <c r="CFC127" s="751"/>
      <c r="CFD127" s="751"/>
      <c r="CFE127" s="751"/>
      <c r="CFF127" s="751"/>
      <c r="CFG127" s="751"/>
      <c r="CFH127" s="751"/>
      <c r="CFI127" s="751"/>
      <c r="CFJ127" s="751"/>
      <c r="CFK127" s="751"/>
      <c r="CFL127" s="751"/>
      <c r="CFM127" s="751"/>
      <c r="CFN127" s="751"/>
      <c r="CFO127" s="751"/>
      <c r="CFP127" s="751"/>
      <c r="CFQ127" s="751"/>
      <c r="CFR127" s="751"/>
      <c r="CFS127" s="751"/>
      <c r="CFT127" s="751"/>
      <c r="CFU127" s="751"/>
      <c r="CFV127" s="751"/>
      <c r="CFW127" s="751"/>
      <c r="CFX127" s="751"/>
      <c r="CFY127" s="751"/>
      <c r="CFZ127" s="751"/>
      <c r="CGA127" s="751"/>
      <c r="CGB127" s="751"/>
      <c r="CGC127" s="751"/>
      <c r="CGD127" s="751"/>
      <c r="CGE127" s="751"/>
      <c r="CGF127" s="751"/>
      <c r="CGG127" s="751"/>
      <c r="CGH127" s="751"/>
      <c r="CGI127" s="751"/>
      <c r="CGJ127" s="751"/>
      <c r="CGK127" s="751"/>
      <c r="CGL127" s="751"/>
      <c r="CGM127" s="751"/>
      <c r="CGN127" s="751"/>
      <c r="CGO127" s="751"/>
      <c r="CGP127" s="751"/>
      <c r="CGQ127" s="751"/>
      <c r="CGR127" s="751"/>
      <c r="CGS127" s="751"/>
      <c r="CGT127" s="751"/>
      <c r="CGU127" s="751"/>
      <c r="CGV127" s="751"/>
      <c r="CGW127" s="751"/>
      <c r="CGX127" s="751"/>
      <c r="CGY127" s="751"/>
      <c r="CGZ127" s="751"/>
      <c r="CHA127" s="751"/>
      <c r="CHB127" s="751"/>
      <c r="CHC127" s="751"/>
      <c r="CHD127" s="751"/>
      <c r="CHE127" s="751"/>
      <c r="CHF127" s="751"/>
      <c r="CHG127" s="751"/>
      <c r="CHH127" s="751"/>
      <c r="CHI127" s="751"/>
      <c r="CHJ127" s="751"/>
      <c r="CHK127" s="751"/>
      <c r="CHL127" s="751"/>
      <c r="CHM127" s="751"/>
      <c r="CHN127" s="751"/>
      <c r="CHO127" s="751"/>
      <c r="CHP127" s="751"/>
      <c r="CHQ127" s="751"/>
      <c r="CHR127" s="751"/>
      <c r="CHS127" s="751"/>
      <c r="CHT127" s="751"/>
      <c r="CHU127" s="751"/>
      <c r="CHV127" s="751"/>
      <c r="CHW127" s="751"/>
      <c r="CHX127" s="751"/>
      <c r="CHY127" s="751"/>
      <c r="CHZ127" s="751"/>
      <c r="CIA127" s="751"/>
      <c r="CIB127" s="751"/>
      <c r="CIC127" s="751"/>
      <c r="CID127" s="751"/>
      <c r="CIE127" s="751"/>
      <c r="CIF127" s="751"/>
      <c r="CIG127" s="751"/>
      <c r="CIH127" s="751"/>
      <c r="CII127" s="751"/>
      <c r="CIJ127" s="751"/>
      <c r="CIK127" s="751"/>
      <c r="CIL127" s="751"/>
      <c r="CIM127" s="751"/>
      <c r="CIN127" s="751"/>
      <c r="CIO127" s="751"/>
      <c r="CIP127" s="751"/>
      <c r="CIQ127" s="751"/>
      <c r="CIR127" s="751"/>
      <c r="CIS127" s="751"/>
      <c r="CIT127" s="751"/>
      <c r="CIU127" s="751"/>
      <c r="CIV127" s="751"/>
      <c r="CIW127" s="751"/>
      <c r="CIX127" s="751"/>
      <c r="CIY127" s="751"/>
      <c r="CIZ127" s="751"/>
      <c r="CJA127" s="751"/>
      <c r="CJB127" s="751"/>
      <c r="CJC127" s="751"/>
      <c r="CJD127" s="751"/>
      <c r="CJE127" s="751"/>
      <c r="CJF127" s="751"/>
      <c r="CJG127" s="751"/>
      <c r="CJH127" s="751"/>
      <c r="CJI127" s="751"/>
      <c r="CJJ127" s="751"/>
      <c r="CJK127" s="751"/>
      <c r="CJL127" s="751"/>
      <c r="CJM127" s="751"/>
      <c r="CJN127" s="751"/>
      <c r="CJO127" s="751"/>
      <c r="CJP127" s="751"/>
      <c r="CJQ127" s="751"/>
      <c r="CJR127" s="751"/>
      <c r="CJS127" s="751"/>
      <c r="CJT127" s="751"/>
      <c r="CJU127" s="751"/>
      <c r="CJV127" s="751"/>
      <c r="CJW127" s="751"/>
      <c r="CJX127" s="751"/>
      <c r="CJY127" s="751"/>
      <c r="CJZ127" s="751"/>
      <c r="CKA127" s="751"/>
      <c r="CKB127" s="751"/>
      <c r="CKC127" s="751"/>
      <c r="CKD127" s="751"/>
      <c r="CKE127" s="751"/>
      <c r="CKF127" s="751"/>
      <c r="CKG127" s="751"/>
      <c r="CKH127" s="751"/>
      <c r="CKI127" s="751"/>
      <c r="CKJ127" s="751"/>
      <c r="CKK127" s="751"/>
      <c r="CKL127" s="751"/>
      <c r="CKM127" s="751"/>
      <c r="CKN127" s="751"/>
      <c r="CKO127" s="751"/>
      <c r="CKP127" s="751"/>
      <c r="CKQ127" s="751"/>
      <c r="CKR127" s="751"/>
      <c r="CKS127" s="751"/>
      <c r="CKT127" s="751"/>
      <c r="CKU127" s="751"/>
      <c r="CKV127" s="751"/>
      <c r="CKW127" s="751"/>
      <c r="CKX127" s="751"/>
      <c r="CKY127" s="751"/>
      <c r="CKZ127" s="751"/>
      <c r="CLA127" s="751"/>
      <c r="CLB127" s="751"/>
      <c r="CLC127" s="751"/>
      <c r="CLD127" s="751"/>
      <c r="CLE127" s="751"/>
      <c r="CLF127" s="751"/>
      <c r="CLG127" s="751"/>
      <c r="CLH127" s="751"/>
      <c r="CLI127" s="751"/>
      <c r="CLJ127" s="751"/>
      <c r="CLK127" s="751"/>
      <c r="CLL127" s="751"/>
      <c r="CLM127" s="751"/>
      <c r="CLN127" s="751"/>
      <c r="CLO127" s="751"/>
      <c r="CLP127" s="751"/>
      <c r="CLQ127" s="751"/>
      <c r="CLR127" s="751"/>
      <c r="CLS127" s="751"/>
      <c r="CLT127" s="751"/>
      <c r="CLU127" s="751"/>
      <c r="CLV127" s="751"/>
      <c r="CLW127" s="751"/>
      <c r="CLX127" s="751"/>
      <c r="CLY127" s="751"/>
      <c r="CLZ127" s="751"/>
      <c r="CMA127" s="751"/>
      <c r="CMB127" s="751"/>
      <c r="CMC127" s="751"/>
      <c r="CMD127" s="751"/>
      <c r="CME127" s="751"/>
      <c r="CMF127" s="751"/>
      <c r="CMG127" s="751"/>
      <c r="CMH127" s="751"/>
      <c r="CMI127" s="751"/>
      <c r="CMJ127" s="751"/>
      <c r="CMK127" s="751"/>
      <c r="CML127" s="751"/>
      <c r="CMM127" s="751"/>
      <c r="CMN127" s="751"/>
      <c r="CMO127" s="751"/>
      <c r="CMP127" s="751"/>
      <c r="CMQ127" s="751"/>
      <c r="CMR127" s="751"/>
      <c r="CMS127" s="751"/>
      <c r="CMT127" s="751"/>
      <c r="CMU127" s="751"/>
      <c r="CMV127" s="751"/>
      <c r="CMW127" s="751"/>
      <c r="CMX127" s="751"/>
      <c r="CMY127" s="751"/>
      <c r="CMZ127" s="751"/>
      <c r="CNA127" s="751"/>
      <c r="CNB127" s="751"/>
      <c r="CNC127" s="751"/>
      <c r="CND127" s="751"/>
      <c r="CNE127" s="751"/>
      <c r="CNF127" s="751"/>
      <c r="CNG127" s="751"/>
      <c r="CNH127" s="751"/>
      <c r="CNI127" s="751"/>
      <c r="CNJ127" s="751"/>
      <c r="CNK127" s="751"/>
      <c r="CNL127" s="751"/>
      <c r="CNM127" s="751"/>
      <c r="CNN127" s="751"/>
      <c r="CNO127" s="751"/>
      <c r="CNP127" s="751"/>
      <c r="CNQ127" s="751"/>
      <c r="CNR127" s="751"/>
      <c r="CNS127" s="751"/>
      <c r="CNT127" s="751"/>
      <c r="CNU127" s="751"/>
      <c r="CNV127" s="751"/>
      <c r="CNW127" s="751"/>
      <c r="CNX127" s="751"/>
      <c r="CNY127" s="751"/>
      <c r="CNZ127" s="751"/>
      <c r="COA127" s="751"/>
      <c r="COB127" s="751"/>
      <c r="COC127" s="751"/>
      <c r="COD127" s="751"/>
      <c r="COE127" s="751"/>
      <c r="COF127" s="751"/>
      <c r="COG127" s="751"/>
      <c r="COH127" s="751"/>
      <c r="COI127" s="751"/>
      <c r="COJ127" s="751"/>
      <c r="COK127" s="751"/>
      <c r="COL127" s="751"/>
      <c r="COM127" s="751"/>
      <c r="CON127" s="751"/>
      <c r="COO127" s="751"/>
      <c r="COP127" s="751"/>
      <c r="COQ127" s="751"/>
      <c r="COR127" s="751"/>
      <c r="COS127" s="751"/>
      <c r="COT127" s="751"/>
      <c r="COU127" s="751"/>
      <c r="COV127" s="751"/>
      <c r="COW127" s="751"/>
      <c r="COX127" s="751"/>
      <c r="COY127" s="751"/>
      <c r="COZ127" s="751"/>
      <c r="CPA127" s="751"/>
      <c r="CPB127" s="751"/>
      <c r="CPC127" s="751"/>
      <c r="CPD127" s="751"/>
      <c r="CPE127" s="751"/>
      <c r="CPF127" s="751"/>
      <c r="CPG127" s="751"/>
      <c r="CPH127" s="751"/>
      <c r="CPI127" s="751"/>
      <c r="CPJ127" s="751"/>
      <c r="CPK127" s="751"/>
      <c r="CPL127" s="751"/>
      <c r="CPM127" s="751"/>
      <c r="CPN127" s="751"/>
      <c r="CPO127" s="751"/>
      <c r="CPP127" s="751"/>
      <c r="CPQ127" s="751"/>
      <c r="CPR127" s="751"/>
      <c r="CPS127" s="751"/>
      <c r="CPT127" s="751"/>
      <c r="CPU127" s="751"/>
      <c r="CPV127" s="751"/>
      <c r="CPW127" s="751"/>
      <c r="CPX127" s="751"/>
      <c r="CPY127" s="751"/>
      <c r="CPZ127" s="751"/>
      <c r="CQA127" s="751"/>
      <c r="CQB127" s="751"/>
      <c r="CQC127" s="751"/>
      <c r="CQD127" s="751"/>
      <c r="CQE127" s="751"/>
      <c r="CQF127" s="751"/>
      <c r="CQG127" s="751"/>
      <c r="CQH127" s="751"/>
      <c r="CQI127" s="751"/>
      <c r="CQJ127" s="751"/>
      <c r="CQK127" s="751"/>
      <c r="CQL127" s="751"/>
      <c r="CQM127" s="751"/>
      <c r="CQN127" s="751"/>
      <c r="CQO127" s="751"/>
      <c r="CQP127" s="751"/>
      <c r="CQQ127" s="751"/>
      <c r="CQR127" s="751"/>
      <c r="CQS127" s="751"/>
      <c r="CQT127" s="751"/>
      <c r="CQU127" s="751"/>
      <c r="CQV127" s="751"/>
      <c r="CQW127" s="751"/>
      <c r="CQX127" s="751"/>
      <c r="CQY127" s="751"/>
      <c r="CQZ127" s="751"/>
      <c r="CRA127" s="751"/>
      <c r="CRB127" s="751"/>
      <c r="CRC127" s="751"/>
      <c r="CRD127" s="751"/>
      <c r="CRE127" s="751"/>
      <c r="CRF127" s="751"/>
      <c r="CRG127" s="751"/>
      <c r="CRH127" s="751"/>
      <c r="CRI127" s="751"/>
      <c r="CRJ127" s="751"/>
      <c r="CRK127" s="751"/>
      <c r="CRL127" s="751"/>
      <c r="CRM127" s="751"/>
      <c r="CRN127" s="751"/>
      <c r="CRO127" s="751"/>
      <c r="CRP127" s="751"/>
      <c r="CRQ127" s="751"/>
      <c r="CRR127" s="751"/>
      <c r="CRS127" s="751"/>
      <c r="CRT127" s="751"/>
      <c r="CRU127" s="751"/>
      <c r="CRV127" s="751"/>
      <c r="CRW127" s="751"/>
      <c r="CRX127" s="751"/>
      <c r="CRY127" s="751"/>
      <c r="CRZ127" s="751"/>
      <c r="CSA127" s="751"/>
      <c r="CSB127" s="751"/>
      <c r="CSC127" s="751"/>
      <c r="CSD127" s="751"/>
      <c r="CSE127" s="751"/>
      <c r="CSF127" s="751"/>
      <c r="CSG127" s="751"/>
      <c r="CSH127" s="751"/>
      <c r="CSI127" s="751"/>
      <c r="CSJ127" s="751"/>
      <c r="CSK127" s="751"/>
      <c r="CSL127" s="751"/>
      <c r="CSM127" s="751"/>
      <c r="CSN127" s="751"/>
      <c r="CSO127" s="751"/>
      <c r="CSP127" s="751"/>
      <c r="CSQ127" s="751"/>
      <c r="CSR127" s="751"/>
      <c r="CSS127" s="751"/>
      <c r="CST127" s="751"/>
      <c r="CSU127" s="751"/>
      <c r="CSV127" s="751"/>
      <c r="CSW127" s="751"/>
      <c r="CSX127" s="751"/>
      <c r="CSY127" s="751"/>
      <c r="CSZ127" s="751"/>
      <c r="CTA127" s="751"/>
      <c r="CTB127" s="751"/>
      <c r="CTC127" s="751"/>
      <c r="CTD127" s="751"/>
      <c r="CTE127" s="751"/>
      <c r="CTF127" s="751"/>
      <c r="CTG127" s="751"/>
      <c r="CTH127" s="751"/>
      <c r="CTI127" s="751"/>
      <c r="CTJ127" s="751"/>
      <c r="CTK127" s="751"/>
      <c r="CTL127" s="751"/>
      <c r="CTM127" s="751"/>
      <c r="CTN127" s="751"/>
      <c r="CTO127" s="751"/>
      <c r="CTP127" s="751"/>
      <c r="CTQ127" s="751"/>
      <c r="CTR127" s="751"/>
      <c r="CTS127" s="751"/>
      <c r="CTT127" s="751"/>
      <c r="CTU127" s="751"/>
      <c r="CTV127" s="751"/>
      <c r="CTW127" s="751"/>
      <c r="CTX127" s="751"/>
      <c r="CTY127" s="751"/>
      <c r="CTZ127" s="751"/>
      <c r="CUA127" s="751"/>
      <c r="CUB127" s="751"/>
      <c r="CUC127" s="751"/>
      <c r="CUD127" s="751"/>
      <c r="CUE127" s="751"/>
      <c r="CUF127" s="751"/>
      <c r="CUG127" s="751"/>
      <c r="CUH127" s="751"/>
      <c r="CUI127" s="751"/>
      <c r="CUJ127" s="751"/>
      <c r="CUK127" s="751"/>
      <c r="CUL127" s="751"/>
      <c r="CUM127" s="751"/>
      <c r="CUN127" s="751"/>
      <c r="CUO127" s="751"/>
      <c r="CUP127" s="751"/>
      <c r="CUQ127" s="751"/>
      <c r="CUR127" s="751"/>
      <c r="CUS127" s="751"/>
      <c r="CUT127" s="751"/>
      <c r="CUU127" s="751"/>
      <c r="CUV127" s="751"/>
      <c r="CUW127" s="751"/>
      <c r="CUX127" s="751"/>
      <c r="CUY127" s="751"/>
      <c r="CUZ127" s="751"/>
      <c r="CVA127" s="751"/>
      <c r="CVB127" s="751"/>
      <c r="CVC127" s="751"/>
      <c r="CVD127" s="751"/>
      <c r="CVE127" s="751"/>
      <c r="CVF127" s="751"/>
      <c r="CVG127" s="751"/>
      <c r="CVH127" s="751"/>
      <c r="CVI127" s="751"/>
      <c r="CVJ127" s="751"/>
      <c r="CVK127" s="751"/>
      <c r="CVL127" s="751"/>
      <c r="CVM127" s="751"/>
      <c r="CVN127" s="751"/>
      <c r="CVO127" s="751"/>
      <c r="CVP127" s="751"/>
      <c r="CVQ127" s="751"/>
      <c r="CVR127" s="751"/>
      <c r="CVS127" s="751"/>
      <c r="CVT127" s="751"/>
      <c r="CVU127" s="751"/>
      <c r="CVV127" s="751"/>
      <c r="CVW127" s="751"/>
      <c r="CVX127" s="751"/>
      <c r="CVY127" s="751"/>
      <c r="CVZ127" s="751"/>
      <c r="CWA127" s="751"/>
      <c r="CWB127" s="751"/>
      <c r="CWC127" s="751"/>
      <c r="CWD127" s="751"/>
      <c r="CWE127" s="751"/>
      <c r="CWF127" s="751"/>
      <c r="CWG127" s="751"/>
      <c r="CWH127" s="751"/>
      <c r="CWI127" s="751"/>
      <c r="CWJ127" s="751"/>
      <c r="CWK127" s="751"/>
      <c r="CWL127" s="751"/>
      <c r="CWM127" s="751"/>
      <c r="CWN127" s="751"/>
      <c r="CWO127" s="751"/>
      <c r="CWP127" s="751"/>
      <c r="CWQ127" s="751"/>
      <c r="CWR127" s="751"/>
      <c r="CWS127" s="751"/>
      <c r="CWT127" s="751"/>
      <c r="CWU127" s="751"/>
      <c r="CWV127" s="751"/>
      <c r="CWW127" s="751"/>
      <c r="CWX127" s="751"/>
      <c r="CWY127" s="751"/>
      <c r="CWZ127" s="751"/>
      <c r="CXA127" s="751"/>
      <c r="CXB127" s="751"/>
      <c r="CXC127" s="751"/>
      <c r="CXD127" s="751"/>
      <c r="CXE127" s="751"/>
      <c r="CXF127" s="751"/>
      <c r="CXG127" s="751"/>
      <c r="CXH127" s="751"/>
      <c r="CXI127" s="751"/>
      <c r="CXJ127" s="751"/>
      <c r="CXK127" s="751"/>
      <c r="CXL127" s="751"/>
      <c r="CXM127" s="751"/>
      <c r="CXN127" s="751"/>
      <c r="CXO127" s="751"/>
      <c r="CXP127" s="751"/>
      <c r="CXQ127" s="751"/>
      <c r="CXR127" s="751"/>
      <c r="CXS127" s="751"/>
      <c r="CXT127" s="751"/>
      <c r="CXU127" s="751"/>
      <c r="CXV127" s="751"/>
      <c r="CXW127" s="751"/>
      <c r="CXX127" s="751"/>
      <c r="CXY127" s="751"/>
      <c r="CXZ127" s="751"/>
      <c r="CYA127" s="751"/>
      <c r="CYB127" s="751"/>
      <c r="CYC127" s="751"/>
      <c r="CYD127" s="751"/>
      <c r="CYE127" s="751"/>
      <c r="CYF127" s="751"/>
      <c r="CYG127" s="751"/>
      <c r="CYH127" s="751"/>
      <c r="CYI127" s="751"/>
      <c r="CYJ127" s="751"/>
      <c r="CYK127" s="751"/>
      <c r="CYL127" s="751"/>
      <c r="CYM127" s="751"/>
      <c r="CYN127" s="751"/>
      <c r="CYO127" s="751"/>
      <c r="CYP127" s="751"/>
      <c r="CYQ127" s="751"/>
      <c r="CYR127" s="751"/>
      <c r="CYS127" s="751"/>
      <c r="CYT127" s="751"/>
      <c r="CYU127" s="751"/>
      <c r="CYV127" s="751"/>
      <c r="CYW127" s="751"/>
      <c r="CYX127" s="751"/>
      <c r="CYY127" s="751"/>
      <c r="CYZ127" s="751"/>
      <c r="CZA127" s="751"/>
      <c r="CZB127" s="751"/>
      <c r="CZC127" s="751"/>
      <c r="CZD127" s="751"/>
      <c r="CZE127" s="751"/>
      <c r="CZF127" s="751"/>
      <c r="CZG127" s="751"/>
      <c r="CZH127" s="751"/>
      <c r="CZI127" s="751"/>
      <c r="CZJ127" s="751"/>
      <c r="CZK127" s="751"/>
      <c r="CZL127" s="751"/>
      <c r="CZM127" s="751"/>
      <c r="CZN127" s="751"/>
      <c r="CZO127" s="751"/>
      <c r="CZP127" s="751"/>
      <c r="CZQ127" s="751"/>
      <c r="CZR127" s="751"/>
      <c r="CZS127" s="751"/>
      <c r="CZT127" s="751"/>
      <c r="CZU127" s="751"/>
      <c r="CZV127" s="751"/>
      <c r="CZW127" s="751"/>
      <c r="CZX127" s="751"/>
      <c r="CZY127" s="751"/>
      <c r="CZZ127" s="751"/>
      <c r="DAA127" s="751"/>
      <c r="DAB127" s="751"/>
      <c r="DAC127" s="751"/>
      <c r="DAD127" s="751"/>
      <c r="DAE127" s="751"/>
      <c r="DAF127" s="751"/>
      <c r="DAG127" s="751"/>
      <c r="DAH127" s="751"/>
      <c r="DAI127" s="751"/>
      <c r="DAJ127" s="751"/>
      <c r="DAK127" s="751"/>
      <c r="DAL127" s="751"/>
      <c r="DAM127" s="751"/>
      <c r="DAN127" s="751"/>
      <c r="DAO127" s="751"/>
      <c r="DAP127" s="751"/>
      <c r="DAQ127" s="751"/>
      <c r="DAR127" s="751"/>
      <c r="DAS127" s="751"/>
      <c r="DAT127" s="751"/>
      <c r="DAU127" s="751"/>
      <c r="DAV127" s="751"/>
      <c r="DAW127" s="751"/>
      <c r="DAX127" s="751"/>
      <c r="DAY127" s="751"/>
      <c r="DAZ127" s="751"/>
      <c r="DBA127" s="751"/>
      <c r="DBB127" s="751"/>
      <c r="DBC127" s="751"/>
      <c r="DBD127" s="751"/>
      <c r="DBE127" s="751"/>
      <c r="DBF127" s="751"/>
      <c r="DBG127" s="751"/>
      <c r="DBH127" s="751"/>
      <c r="DBI127" s="751"/>
      <c r="DBJ127" s="751"/>
      <c r="DBK127" s="751"/>
      <c r="DBL127" s="751"/>
      <c r="DBM127" s="751"/>
      <c r="DBN127" s="751"/>
      <c r="DBO127" s="751"/>
      <c r="DBP127" s="751"/>
      <c r="DBQ127" s="751"/>
      <c r="DBR127" s="751"/>
      <c r="DBS127" s="751"/>
      <c r="DBT127" s="751"/>
      <c r="DBU127" s="751"/>
      <c r="DBV127" s="751"/>
      <c r="DBW127" s="751"/>
      <c r="DBX127" s="751"/>
      <c r="DBY127" s="751"/>
      <c r="DBZ127" s="751"/>
      <c r="DCA127" s="751"/>
      <c r="DCB127" s="751"/>
      <c r="DCC127" s="751"/>
      <c r="DCD127" s="751"/>
      <c r="DCE127" s="751"/>
      <c r="DCF127" s="751"/>
      <c r="DCG127" s="751"/>
      <c r="DCH127" s="751"/>
      <c r="DCI127" s="751"/>
      <c r="DCJ127" s="751"/>
      <c r="DCK127" s="751"/>
      <c r="DCL127" s="751"/>
      <c r="DCM127" s="751"/>
      <c r="DCN127" s="751"/>
      <c r="DCO127" s="751"/>
      <c r="DCP127" s="751"/>
      <c r="DCQ127" s="751"/>
      <c r="DCR127" s="751"/>
      <c r="DCS127" s="751"/>
      <c r="DCT127" s="751"/>
      <c r="DCU127" s="751"/>
      <c r="DCV127" s="751"/>
      <c r="DCW127" s="751"/>
      <c r="DCX127" s="751"/>
      <c r="DCY127" s="751"/>
      <c r="DCZ127" s="751"/>
      <c r="DDA127" s="751"/>
      <c r="DDB127" s="751"/>
      <c r="DDC127" s="751"/>
      <c r="DDD127" s="751"/>
      <c r="DDE127" s="751"/>
      <c r="DDF127" s="751"/>
      <c r="DDG127" s="751"/>
      <c r="DDH127" s="751"/>
      <c r="DDI127" s="751"/>
      <c r="DDJ127" s="751"/>
      <c r="DDK127" s="751"/>
      <c r="DDL127" s="751"/>
      <c r="DDM127" s="751"/>
      <c r="DDN127" s="751"/>
      <c r="DDO127" s="751"/>
      <c r="DDP127" s="751"/>
      <c r="DDQ127" s="751"/>
      <c r="DDR127" s="751"/>
      <c r="DDS127" s="751"/>
      <c r="DDT127" s="751"/>
      <c r="DDU127" s="751"/>
      <c r="DDV127" s="751"/>
      <c r="DDW127" s="751"/>
      <c r="DDX127" s="751"/>
      <c r="DDY127" s="751"/>
      <c r="DDZ127" s="751"/>
      <c r="DEA127" s="751"/>
      <c r="DEB127" s="751"/>
      <c r="DEC127" s="751"/>
      <c r="DED127" s="751"/>
      <c r="DEE127" s="751"/>
      <c r="DEF127" s="751"/>
      <c r="DEG127" s="751"/>
      <c r="DEH127" s="751"/>
      <c r="DEI127" s="751"/>
      <c r="DEJ127" s="751"/>
      <c r="DEK127" s="751"/>
      <c r="DEL127" s="751"/>
      <c r="DEM127" s="751"/>
      <c r="DEN127" s="751"/>
      <c r="DEO127" s="751"/>
      <c r="DEP127" s="751"/>
      <c r="DEQ127" s="751"/>
      <c r="DER127" s="751"/>
      <c r="DES127" s="751"/>
      <c r="DET127" s="751"/>
      <c r="DEU127" s="751"/>
      <c r="DEV127" s="751"/>
      <c r="DEW127" s="751"/>
      <c r="DEX127" s="751"/>
      <c r="DEY127" s="751"/>
      <c r="DEZ127" s="751"/>
      <c r="DFA127" s="751"/>
      <c r="DFB127" s="751"/>
      <c r="DFC127" s="751"/>
      <c r="DFD127" s="751"/>
      <c r="DFE127" s="751"/>
      <c r="DFF127" s="751"/>
      <c r="DFG127" s="751"/>
      <c r="DFH127" s="751"/>
      <c r="DFI127" s="751"/>
      <c r="DFJ127" s="751"/>
      <c r="DFK127" s="751"/>
      <c r="DFL127" s="751"/>
      <c r="DFM127" s="751"/>
      <c r="DFN127" s="751"/>
      <c r="DFO127" s="751"/>
      <c r="DFP127" s="751"/>
      <c r="DFQ127" s="751"/>
      <c r="DFR127" s="751"/>
      <c r="DFS127" s="751"/>
      <c r="DFT127" s="751"/>
      <c r="DFU127" s="751"/>
      <c r="DFV127" s="751"/>
      <c r="DFW127" s="751"/>
      <c r="DFX127" s="751"/>
      <c r="DFY127" s="751"/>
      <c r="DFZ127" s="751"/>
      <c r="DGA127" s="751"/>
      <c r="DGB127" s="751"/>
      <c r="DGC127" s="751"/>
      <c r="DGD127" s="751"/>
      <c r="DGE127" s="751"/>
      <c r="DGF127" s="751"/>
      <c r="DGG127" s="751"/>
      <c r="DGH127" s="751"/>
      <c r="DGI127" s="751"/>
      <c r="DGJ127" s="751"/>
      <c r="DGK127" s="751"/>
      <c r="DGL127" s="751"/>
      <c r="DGM127" s="751"/>
      <c r="DGN127" s="751"/>
      <c r="DGO127" s="751"/>
      <c r="DGP127" s="751"/>
      <c r="DGQ127" s="751"/>
      <c r="DGR127" s="751"/>
      <c r="DGS127" s="751"/>
      <c r="DGT127" s="751"/>
      <c r="DGU127" s="751"/>
      <c r="DGV127" s="751"/>
      <c r="DGW127" s="751"/>
      <c r="DGX127" s="751"/>
      <c r="DGY127" s="751"/>
      <c r="DGZ127" s="751"/>
      <c r="DHA127" s="751"/>
      <c r="DHB127" s="751"/>
      <c r="DHC127" s="751"/>
      <c r="DHD127" s="751"/>
      <c r="DHE127" s="751"/>
      <c r="DHF127" s="751"/>
      <c r="DHG127" s="751"/>
      <c r="DHH127" s="751"/>
      <c r="DHI127" s="751"/>
      <c r="DHJ127" s="751"/>
      <c r="DHK127" s="751"/>
      <c r="DHL127" s="751"/>
      <c r="DHM127" s="751"/>
      <c r="DHN127" s="751"/>
      <c r="DHO127" s="751"/>
      <c r="DHP127" s="751"/>
      <c r="DHQ127" s="751"/>
      <c r="DHR127" s="751"/>
      <c r="DHS127" s="751"/>
      <c r="DHT127" s="751"/>
      <c r="DHU127" s="751"/>
      <c r="DHV127" s="751"/>
      <c r="DHW127" s="751"/>
      <c r="DHX127" s="751"/>
      <c r="DHY127" s="751"/>
      <c r="DHZ127" s="751"/>
      <c r="DIA127" s="751"/>
      <c r="DIB127" s="751"/>
      <c r="DIC127" s="751"/>
      <c r="DID127" s="751"/>
      <c r="DIE127" s="751"/>
      <c r="DIF127" s="751"/>
      <c r="DIG127" s="751"/>
      <c r="DIH127" s="751"/>
      <c r="DII127" s="751"/>
      <c r="DIJ127" s="751"/>
      <c r="DIK127" s="751"/>
      <c r="DIL127" s="751"/>
      <c r="DIM127" s="751"/>
      <c r="DIN127" s="751"/>
      <c r="DIO127" s="751"/>
      <c r="DIP127" s="751"/>
      <c r="DIQ127" s="751"/>
      <c r="DIR127" s="751"/>
      <c r="DIS127" s="751"/>
      <c r="DIT127" s="751"/>
      <c r="DIU127" s="751"/>
      <c r="DIV127" s="751"/>
      <c r="DIW127" s="751"/>
      <c r="DIX127" s="751"/>
      <c r="DIY127" s="751"/>
      <c r="DIZ127" s="751"/>
      <c r="DJA127" s="751"/>
      <c r="DJB127" s="751"/>
      <c r="DJC127" s="751"/>
      <c r="DJD127" s="751"/>
      <c r="DJE127" s="751"/>
      <c r="DJF127" s="751"/>
      <c r="DJG127" s="751"/>
      <c r="DJH127" s="751"/>
      <c r="DJI127" s="751"/>
      <c r="DJJ127" s="751"/>
      <c r="DJK127" s="751"/>
      <c r="DJL127" s="751"/>
      <c r="DJM127" s="751"/>
      <c r="DJN127" s="751"/>
      <c r="DJO127" s="751"/>
      <c r="DJP127" s="751"/>
      <c r="DJQ127" s="751"/>
      <c r="DJR127" s="751"/>
      <c r="DJS127" s="751"/>
      <c r="DJT127" s="751"/>
      <c r="DJU127" s="751"/>
      <c r="DJV127" s="751"/>
      <c r="DJW127" s="751"/>
      <c r="DJX127" s="751"/>
      <c r="DJY127" s="751"/>
      <c r="DJZ127" s="751"/>
      <c r="DKA127" s="751"/>
      <c r="DKB127" s="751"/>
      <c r="DKC127" s="751"/>
      <c r="DKD127" s="751"/>
      <c r="DKE127" s="751"/>
      <c r="DKF127" s="751"/>
      <c r="DKG127" s="751"/>
      <c r="DKH127" s="751"/>
      <c r="DKI127" s="751"/>
      <c r="DKJ127" s="751"/>
      <c r="DKK127" s="751"/>
      <c r="DKL127" s="751"/>
      <c r="DKM127" s="751"/>
      <c r="DKN127" s="751"/>
      <c r="DKO127" s="751"/>
      <c r="DKP127" s="751"/>
      <c r="DKQ127" s="751"/>
      <c r="DKR127" s="751"/>
      <c r="DKS127" s="751"/>
      <c r="DKT127" s="751"/>
      <c r="DKU127" s="751"/>
      <c r="DKV127" s="751"/>
      <c r="DKW127" s="751"/>
      <c r="DKX127" s="751"/>
      <c r="DKY127" s="751"/>
      <c r="DKZ127" s="751"/>
      <c r="DLA127" s="751"/>
      <c r="DLB127" s="751"/>
      <c r="DLC127" s="751"/>
      <c r="DLD127" s="751"/>
      <c r="DLE127" s="751"/>
      <c r="DLF127" s="751"/>
      <c r="DLG127" s="751"/>
      <c r="DLH127" s="751"/>
      <c r="DLI127" s="751"/>
      <c r="DLJ127" s="751"/>
      <c r="DLK127" s="751"/>
      <c r="DLL127" s="751"/>
      <c r="DLM127" s="751"/>
      <c r="DLN127" s="751"/>
      <c r="DLO127" s="751"/>
      <c r="DLP127" s="751"/>
      <c r="DLQ127" s="751"/>
      <c r="DLR127" s="751"/>
      <c r="DLS127" s="751"/>
      <c r="DLT127" s="751"/>
      <c r="DLU127" s="751"/>
      <c r="DLV127" s="751"/>
      <c r="DLW127" s="751"/>
      <c r="DLX127" s="751"/>
      <c r="DLY127" s="751"/>
      <c r="DLZ127" s="751"/>
      <c r="DMA127" s="751"/>
      <c r="DMB127" s="751"/>
      <c r="DMC127" s="751"/>
      <c r="DMD127" s="751"/>
      <c r="DME127" s="751"/>
      <c r="DMF127" s="751"/>
      <c r="DMG127" s="751"/>
      <c r="DMH127" s="751"/>
      <c r="DMI127" s="751"/>
      <c r="DMJ127" s="751"/>
      <c r="DMK127" s="751"/>
      <c r="DML127" s="751"/>
      <c r="DMM127" s="751"/>
      <c r="DMN127" s="751"/>
      <c r="DMO127" s="751"/>
      <c r="DMP127" s="751"/>
      <c r="DMQ127" s="751"/>
      <c r="DMR127" s="751"/>
      <c r="DMS127" s="751"/>
      <c r="DMT127" s="751"/>
      <c r="DMU127" s="751"/>
      <c r="DMV127" s="751"/>
      <c r="DMW127" s="751"/>
      <c r="DMX127" s="751"/>
      <c r="DMY127" s="751"/>
      <c r="DMZ127" s="751"/>
      <c r="DNA127" s="751"/>
      <c r="DNB127" s="751"/>
      <c r="DNC127" s="751"/>
      <c r="DND127" s="751"/>
      <c r="DNE127" s="751"/>
      <c r="DNF127" s="751"/>
      <c r="DNG127" s="751"/>
      <c r="DNH127" s="751"/>
      <c r="DNI127" s="751"/>
      <c r="DNJ127" s="751"/>
      <c r="DNK127" s="751"/>
      <c r="DNL127" s="751"/>
      <c r="DNM127" s="751"/>
      <c r="DNN127" s="751"/>
      <c r="DNO127" s="751"/>
      <c r="DNP127" s="751"/>
      <c r="DNQ127" s="751"/>
      <c r="DNR127" s="751"/>
      <c r="DNS127" s="751"/>
      <c r="DNT127" s="751"/>
      <c r="DNU127" s="751"/>
      <c r="DNV127" s="751"/>
      <c r="DNW127" s="751"/>
      <c r="DNX127" s="751"/>
      <c r="DNY127" s="751"/>
      <c r="DNZ127" s="751"/>
      <c r="DOA127" s="751"/>
      <c r="DOB127" s="751"/>
      <c r="DOC127" s="751"/>
      <c r="DOD127" s="751"/>
      <c r="DOE127" s="751"/>
      <c r="DOF127" s="751"/>
      <c r="DOG127" s="751"/>
      <c r="DOH127" s="751"/>
      <c r="DOI127" s="751"/>
      <c r="DOJ127" s="751"/>
      <c r="DOK127" s="751"/>
      <c r="DOL127" s="751"/>
      <c r="DOM127" s="751"/>
      <c r="DON127" s="751"/>
      <c r="DOO127" s="751"/>
      <c r="DOP127" s="751"/>
      <c r="DOQ127" s="751"/>
      <c r="DOR127" s="751"/>
      <c r="DOS127" s="751"/>
      <c r="DOT127" s="751"/>
      <c r="DOU127" s="751"/>
      <c r="DOV127" s="751"/>
      <c r="DOW127" s="751"/>
      <c r="DOX127" s="751"/>
      <c r="DOY127" s="751"/>
      <c r="DOZ127" s="751"/>
      <c r="DPA127" s="751"/>
      <c r="DPB127" s="751"/>
      <c r="DPC127" s="751"/>
      <c r="DPD127" s="751"/>
      <c r="DPE127" s="751"/>
      <c r="DPF127" s="751"/>
      <c r="DPG127" s="751"/>
      <c r="DPH127" s="751"/>
      <c r="DPI127" s="751"/>
      <c r="DPJ127" s="751"/>
      <c r="DPK127" s="751"/>
      <c r="DPL127" s="751"/>
      <c r="DPM127" s="751"/>
      <c r="DPN127" s="751"/>
      <c r="DPO127" s="751"/>
      <c r="DPP127" s="751"/>
      <c r="DPQ127" s="751"/>
      <c r="DPR127" s="751"/>
      <c r="DPS127" s="751"/>
      <c r="DPT127" s="751"/>
      <c r="DPU127" s="751"/>
      <c r="DPV127" s="751"/>
      <c r="DPW127" s="751"/>
      <c r="DPX127" s="751"/>
      <c r="DPY127" s="751"/>
      <c r="DPZ127" s="751"/>
      <c r="DQA127" s="751"/>
      <c r="DQB127" s="751"/>
      <c r="DQC127" s="751"/>
      <c r="DQD127" s="751"/>
      <c r="DQE127" s="751"/>
      <c r="DQF127" s="751"/>
      <c r="DQG127" s="751"/>
      <c r="DQH127" s="751"/>
      <c r="DQI127" s="751"/>
      <c r="DQJ127" s="751"/>
      <c r="DQK127" s="751"/>
      <c r="DQL127" s="751"/>
      <c r="DQM127" s="751"/>
      <c r="DQN127" s="751"/>
      <c r="DQO127" s="751"/>
      <c r="DQP127" s="751"/>
      <c r="DQQ127" s="751"/>
      <c r="DQR127" s="751"/>
      <c r="DQS127" s="751"/>
      <c r="DQT127" s="751"/>
      <c r="DQU127" s="751"/>
      <c r="DQV127" s="751"/>
      <c r="DQW127" s="751"/>
      <c r="DQX127" s="751"/>
      <c r="DQY127" s="751"/>
      <c r="DQZ127" s="751"/>
      <c r="DRA127" s="751"/>
      <c r="DRB127" s="751"/>
      <c r="DRC127" s="751"/>
      <c r="DRD127" s="751"/>
      <c r="DRE127" s="751"/>
      <c r="DRF127" s="751"/>
      <c r="DRG127" s="751"/>
      <c r="DRH127" s="751"/>
      <c r="DRI127" s="751"/>
      <c r="DRJ127" s="751"/>
      <c r="DRK127" s="751"/>
      <c r="DRL127" s="751"/>
      <c r="DRM127" s="751"/>
      <c r="DRN127" s="751"/>
      <c r="DRO127" s="751"/>
      <c r="DRP127" s="751"/>
      <c r="DRQ127" s="751"/>
      <c r="DRR127" s="751"/>
      <c r="DRS127" s="751"/>
      <c r="DRT127" s="751"/>
      <c r="DRU127" s="751"/>
      <c r="DRV127" s="751"/>
      <c r="DRW127" s="751"/>
      <c r="DRX127" s="751"/>
      <c r="DRY127" s="751"/>
      <c r="DRZ127" s="751"/>
      <c r="DSA127" s="751"/>
      <c r="DSB127" s="751"/>
      <c r="DSC127" s="751"/>
      <c r="DSD127" s="751"/>
      <c r="DSE127" s="751"/>
      <c r="DSF127" s="751"/>
      <c r="DSG127" s="751"/>
      <c r="DSH127" s="751"/>
      <c r="DSI127" s="751"/>
      <c r="DSJ127" s="751"/>
      <c r="DSK127" s="751"/>
      <c r="DSL127" s="751"/>
      <c r="DSM127" s="751"/>
      <c r="DSN127" s="751"/>
      <c r="DSO127" s="751"/>
      <c r="DSP127" s="751"/>
      <c r="DSQ127" s="751"/>
      <c r="DSR127" s="751"/>
      <c r="DSS127" s="751"/>
      <c r="DST127" s="751"/>
      <c r="DSU127" s="751"/>
      <c r="DSV127" s="751"/>
      <c r="DSW127" s="751"/>
      <c r="DSX127" s="751"/>
      <c r="DSY127" s="751"/>
      <c r="DSZ127" s="751"/>
      <c r="DTA127" s="751"/>
      <c r="DTB127" s="751"/>
      <c r="DTC127" s="751"/>
      <c r="DTD127" s="751"/>
      <c r="DTE127" s="751"/>
      <c r="DTF127" s="751"/>
      <c r="DTG127" s="751"/>
      <c r="DTH127" s="751"/>
      <c r="DTI127" s="751"/>
      <c r="DTJ127" s="751"/>
      <c r="DTK127" s="751"/>
      <c r="DTL127" s="751"/>
      <c r="DTM127" s="751"/>
      <c r="DTN127" s="751"/>
      <c r="DTO127" s="751"/>
      <c r="DTP127" s="751"/>
      <c r="DTQ127" s="751"/>
      <c r="DTR127" s="751"/>
      <c r="DTS127" s="751"/>
      <c r="DTT127" s="751"/>
      <c r="DTU127" s="751"/>
      <c r="DTV127" s="751"/>
      <c r="DTW127" s="751"/>
      <c r="DTX127" s="751"/>
      <c r="DTY127" s="751"/>
      <c r="DTZ127" s="751"/>
      <c r="DUA127" s="751"/>
      <c r="DUB127" s="751"/>
      <c r="DUC127" s="751"/>
      <c r="DUD127" s="751"/>
      <c r="DUE127" s="751"/>
      <c r="DUF127" s="751"/>
      <c r="DUG127" s="751"/>
      <c r="DUH127" s="751"/>
      <c r="DUI127" s="751"/>
      <c r="DUJ127" s="751"/>
      <c r="DUK127" s="751"/>
      <c r="DUL127" s="751"/>
      <c r="DUM127" s="751"/>
      <c r="DUN127" s="751"/>
      <c r="DUO127" s="751"/>
      <c r="DUP127" s="751"/>
      <c r="DUQ127" s="751"/>
      <c r="DUR127" s="751"/>
      <c r="DUS127" s="751"/>
      <c r="DUT127" s="751"/>
      <c r="DUU127" s="751"/>
      <c r="DUV127" s="751"/>
      <c r="DUW127" s="751"/>
      <c r="DUX127" s="751"/>
      <c r="DUY127" s="751"/>
      <c r="DUZ127" s="751"/>
      <c r="DVA127" s="751"/>
      <c r="DVB127" s="751"/>
      <c r="DVC127" s="751"/>
      <c r="DVD127" s="751"/>
      <c r="DVE127" s="751"/>
      <c r="DVF127" s="751"/>
      <c r="DVG127" s="751"/>
      <c r="DVH127" s="751"/>
      <c r="DVI127" s="751"/>
      <c r="DVJ127" s="751"/>
      <c r="DVK127" s="751"/>
      <c r="DVL127" s="751"/>
      <c r="DVM127" s="751"/>
      <c r="DVN127" s="751"/>
      <c r="DVO127" s="751"/>
      <c r="DVP127" s="751"/>
      <c r="DVQ127" s="751"/>
      <c r="DVR127" s="751"/>
      <c r="DVS127" s="751"/>
      <c r="DVT127" s="751"/>
      <c r="DVU127" s="751"/>
      <c r="DVV127" s="751"/>
      <c r="DVW127" s="751"/>
      <c r="DVX127" s="751"/>
      <c r="DVY127" s="751"/>
      <c r="DVZ127" s="751"/>
      <c r="DWA127" s="751"/>
      <c r="DWB127" s="751"/>
      <c r="DWC127" s="751"/>
      <c r="DWD127" s="751"/>
      <c r="DWE127" s="751"/>
      <c r="DWF127" s="751"/>
      <c r="DWG127" s="751"/>
      <c r="DWH127" s="751"/>
      <c r="DWI127" s="751"/>
      <c r="DWJ127" s="751"/>
      <c r="DWK127" s="751"/>
      <c r="DWL127" s="751"/>
      <c r="DWM127" s="751"/>
      <c r="DWN127" s="751"/>
      <c r="DWO127" s="751"/>
      <c r="DWP127" s="751"/>
      <c r="DWQ127" s="751"/>
      <c r="DWR127" s="751"/>
      <c r="DWS127" s="751"/>
      <c r="DWT127" s="751"/>
      <c r="DWU127" s="751"/>
      <c r="DWV127" s="751"/>
      <c r="DWW127" s="751"/>
      <c r="DWX127" s="751"/>
      <c r="DWY127" s="751"/>
      <c r="DWZ127" s="751"/>
      <c r="DXA127" s="751"/>
      <c r="DXB127" s="751"/>
      <c r="DXC127" s="751"/>
      <c r="DXD127" s="751"/>
      <c r="DXE127" s="751"/>
      <c r="DXF127" s="751"/>
      <c r="DXG127" s="751"/>
      <c r="DXH127" s="751"/>
      <c r="DXI127" s="751"/>
      <c r="DXJ127" s="751"/>
      <c r="DXK127" s="751"/>
      <c r="DXL127" s="751"/>
      <c r="DXM127" s="751"/>
      <c r="DXN127" s="751"/>
      <c r="DXO127" s="751"/>
      <c r="DXP127" s="751"/>
      <c r="DXQ127" s="751"/>
      <c r="DXR127" s="751"/>
      <c r="DXS127" s="751"/>
      <c r="DXT127" s="751"/>
      <c r="DXU127" s="751"/>
      <c r="DXV127" s="751"/>
      <c r="DXW127" s="751"/>
      <c r="DXX127" s="751"/>
      <c r="DXY127" s="751"/>
      <c r="DXZ127" s="751"/>
      <c r="DYA127" s="751"/>
      <c r="DYB127" s="751"/>
      <c r="DYC127" s="751"/>
      <c r="DYD127" s="751"/>
      <c r="DYE127" s="751"/>
      <c r="DYF127" s="751"/>
      <c r="DYG127" s="751"/>
      <c r="DYH127" s="751"/>
      <c r="DYI127" s="751"/>
      <c r="DYJ127" s="751"/>
      <c r="DYK127" s="751"/>
      <c r="DYL127" s="751"/>
      <c r="DYM127" s="751"/>
      <c r="DYN127" s="751"/>
      <c r="DYO127" s="751"/>
      <c r="DYP127" s="751"/>
      <c r="DYQ127" s="751"/>
      <c r="DYR127" s="751"/>
      <c r="DYS127" s="751"/>
      <c r="DYT127" s="751"/>
      <c r="DYU127" s="751"/>
      <c r="DYV127" s="751"/>
      <c r="DYW127" s="751"/>
      <c r="DYX127" s="751"/>
      <c r="DYY127" s="751"/>
      <c r="DYZ127" s="751"/>
      <c r="DZA127" s="751"/>
      <c r="DZB127" s="751"/>
      <c r="DZC127" s="751"/>
      <c r="DZD127" s="751"/>
      <c r="DZE127" s="751"/>
      <c r="DZF127" s="751"/>
      <c r="DZG127" s="751"/>
      <c r="DZH127" s="751"/>
      <c r="DZI127" s="751"/>
      <c r="DZJ127" s="751"/>
      <c r="DZK127" s="751"/>
      <c r="DZL127" s="751"/>
      <c r="DZM127" s="751"/>
      <c r="DZN127" s="751"/>
      <c r="DZO127" s="751"/>
      <c r="DZP127" s="751"/>
      <c r="DZQ127" s="751"/>
      <c r="DZR127" s="751"/>
      <c r="DZS127" s="751"/>
      <c r="DZT127" s="751"/>
      <c r="DZU127" s="751"/>
      <c r="DZV127" s="751"/>
      <c r="DZW127" s="751"/>
      <c r="DZX127" s="751"/>
      <c r="DZY127" s="751"/>
      <c r="DZZ127" s="751"/>
      <c r="EAA127" s="751"/>
      <c r="EAB127" s="751"/>
      <c r="EAC127" s="751"/>
      <c r="EAD127" s="751"/>
      <c r="EAE127" s="751"/>
      <c r="EAF127" s="751"/>
      <c r="EAG127" s="751"/>
      <c r="EAH127" s="751"/>
      <c r="EAI127" s="751"/>
      <c r="EAJ127" s="751"/>
      <c r="EAK127" s="751"/>
      <c r="EAL127" s="751"/>
      <c r="EAM127" s="751"/>
      <c r="EAN127" s="751"/>
      <c r="EAO127" s="751"/>
      <c r="EAP127" s="751"/>
      <c r="EAQ127" s="751"/>
      <c r="EAR127" s="751"/>
      <c r="EAS127" s="751"/>
      <c r="EAT127" s="751"/>
      <c r="EAU127" s="751"/>
      <c r="EAV127" s="751"/>
      <c r="EAW127" s="751"/>
      <c r="EAX127" s="751"/>
      <c r="EAY127" s="751"/>
      <c r="EAZ127" s="751"/>
      <c r="EBA127" s="751"/>
      <c r="EBB127" s="751"/>
      <c r="EBC127" s="751"/>
      <c r="EBD127" s="751"/>
      <c r="EBE127" s="751"/>
      <c r="EBF127" s="751"/>
      <c r="EBG127" s="751"/>
      <c r="EBH127" s="751"/>
      <c r="EBI127" s="751"/>
      <c r="EBJ127" s="751"/>
      <c r="EBK127" s="751"/>
      <c r="EBL127" s="751"/>
      <c r="EBM127" s="751"/>
      <c r="EBN127" s="751"/>
      <c r="EBO127" s="751"/>
      <c r="EBP127" s="751"/>
      <c r="EBQ127" s="751"/>
      <c r="EBR127" s="751"/>
      <c r="EBS127" s="751"/>
      <c r="EBT127" s="751"/>
      <c r="EBU127" s="751"/>
      <c r="EBV127" s="751"/>
      <c r="EBW127" s="751"/>
      <c r="EBX127" s="751"/>
      <c r="EBY127" s="751"/>
      <c r="EBZ127" s="751"/>
      <c r="ECA127" s="751"/>
      <c r="ECB127" s="751"/>
      <c r="ECC127" s="751"/>
      <c r="ECD127" s="751"/>
      <c r="ECE127" s="751"/>
      <c r="ECF127" s="751"/>
      <c r="ECG127" s="751"/>
      <c r="ECH127" s="751"/>
      <c r="ECI127" s="751"/>
      <c r="ECJ127" s="751"/>
      <c r="ECK127" s="751"/>
      <c r="ECL127" s="751"/>
      <c r="ECM127" s="751"/>
      <c r="ECN127" s="751"/>
      <c r="ECO127" s="751"/>
      <c r="ECP127" s="751"/>
      <c r="ECQ127" s="751"/>
      <c r="ECR127" s="751"/>
      <c r="ECS127" s="751"/>
      <c r="ECT127" s="751"/>
      <c r="ECU127" s="751"/>
      <c r="ECV127" s="751"/>
      <c r="ECW127" s="751"/>
      <c r="ECX127" s="751"/>
      <c r="ECY127" s="751"/>
      <c r="ECZ127" s="751"/>
      <c r="EDA127" s="751"/>
      <c r="EDB127" s="751"/>
      <c r="EDC127" s="751"/>
      <c r="EDD127" s="751"/>
      <c r="EDE127" s="751"/>
      <c r="EDF127" s="751"/>
      <c r="EDG127" s="751"/>
      <c r="EDH127" s="751"/>
      <c r="EDI127" s="751"/>
      <c r="EDJ127" s="751"/>
      <c r="EDK127" s="751"/>
      <c r="EDL127" s="751"/>
      <c r="EDM127" s="751"/>
      <c r="EDN127" s="751"/>
      <c r="EDO127" s="751"/>
      <c r="EDP127" s="751"/>
      <c r="EDQ127" s="751"/>
      <c r="EDR127" s="751"/>
      <c r="EDS127" s="751"/>
      <c r="EDT127" s="751"/>
      <c r="EDU127" s="751"/>
      <c r="EDV127" s="751"/>
      <c r="EDW127" s="751"/>
      <c r="EDX127" s="751"/>
      <c r="EDY127" s="751"/>
      <c r="EDZ127" s="751"/>
      <c r="EEA127" s="751"/>
      <c r="EEB127" s="751"/>
      <c r="EEC127" s="751"/>
      <c r="EED127" s="751"/>
      <c r="EEE127" s="751"/>
      <c r="EEF127" s="751"/>
      <c r="EEG127" s="751"/>
      <c r="EEH127" s="751"/>
      <c r="EEI127" s="751"/>
      <c r="EEJ127" s="751"/>
      <c r="EEK127" s="751"/>
      <c r="EEL127" s="751"/>
      <c r="EEM127" s="751"/>
      <c r="EEN127" s="751"/>
      <c r="EEO127" s="751"/>
      <c r="EEP127" s="751"/>
      <c r="EEQ127" s="751"/>
      <c r="EER127" s="751"/>
      <c r="EES127" s="751"/>
      <c r="EET127" s="751"/>
      <c r="EEU127" s="751"/>
      <c r="EEV127" s="751"/>
      <c r="EEW127" s="751"/>
      <c r="EEX127" s="751"/>
      <c r="EEY127" s="751"/>
      <c r="EEZ127" s="751"/>
      <c r="EFA127" s="751"/>
      <c r="EFB127" s="751"/>
      <c r="EFC127" s="751"/>
      <c r="EFD127" s="751"/>
      <c r="EFE127" s="751"/>
      <c r="EFF127" s="751"/>
      <c r="EFG127" s="751"/>
      <c r="EFH127" s="751"/>
      <c r="EFI127" s="751"/>
      <c r="EFJ127" s="751"/>
      <c r="EFK127" s="751"/>
      <c r="EFL127" s="751"/>
      <c r="EFM127" s="751"/>
      <c r="EFN127" s="751"/>
      <c r="EFO127" s="751"/>
      <c r="EFP127" s="751"/>
      <c r="EFQ127" s="751"/>
      <c r="EFR127" s="751"/>
      <c r="EFS127" s="751"/>
      <c r="EFT127" s="751"/>
      <c r="EFU127" s="751"/>
      <c r="EFV127" s="751"/>
      <c r="EFW127" s="751"/>
      <c r="EFX127" s="751"/>
      <c r="EFY127" s="751"/>
      <c r="EFZ127" s="751"/>
      <c r="EGA127" s="751"/>
      <c r="EGB127" s="751"/>
      <c r="EGC127" s="751"/>
      <c r="EGD127" s="751"/>
      <c r="EGE127" s="751"/>
      <c r="EGF127" s="751"/>
      <c r="EGG127" s="751"/>
      <c r="EGH127" s="751"/>
      <c r="EGI127" s="751"/>
      <c r="EGJ127" s="751"/>
      <c r="EGK127" s="751"/>
      <c r="EGL127" s="751"/>
      <c r="EGM127" s="751"/>
      <c r="EGN127" s="751"/>
      <c r="EGO127" s="751"/>
      <c r="EGP127" s="751"/>
      <c r="EGQ127" s="751"/>
      <c r="EGR127" s="751"/>
      <c r="EGS127" s="751"/>
      <c r="EGT127" s="751"/>
      <c r="EGU127" s="751"/>
      <c r="EGV127" s="751"/>
      <c r="EGW127" s="751"/>
      <c r="EGX127" s="751"/>
      <c r="EGY127" s="751"/>
      <c r="EGZ127" s="751"/>
      <c r="EHA127" s="751"/>
      <c r="EHB127" s="751"/>
      <c r="EHC127" s="751"/>
      <c r="EHD127" s="751"/>
      <c r="EHE127" s="751"/>
      <c r="EHF127" s="751"/>
      <c r="EHG127" s="751"/>
      <c r="EHH127" s="751"/>
      <c r="EHI127" s="751"/>
      <c r="EHJ127" s="751"/>
      <c r="EHK127" s="751"/>
      <c r="EHL127" s="751"/>
      <c r="EHM127" s="751"/>
      <c r="EHN127" s="751"/>
      <c r="EHO127" s="751"/>
      <c r="EHP127" s="751"/>
      <c r="EHQ127" s="751"/>
      <c r="EHR127" s="751"/>
      <c r="EHS127" s="751"/>
      <c r="EHT127" s="751"/>
      <c r="EHU127" s="751"/>
      <c r="EHV127" s="751"/>
      <c r="EHW127" s="751"/>
      <c r="EHX127" s="751"/>
      <c r="EHY127" s="751"/>
      <c r="EHZ127" s="751"/>
      <c r="EIA127" s="751"/>
      <c r="EIB127" s="751"/>
      <c r="EIC127" s="751"/>
      <c r="EID127" s="751"/>
      <c r="EIE127" s="751"/>
      <c r="EIF127" s="751"/>
      <c r="EIG127" s="751"/>
      <c r="EIH127" s="751"/>
      <c r="EII127" s="751"/>
      <c r="EIJ127" s="751"/>
      <c r="EIK127" s="751"/>
      <c r="EIL127" s="751"/>
      <c r="EIM127" s="751"/>
      <c r="EIN127" s="751"/>
      <c r="EIO127" s="751"/>
      <c r="EIP127" s="751"/>
      <c r="EIQ127" s="751"/>
      <c r="EIR127" s="751"/>
      <c r="EIS127" s="751"/>
      <c r="EIT127" s="751"/>
      <c r="EIU127" s="751"/>
      <c r="EIV127" s="751"/>
      <c r="EIW127" s="751"/>
      <c r="EIX127" s="751"/>
      <c r="EIY127" s="751"/>
      <c r="EIZ127" s="751"/>
      <c r="EJA127" s="751"/>
      <c r="EJB127" s="751"/>
      <c r="EJC127" s="751"/>
      <c r="EJD127" s="751"/>
      <c r="EJE127" s="751"/>
      <c r="EJF127" s="751"/>
      <c r="EJG127" s="751"/>
      <c r="EJH127" s="751"/>
      <c r="EJI127" s="751"/>
      <c r="EJJ127" s="751"/>
      <c r="EJK127" s="751"/>
      <c r="EJL127" s="751"/>
      <c r="EJM127" s="751"/>
      <c r="EJN127" s="751"/>
      <c r="EJO127" s="751"/>
      <c r="EJP127" s="751"/>
      <c r="EJQ127" s="751"/>
      <c r="EJR127" s="751"/>
      <c r="EJS127" s="751"/>
      <c r="EJT127" s="751"/>
      <c r="EJU127" s="751"/>
      <c r="EJV127" s="751"/>
      <c r="EJW127" s="751"/>
      <c r="EJX127" s="751"/>
      <c r="EJY127" s="751"/>
      <c r="EJZ127" s="751"/>
      <c r="EKA127" s="751"/>
      <c r="EKB127" s="751"/>
      <c r="EKC127" s="751"/>
      <c r="EKD127" s="751"/>
      <c r="EKE127" s="751"/>
      <c r="EKF127" s="751"/>
      <c r="EKG127" s="751"/>
      <c r="EKH127" s="751"/>
      <c r="EKI127" s="751"/>
      <c r="EKJ127" s="751"/>
      <c r="EKK127" s="751"/>
      <c r="EKL127" s="751"/>
      <c r="EKM127" s="751"/>
      <c r="EKN127" s="751"/>
      <c r="EKO127" s="751"/>
      <c r="EKP127" s="751"/>
      <c r="EKQ127" s="751"/>
      <c r="EKR127" s="751"/>
      <c r="EKS127" s="751"/>
      <c r="EKT127" s="751"/>
      <c r="EKU127" s="751"/>
      <c r="EKV127" s="751"/>
      <c r="EKW127" s="751"/>
      <c r="EKX127" s="751"/>
      <c r="EKY127" s="751"/>
      <c r="EKZ127" s="751"/>
      <c r="ELA127" s="751"/>
      <c r="ELB127" s="751"/>
      <c r="ELC127" s="751"/>
      <c r="ELD127" s="751"/>
      <c r="ELE127" s="751"/>
      <c r="ELF127" s="751"/>
      <c r="ELG127" s="751"/>
      <c r="ELH127" s="751"/>
      <c r="ELI127" s="751"/>
      <c r="ELJ127" s="751"/>
      <c r="ELK127" s="751"/>
      <c r="ELL127" s="751"/>
      <c r="ELM127" s="751"/>
      <c r="ELN127" s="751"/>
      <c r="ELO127" s="751"/>
      <c r="ELP127" s="751"/>
      <c r="ELQ127" s="751"/>
      <c r="ELR127" s="751"/>
      <c r="ELS127" s="751"/>
      <c r="ELT127" s="751"/>
      <c r="ELU127" s="751"/>
      <c r="ELV127" s="751"/>
      <c r="ELW127" s="751"/>
      <c r="ELX127" s="751"/>
      <c r="ELY127" s="751"/>
      <c r="ELZ127" s="751"/>
      <c r="EMA127" s="751"/>
      <c r="EMB127" s="751"/>
      <c r="EMC127" s="751"/>
      <c r="EMD127" s="751"/>
      <c r="EME127" s="751"/>
      <c r="EMF127" s="751"/>
      <c r="EMG127" s="751"/>
      <c r="EMH127" s="751"/>
      <c r="EMI127" s="751"/>
      <c r="EMJ127" s="751"/>
      <c r="EMK127" s="751"/>
      <c r="EML127" s="751"/>
      <c r="EMM127" s="751"/>
      <c r="EMN127" s="751"/>
      <c r="EMO127" s="751"/>
      <c r="EMP127" s="751"/>
      <c r="EMQ127" s="751"/>
      <c r="EMR127" s="751"/>
      <c r="EMS127" s="751"/>
      <c r="EMT127" s="751"/>
      <c r="EMU127" s="751"/>
      <c r="EMV127" s="751"/>
      <c r="EMW127" s="751"/>
      <c r="EMX127" s="751"/>
      <c r="EMY127" s="751"/>
      <c r="EMZ127" s="751"/>
      <c r="ENA127" s="751"/>
      <c r="ENB127" s="751"/>
      <c r="ENC127" s="751"/>
      <c r="END127" s="751"/>
      <c r="ENE127" s="751"/>
      <c r="ENF127" s="751"/>
      <c r="ENG127" s="751"/>
      <c r="ENH127" s="751"/>
      <c r="ENI127" s="751"/>
      <c r="ENJ127" s="751"/>
      <c r="ENK127" s="751"/>
      <c r="ENL127" s="751"/>
      <c r="ENM127" s="751"/>
      <c r="ENN127" s="751"/>
      <c r="ENO127" s="751"/>
      <c r="ENP127" s="751"/>
      <c r="ENQ127" s="751"/>
      <c r="ENR127" s="751"/>
      <c r="ENS127" s="751"/>
      <c r="ENT127" s="751"/>
      <c r="ENU127" s="751"/>
      <c r="ENV127" s="751"/>
      <c r="ENW127" s="751"/>
      <c r="ENX127" s="751"/>
      <c r="ENY127" s="751"/>
      <c r="ENZ127" s="751"/>
      <c r="EOA127" s="751"/>
      <c r="EOB127" s="751"/>
      <c r="EOC127" s="751"/>
      <c r="EOD127" s="751"/>
      <c r="EOE127" s="751"/>
      <c r="EOF127" s="751"/>
      <c r="EOG127" s="751"/>
      <c r="EOH127" s="751"/>
      <c r="EOI127" s="751"/>
      <c r="EOJ127" s="751"/>
      <c r="EOK127" s="751"/>
      <c r="EOL127" s="751"/>
      <c r="EOM127" s="751"/>
      <c r="EON127" s="751"/>
      <c r="EOO127" s="751"/>
      <c r="EOP127" s="751"/>
      <c r="EOQ127" s="751"/>
      <c r="EOR127" s="751"/>
      <c r="EOS127" s="751"/>
      <c r="EOT127" s="751"/>
      <c r="EOU127" s="751"/>
      <c r="EOV127" s="751"/>
      <c r="EOW127" s="751"/>
      <c r="EOX127" s="751"/>
      <c r="EOY127" s="751"/>
      <c r="EOZ127" s="751"/>
      <c r="EPA127" s="751"/>
      <c r="EPB127" s="751"/>
      <c r="EPC127" s="751"/>
      <c r="EPD127" s="751"/>
      <c r="EPE127" s="751"/>
      <c r="EPF127" s="751"/>
      <c r="EPG127" s="751"/>
      <c r="EPH127" s="751"/>
      <c r="EPI127" s="751"/>
      <c r="EPJ127" s="751"/>
      <c r="EPK127" s="751"/>
      <c r="EPL127" s="751"/>
      <c r="EPM127" s="751"/>
      <c r="EPN127" s="751"/>
      <c r="EPO127" s="751"/>
      <c r="EPP127" s="751"/>
      <c r="EPQ127" s="751"/>
      <c r="EPR127" s="751"/>
      <c r="EPS127" s="751"/>
      <c r="EPT127" s="751"/>
      <c r="EPU127" s="751"/>
      <c r="EPV127" s="751"/>
      <c r="EPW127" s="751"/>
      <c r="EPX127" s="751"/>
      <c r="EPY127" s="751"/>
      <c r="EPZ127" s="751"/>
      <c r="EQA127" s="751"/>
      <c r="EQB127" s="751"/>
      <c r="EQC127" s="751"/>
      <c r="EQD127" s="751"/>
      <c r="EQE127" s="751"/>
      <c r="EQF127" s="751"/>
      <c r="EQG127" s="751"/>
      <c r="EQH127" s="751"/>
      <c r="EQI127" s="751"/>
      <c r="EQJ127" s="751"/>
      <c r="EQK127" s="751"/>
      <c r="EQL127" s="751"/>
      <c r="EQM127" s="751"/>
      <c r="EQN127" s="751"/>
      <c r="EQO127" s="751"/>
      <c r="EQP127" s="751"/>
      <c r="EQQ127" s="751"/>
      <c r="EQR127" s="751"/>
      <c r="EQS127" s="751"/>
      <c r="EQT127" s="751"/>
      <c r="EQU127" s="751"/>
      <c r="EQV127" s="751"/>
      <c r="EQW127" s="751"/>
      <c r="EQX127" s="751"/>
      <c r="EQY127" s="751"/>
      <c r="EQZ127" s="751"/>
      <c r="ERA127" s="751"/>
      <c r="ERB127" s="751"/>
      <c r="ERC127" s="751"/>
      <c r="ERD127" s="751"/>
      <c r="ERE127" s="751"/>
      <c r="ERF127" s="751"/>
      <c r="ERG127" s="751"/>
      <c r="ERH127" s="751"/>
      <c r="ERI127" s="751"/>
      <c r="ERJ127" s="751"/>
      <c r="ERK127" s="751"/>
      <c r="ERL127" s="751"/>
      <c r="ERM127" s="751"/>
      <c r="ERN127" s="751"/>
      <c r="ERO127" s="751"/>
      <c r="ERP127" s="751"/>
      <c r="ERQ127" s="751"/>
      <c r="ERR127" s="751"/>
      <c r="ERS127" s="751"/>
      <c r="ERT127" s="751"/>
      <c r="ERU127" s="751"/>
      <c r="ERV127" s="751"/>
      <c r="ERW127" s="751"/>
      <c r="ERX127" s="751"/>
      <c r="ERY127" s="751"/>
      <c r="ERZ127" s="751"/>
      <c r="ESA127" s="751"/>
      <c r="ESB127" s="751"/>
      <c r="ESC127" s="751"/>
      <c r="ESD127" s="751"/>
      <c r="ESE127" s="751"/>
      <c r="ESF127" s="751"/>
      <c r="ESG127" s="751"/>
      <c r="ESH127" s="751"/>
      <c r="ESI127" s="751"/>
      <c r="ESJ127" s="751"/>
      <c r="ESK127" s="751"/>
      <c r="ESL127" s="751"/>
      <c r="ESM127" s="751"/>
      <c r="ESN127" s="751"/>
      <c r="ESO127" s="751"/>
      <c r="ESP127" s="751"/>
      <c r="ESQ127" s="751"/>
      <c r="ESR127" s="751"/>
      <c r="ESS127" s="751"/>
      <c r="EST127" s="751"/>
      <c r="ESU127" s="751"/>
      <c r="ESV127" s="751"/>
      <c r="ESW127" s="751"/>
      <c r="ESX127" s="751"/>
      <c r="ESY127" s="751"/>
      <c r="ESZ127" s="751"/>
      <c r="ETA127" s="751"/>
      <c r="ETB127" s="751"/>
      <c r="ETC127" s="751"/>
      <c r="ETD127" s="751"/>
      <c r="ETE127" s="751"/>
      <c r="ETF127" s="751"/>
      <c r="ETG127" s="751"/>
      <c r="ETH127" s="751"/>
      <c r="ETI127" s="751"/>
      <c r="ETJ127" s="751"/>
      <c r="ETK127" s="751"/>
      <c r="ETL127" s="751"/>
      <c r="ETM127" s="751"/>
      <c r="ETN127" s="751"/>
      <c r="ETO127" s="751"/>
      <c r="ETP127" s="751"/>
      <c r="ETQ127" s="751"/>
      <c r="ETR127" s="751"/>
      <c r="ETS127" s="751"/>
      <c r="ETT127" s="751"/>
      <c r="ETU127" s="751"/>
      <c r="ETV127" s="751"/>
      <c r="ETW127" s="751"/>
      <c r="ETX127" s="751"/>
      <c r="ETY127" s="751"/>
      <c r="ETZ127" s="751"/>
      <c r="EUA127" s="751"/>
      <c r="EUB127" s="751"/>
      <c r="EUC127" s="751"/>
      <c r="EUD127" s="751"/>
      <c r="EUE127" s="751"/>
      <c r="EUF127" s="751"/>
      <c r="EUG127" s="751"/>
      <c r="EUH127" s="751"/>
      <c r="EUI127" s="751"/>
      <c r="EUJ127" s="751"/>
      <c r="EUK127" s="751"/>
      <c r="EUL127" s="751"/>
      <c r="EUM127" s="751"/>
      <c r="EUN127" s="751"/>
      <c r="EUO127" s="751"/>
      <c r="EUP127" s="751"/>
      <c r="EUQ127" s="751"/>
      <c r="EUR127" s="751"/>
      <c r="EUS127" s="751"/>
      <c r="EUT127" s="751"/>
      <c r="EUU127" s="751"/>
      <c r="EUV127" s="751"/>
      <c r="EUW127" s="751"/>
      <c r="EUX127" s="751"/>
      <c r="EUY127" s="751"/>
      <c r="EUZ127" s="751"/>
      <c r="EVA127" s="751"/>
      <c r="EVB127" s="751"/>
      <c r="EVC127" s="751"/>
      <c r="EVD127" s="751"/>
      <c r="EVE127" s="751"/>
      <c r="EVF127" s="751"/>
      <c r="EVG127" s="751"/>
      <c r="EVH127" s="751"/>
      <c r="EVI127" s="751"/>
      <c r="EVJ127" s="751"/>
      <c r="EVK127" s="751"/>
      <c r="EVL127" s="751"/>
      <c r="EVM127" s="751"/>
      <c r="EVN127" s="751"/>
      <c r="EVO127" s="751"/>
      <c r="EVP127" s="751"/>
      <c r="EVQ127" s="751"/>
      <c r="EVR127" s="751"/>
      <c r="EVS127" s="751"/>
      <c r="EVT127" s="751"/>
      <c r="EVU127" s="751"/>
      <c r="EVV127" s="751"/>
      <c r="EVW127" s="751"/>
      <c r="EVX127" s="751"/>
      <c r="EVY127" s="751"/>
      <c r="EVZ127" s="751"/>
      <c r="EWA127" s="751"/>
      <c r="EWB127" s="751"/>
      <c r="EWC127" s="751"/>
      <c r="EWD127" s="751"/>
      <c r="EWE127" s="751"/>
      <c r="EWF127" s="751"/>
      <c r="EWG127" s="751"/>
      <c r="EWH127" s="751"/>
      <c r="EWI127" s="751"/>
      <c r="EWJ127" s="751"/>
      <c r="EWK127" s="751"/>
      <c r="EWL127" s="751"/>
      <c r="EWM127" s="751"/>
      <c r="EWN127" s="751"/>
      <c r="EWO127" s="751"/>
      <c r="EWP127" s="751"/>
      <c r="EWQ127" s="751"/>
      <c r="EWR127" s="751"/>
      <c r="EWS127" s="751"/>
      <c r="EWT127" s="751"/>
      <c r="EWU127" s="751"/>
      <c r="EWV127" s="751"/>
      <c r="EWW127" s="751"/>
      <c r="EWX127" s="751"/>
      <c r="EWY127" s="751"/>
      <c r="EWZ127" s="751"/>
      <c r="EXA127" s="751"/>
      <c r="EXB127" s="751"/>
      <c r="EXC127" s="751"/>
      <c r="EXD127" s="751"/>
      <c r="EXE127" s="751"/>
      <c r="EXF127" s="751"/>
      <c r="EXG127" s="751"/>
      <c r="EXH127" s="751"/>
      <c r="EXI127" s="751"/>
      <c r="EXJ127" s="751"/>
      <c r="EXK127" s="751"/>
      <c r="EXL127" s="751"/>
      <c r="EXM127" s="751"/>
      <c r="EXN127" s="751"/>
      <c r="EXO127" s="751"/>
      <c r="EXP127" s="751"/>
      <c r="EXQ127" s="751"/>
      <c r="EXR127" s="751"/>
      <c r="EXS127" s="751"/>
      <c r="EXT127" s="751"/>
      <c r="EXU127" s="751"/>
      <c r="EXV127" s="751"/>
      <c r="EXW127" s="751"/>
      <c r="EXX127" s="751"/>
      <c r="EXY127" s="751"/>
      <c r="EXZ127" s="751"/>
      <c r="EYA127" s="751"/>
      <c r="EYB127" s="751"/>
      <c r="EYC127" s="751"/>
      <c r="EYD127" s="751"/>
      <c r="EYE127" s="751"/>
      <c r="EYF127" s="751"/>
      <c r="EYG127" s="751"/>
      <c r="EYH127" s="751"/>
      <c r="EYI127" s="751"/>
      <c r="EYJ127" s="751"/>
      <c r="EYK127" s="751"/>
      <c r="EYL127" s="751"/>
      <c r="EYM127" s="751"/>
      <c r="EYN127" s="751"/>
      <c r="EYO127" s="751"/>
      <c r="EYP127" s="751"/>
      <c r="EYQ127" s="751"/>
      <c r="EYR127" s="751"/>
      <c r="EYS127" s="751"/>
      <c r="EYT127" s="751"/>
      <c r="EYU127" s="751"/>
      <c r="EYV127" s="751"/>
      <c r="EYW127" s="751"/>
      <c r="EYX127" s="751"/>
      <c r="EYY127" s="751"/>
      <c r="EYZ127" s="751"/>
      <c r="EZA127" s="751"/>
      <c r="EZB127" s="751"/>
      <c r="EZC127" s="751"/>
      <c r="EZD127" s="751"/>
      <c r="EZE127" s="751"/>
      <c r="EZF127" s="751"/>
      <c r="EZG127" s="751"/>
      <c r="EZH127" s="751"/>
      <c r="EZI127" s="751"/>
      <c r="EZJ127" s="751"/>
      <c r="EZK127" s="751"/>
      <c r="EZL127" s="751"/>
      <c r="EZM127" s="751"/>
      <c r="EZN127" s="751"/>
      <c r="EZO127" s="751"/>
      <c r="EZP127" s="751"/>
      <c r="EZQ127" s="751"/>
      <c r="EZR127" s="751"/>
      <c r="EZS127" s="751"/>
      <c r="EZT127" s="751"/>
      <c r="EZU127" s="751"/>
      <c r="EZV127" s="751"/>
      <c r="EZW127" s="751"/>
      <c r="EZX127" s="751"/>
      <c r="EZY127" s="751"/>
      <c r="EZZ127" s="751"/>
      <c r="FAA127" s="751"/>
      <c r="FAB127" s="751"/>
      <c r="FAC127" s="751"/>
      <c r="FAD127" s="751"/>
      <c r="FAE127" s="751"/>
      <c r="FAF127" s="751"/>
      <c r="FAG127" s="751"/>
      <c r="FAH127" s="751"/>
      <c r="FAI127" s="751"/>
      <c r="FAJ127" s="751"/>
      <c r="FAK127" s="751"/>
      <c r="FAL127" s="751"/>
      <c r="FAM127" s="751"/>
      <c r="FAN127" s="751"/>
      <c r="FAO127" s="751"/>
      <c r="FAP127" s="751"/>
      <c r="FAQ127" s="751"/>
      <c r="FAR127" s="751"/>
      <c r="FAS127" s="751"/>
      <c r="FAT127" s="751"/>
      <c r="FAU127" s="751"/>
      <c r="FAV127" s="751"/>
      <c r="FAW127" s="751"/>
      <c r="FAX127" s="751"/>
      <c r="FAY127" s="751"/>
      <c r="FAZ127" s="751"/>
      <c r="FBA127" s="751"/>
      <c r="FBB127" s="751"/>
      <c r="FBC127" s="751"/>
      <c r="FBD127" s="751"/>
      <c r="FBE127" s="751"/>
      <c r="FBF127" s="751"/>
      <c r="FBG127" s="751"/>
      <c r="FBH127" s="751"/>
      <c r="FBI127" s="751"/>
      <c r="FBJ127" s="751"/>
      <c r="FBK127" s="751"/>
      <c r="FBL127" s="751"/>
      <c r="FBM127" s="751"/>
      <c r="FBN127" s="751"/>
      <c r="FBO127" s="751"/>
      <c r="FBP127" s="751"/>
      <c r="FBQ127" s="751"/>
      <c r="FBR127" s="751"/>
      <c r="FBS127" s="751"/>
      <c r="FBT127" s="751"/>
      <c r="FBU127" s="751"/>
      <c r="FBV127" s="751"/>
      <c r="FBW127" s="751"/>
      <c r="FBX127" s="751"/>
      <c r="FBY127" s="751"/>
      <c r="FBZ127" s="751"/>
      <c r="FCA127" s="751"/>
      <c r="FCB127" s="751"/>
      <c r="FCC127" s="751"/>
      <c r="FCD127" s="751"/>
      <c r="FCE127" s="751"/>
      <c r="FCF127" s="751"/>
      <c r="FCG127" s="751"/>
      <c r="FCH127" s="751"/>
      <c r="FCI127" s="751"/>
      <c r="FCJ127" s="751"/>
      <c r="FCK127" s="751"/>
      <c r="FCL127" s="751"/>
      <c r="FCM127" s="751"/>
      <c r="FCN127" s="751"/>
      <c r="FCO127" s="751"/>
      <c r="FCP127" s="751"/>
      <c r="FCQ127" s="751"/>
      <c r="FCR127" s="751"/>
      <c r="FCS127" s="751"/>
      <c r="FCT127" s="751"/>
      <c r="FCU127" s="751"/>
      <c r="FCV127" s="751"/>
      <c r="FCW127" s="751"/>
      <c r="FCX127" s="751"/>
      <c r="FCY127" s="751"/>
      <c r="FCZ127" s="751"/>
      <c r="FDA127" s="751"/>
      <c r="FDB127" s="751"/>
      <c r="FDC127" s="751"/>
      <c r="FDD127" s="751"/>
      <c r="FDE127" s="751"/>
      <c r="FDF127" s="751"/>
      <c r="FDG127" s="751"/>
      <c r="FDH127" s="751"/>
      <c r="FDI127" s="751"/>
      <c r="FDJ127" s="751"/>
      <c r="FDK127" s="751"/>
      <c r="FDL127" s="751"/>
      <c r="FDM127" s="751"/>
      <c r="FDN127" s="751"/>
      <c r="FDO127" s="751"/>
      <c r="FDP127" s="751"/>
      <c r="FDQ127" s="751"/>
      <c r="FDR127" s="751"/>
      <c r="FDS127" s="751"/>
      <c r="FDT127" s="751"/>
      <c r="FDU127" s="751"/>
      <c r="FDV127" s="751"/>
      <c r="FDW127" s="751"/>
      <c r="FDX127" s="751"/>
      <c r="FDY127" s="751"/>
      <c r="FDZ127" s="751"/>
      <c r="FEA127" s="751"/>
      <c r="FEB127" s="751"/>
      <c r="FEC127" s="751"/>
      <c r="FED127" s="751"/>
      <c r="FEE127" s="751"/>
      <c r="FEF127" s="751"/>
      <c r="FEG127" s="751"/>
      <c r="FEH127" s="751"/>
      <c r="FEI127" s="751"/>
      <c r="FEJ127" s="751"/>
      <c r="FEK127" s="751"/>
      <c r="FEL127" s="751"/>
      <c r="FEM127" s="751"/>
      <c r="FEN127" s="751"/>
      <c r="FEO127" s="751"/>
      <c r="FEP127" s="751"/>
      <c r="FEQ127" s="751"/>
      <c r="FER127" s="751"/>
      <c r="FES127" s="751"/>
      <c r="FET127" s="751"/>
      <c r="FEU127" s="751"/>
      <c r="FEV127" s="751"/>
      <c r="FEW127" s="751"/>
      <c r="FEX127" s="751"/>
      <c r="FEY127" s="751"/>
      <c r="FEZ127" s="751"/>
      <c r="FFA127" s="751"/>
      <c r="FFB127" s="751"/>
      <c r="FFC127" s="751"/>
      <c r="FFD127" s="751"/>
      <c r="FFE127" s="751"/>
      <c r="FFF127" s="751"/>
      <c r="FFG127" s="751"/>
      <c r="FFH127" s="751"/>
      <c r="FFI127" s="751"/>
      <c r="FFJ127" s="751"/>
      <c r="FFK127" s="751"/>
      <c r="FFL127" s="751"/>
      <c r="FFM127" s="751"/>
      <c r="FFN127" s="751"/>
      <c r="FFO127" s="751"/>
      <c r="FFP127" s="751"/>
      <c r="FFQ127" s="751"/>
      <c r="FFR127" s="751"/>
      <c r="FFS127" s="751"/>
      <c r="FFT127" s="751"/>
      <c r="FFU127" s="751"/>
      <c r="FFV127" s="751"/>
      <c r="FFW127" s="751"/>
      <c r="FFX127" s="751"/>
      <c r="FFY127" s="751"/>
      <c r="FFZ127" s="751"/>
      <c r="FGA127" s="751"/>
      <c r="FGB127" s="751"/>
      <c r="FGC127" s="751"/>
      <c r="FGD127" s="751"/>
      <c r="FGE127" s="751"/>
      <c r="FGF127" s="751"/>
      <c r="FGG127" s="751"/>
      <c r="FGH127" s="751"/>
      <c r="FGI127" s="751"/>
      <c r="FGJ127" s="751"/>
      <c r="FGK127" s="751"/>
      <c r="FGL127" s="751"/>
      <c r="FGM127" s="751"/>
      <c r="FGN127" s="751"/>
      <c r="FGO127" s="751"/>
      <c r="FGP127" s="751"/>
      <c r="FGQ127" s="751"/>
      <c r="FGR127" s="751"/>
      <c r="FGS127" s="751"/>
      <c r="FGT127" s="751"/>
      <c r="FGU127" s="751"/>
      <c r="FGV127" s="751"/>
      <c r="FGW127" s="751"/>
      <c r="FGX127" s="751"/>
      <c r="FGY127" s="751"/>
      <c r="FGZ127" s="751"/>
      <c r="FHA127" s="751"/>
      <c r="FHB127" s="751"/>
      <c r="FHC127" s="751"/>
      <c r="FHD127" s="751"/>
      <c r="FHE127" s="751"/>
      <c r="FHF127" s="751"/>
      <c r="FHG127" s="751"/>
      <c r="FHH127" s="751"/>
      <c r="FHI127" s="751"/>
      <c r="FHJ127" s="751"/>
      <c r="FHK127" s="751"/>
      <c r="FHL127" s="751"/>
      <c r="FHM127" s="751"/>
      <c r="FHN127" s="751"/>
      <c r="FHO127" s="751"/>
      <c r="FHP127" s="751"/>
      <c r="FHQ127" s="751"/>
      <c r="FHR127" s="751"/>
      <c r="FHS127" s="751"/>
      <c r="FHT127" s="751"/>
      <c r="FHU127" s="751"/>
      <c r="FHV127" s="751"/>
      <c r="FHW127" s="751"/>
      <c r="FHX127" s="751"/>
      <c r="FHY127" s="751"/>
      <c r="FHZ127" s="751"/>
      <c r="FIA127" s="751"/>
      <c r="FIB127" s="751"/>
      <c r="FIC127" s="751"/>
      <c r="FID127" s="751"/>
      <c r="FIE127" s="751"/>
      <c r="FIF127" s="751"/>
      <c r="FIG127" s="751"/>
      <c r="FIH127" s="751"/>
      <c r="FII127" s="751"/>
      <c r="FIJ127" s="751"/>
      <c r="FIK127" s="751"/>
      <c r="FIL127" s="751"/>
      <c r="FIM127" s="751"/>
      <c r="FIN127" s="751"/>
      <c r="FIO127" s="751"/>
      <c r="FIP127" s="751"/>
      <c r="FIQ127" s="751"/>
      <c r="FIR127" s="751"/>
      <c r="FIS127" s="751"/>
      <c r="FIT127" s="751"/>
      <c r="FIU127" s="751"/>
      <c r="FIV127" s="751"/>
      <c r="FIW127" s="751"/>
      <c r="FIX127" s="751"/>
      <c r="FIY127" s="751"/>
      <c r="FIZ127" s="751"/>
      <c r="FJA127" s="751"/>
      <c r="FJB127" s="751"/>
      <c r="FJC127" s="751"/>
      <c r="FJD127" s="751"/>
      <c r="FJE127" s="751"/>
      <c r="FJF127" s="751"/>
      <c r="FJG127" s="751"/>
      <c r="FJH127" s="751"/>
      <c r="FJI127" s="751"/>
      <c r="FJJ127" s="751"/>
      <c r="FJK127" s="751"/>
      <c r="FJL127" s="751"/>
      <c r="FJM127" s="751"/>
      <c r="FJN127" s="751"/>
      <c r="FJO127" s="751"/>
      <c r="FJP127" s="751"/>
      <c r="FJQ127" s="751"/>
      <c r="FJR127" s="751"/>
      <c r="FJS127" s="751"/>
      <c r="FJT127" s="751"/>
      <c r="FJU127" s="751"/>
      <c r="FJV127" s="751"/>
      <c r="FJW127" s="751"/>
      <c r="FJX127" s="751"/>
      <c r="FJY127" s="751"/>
      <c r="FJZ127" s="751"/>
      <c r="FKA127" s="751"/>
      <c r="FKB127" s="751"/>
      <c r="FKC127" s="751"/>
      <c r="FKD127" s="751"/>
      <c r="FKE127" s="751"/>
      <c r="FKF127" s="751"/>
      <c r="FKG127" s="751"/>
      <c r="FKH127" s="751"/>
      <c r="FKI127" s="751"/>
      <c r="FKJ127" s="751"/>
      <c r="FKK127" s="751"/>
      <c r="FKL127" s="751"/>
      <c r="FKM127" s="751"/>
      <c r="FKN127" s="751"/>
      <c r="FKO127" s="751"/>
      <c r="FKP127" s="751"/>
      <c r="FKQ127" s="751"/>
      <c r="FKR127" s="751"/>
      <c r="FKS127" s="751"/>
      <c r="FKT127" s="751"/>
      <c r="FKU127" s="751"/>
      <c r="FKV127" s="751"/>
      <c r="FKW127" s="751"/>
      <c r="FKX127" s="751"/>
      <c r="FKY127" s="751"/>
      <c r="FKZ127" s="751"/>
      <c r="FLA127" s="751"/>
      <c r="FLB127" s="751"/>
      <c r="FLC127" s="751"/>
      <c r="FLD127" s="751"/>
      <c r="FLE127" s="751"/>
      <c r="FLF127" s="751"/>
      <c r="FLG127" s="751"/>
      <c r="FLH127" s="751"/>
      <c r="FLI127" s="751"/>
      <c r="FLJ127" s="751"/>
      <c r="FLK127" s="751"/>
      <c r="FLL127" s="751"/>
      <c r="FLM127" s="751"/>
      <c r="FLN127" s="751"/>
      <c r="FLO127" s="751"/>
      <c r="FLP127" s="751"/>
      <c r="FLQ127" s="751"/>
      <c r="FLR127" s="751"/>
      <c r="FLS127" s="751"/>
      <c r="FLT127" s="751"/>
      <c r="FLU127" s="751"/>
      <c r="FLV127" s="751"/>
      <c r="FLW127" s="751"/>
      <c r="FLX127" s="751"/>
      <c r="FLY127" s="751"/>
      <c r="FLZ127" s="751"/>
      <c r="FMA127" s="751"/>
      <c r="FMB127" s="751"/>
      <c r="FMC127" s="751"/>
      <c r="FMD127" s="751"/>
      <c r="FME127" s="751"/>
      <c r="FMF127" s="751"/>
      <c r="FMG127" s="751"/>
      <c r="FMH127" s="751"/>
      <c r="FMI127" s="751"/>
      <c r="FMJ127" s="751"/>
      <c r="FMK127" s="751"/>
      <c r="FML127" s="751"/>
      <c r="FMM127" s="751"/>
      <c r="FMN127" s="751"/>
      <c r="FMO127" s="751"/>
      <c r="FMP127" s="751"/>
      <c r="FMQ127" s="751"/>
      <c r="FMR127" s="751"/>
      <c r="FMS127" s="751"/>
      <c r="FMT127" s="751"/>
      <c r="FMU127" s="751"/>
      <c r="FMV127" s="751"/>
      <c r="FMW127" s="751"/>
      <c r="FMX127" s="751"/>
      <c r="FMY127" s="751"/>
      <c r="FMZ127" s="751"/>
      <c r="FNA127" s="751"/>
      <c r="FNB127" s="751"/>
      <c r="FNC127" s="751"/>
      <c r="FND127" s="751"/>
      <c r="FNE127" s="751"/>
      <c r="FNF127" s="751"/>
      <c r="FNG127" s="751"/>
      <c r="FNH127" s="751"/>
      <c r="FNI127" s="751"/>
      <c r="FNJ127" s="751"/>
      <c r="FNK127" s="751"/>
      <c r="FNL127" s="751"/>
      <c r="FNM127" s="751"/>
      <c r="FNN127" s="751"/>
      <c r="FNO127" s="751"/>
      <c r="FNP127" s="751"/>
      <c r="FNQ127" s="751"/>
      <c r="FNR127" s="751"/>
      <c r="FNS127" s="751"/>
      <c r="FNT127" s="751"/>
      <c r="FNU127" s="751"/>
      <c r="FNV127" s="751"/>
      <c r="FNW127" s="751"/>
      <c r="FNX127" s="751"/>
      <c r="FNY127" s="751"/>
      <c r="FNZ127" s="751"/>
      <c r="FOA127" s="751"/>
      <c r="FOB127" s="751"/>
      <c r="FOC127" s="751"/>
      <c r="FOD127" s="751"/>
      <c r="FOE127" s="751"/>
      <c r="FOF127" s="751"/>
      <c r="FOG127" s="751"/>
      <c r="FOH127" s="751"/>
      <c r="FOI127" s="751"/>
      <c r="FOJ127" s="751"/>
      <c r="FOK127" s="751"/>
      <c r="FOL127" s="751"/>
      <c r="FOM127" s="751"/>
      <c r="FON127" s="751"/>
      <c r="FOO127" s="751"/>
      <c r="FOP127" s="751"/>
      <c r="FOQ127" s="751"/>
      <c r="FOR127" s="751"/>
      <c r="FOS127" s="751"/>
      <c r="FOT127" s="751"/>
      <c r="FOU127" s="751"/>
      <c r="FOV127" s="751"/>
      <c r="FOW127" s="751"/>
      <c r="FOX127" s="751"/>
      <c r="FOY127" s="751"/>
      <c r="FOZ127" s="751"/>
      <c r="FPA127" s="751"/>
      <c r="FPB127" s="751"/>
      <c r="FPC127" s="751"/>
      <c r="FPD127" s="751"/>
      <c r="FPE127" s="751"/>
      <c r="FPF127" s="751"/>
      <c r="FPG127" s="751"/>
      <c r="FPH127" s="751"/>
      <c r="FPI127" s="751"/>
      <c r="FPJ127" s="751"/>
      <c r="FPK127" s="751"/>
      <c r="FPL127" s="751"/>
      <c r="FPM127" s="751"/>
      <c r="FPN127" s="751"/>
      <c r="FPO127" s="751"/>
      <c r="FPP127" s="751"/>
      <c r="FPQ127" s="751"/>
      <c r="FPR127" s="751"/>
      <c r="FPS127" s="751"/>
      <c r="FPT127" s="751"/>
      <c r="FPU127" s="751"/>
      <c r="FPV127" s="751"/>
      <c r="FPW127" s="751"/>
      <c r="FPX127" s="751"/>
      <c r="FPY127" s="751"/>
      <c r="FPZ127" s="751"/>
      <c r="FQA127" s="751"/>
      <c r="FQB127" s="751"/>
      <c r="FQC127" s="751"/>
      <c r="FQD127" s="751"/>
      <c r="FQE127" s="751"/>
      <c r="FQF127" s="751"/>
      <c r="FQG127" s="751"/>
      <c r="FQH127" s="751"/>
      <c r="FQI127" s="751"/>
      <c r="FQJ127" s="751"/>
      <c r="FQK127" s="751"/>
      <c r="FQL127" s="751"/>
      <c r="FQM127" s="751"/>
      <c r="FQN127" s="751"/>
      <c r="FQO127" s="751"/>
      <c r="FQP127" s="751"/>
      <c r="FQQ127" s="751"/>
      <c r="FQR127" s="751"/>
      <c r="FQS127" s="751"/>
      <c r="FQT127" s="751"/>
      <c r="FQU127" s="751"/>
      <c r="FQV127" s="751"/>
      <c r="FQW127" s="751"/>
      <c r="FQX127" s="751"/>
      <c r="FQY127" s="751"/>
      <c r="FQZ127" s="751"/>
      <c r="FRA127" s="751"/>
      <c r="FRB127" s="751"/>
      <c r="FRC127" s="751"/>
      <c r="FRD127" s="751"/>
      <c r="FRE127" s="751"/>
      <c r="FRF127" s="751"/>
      <c r="FRG127" s="751"/>
      <c r="FRH127" s="751"/>
      <c r="FRI127" s="751"/>
      <c r="FRJ127" s="751"/>
      <c r="FRK127" s="751"/>
      <c r="FRL127" s="751"/>
      <c r="FRM127" s="751"/>
      <c r="FRN127" s="751"/>
      <c r="FRO127" s="751"/>
      <c r="FRP127" s="751"/>
      <c r="FRQ127" s="751"/>
      <c r="FRR127" s="751"/>
      <c r="FRS127" s="751"/>
      <c r="FRT127" s="751"/>
      <c r="FRU127" s="751"/>
      <c r="FRV127" s="751"/>
      <c r="FRW127" s="751"/>
      <c r="FRX127" s="751"/>
      <c r="FRY127" s="751"/>
      <c r="FRZ127" s="751"/>
      <c r="FSA127" s="751"/>
      <c r="FSB127" s="751"/>
      <c r="FSC127" s="751"/>
      <c r="FSD127" s="751"/>
      <c r="FSE127" s="751"/>
      <c r="FSF127" s="751"/>
      <c r="FSG127" s="751"/>
      <c r="FSH127" s="751"/>
      <c r="FSI127" s="751"/>
      <c r="FSJ127" s="751"/>
      <c r="FSK127" s="751"/>
      <c r="FSL127" s="751"/>
      <c r="FSM127" s="751"/>
      <c r="FSN127" s="751"/>
      <c r="FSO127" s="751"/>
      <c r="FSP127" s="751"/>
      <c r="FSQ127" s="751"/>
      <c r="FSR127" s="751"/>
      <c r="FSS127" s="751"/>
      <c r="FST127" s="751"/>
      <c r="FSU127" s="751"/>
      <c r="FSV127" s="751"/>
      <c r="FSW127" s="751"/>
      <c r="FSX127" s="751"/>
      <c r="FSY127" s="751"/>
      <c r="FSZ127" s="751"/>
      <c r="FTA127" s="751"/>
      <c r="FTB127" s="751"/>
      <c r="FTC127" s="751"/>
      <c r="FTD127" s="751"/>
      <c r="FTE127" s="751"/>
      <c r="FTF127" s="751"/>
      <c r="FTG127" s="751"/>
      <c r="FTH127" s="751"/>
      <c r="FTI127" s="751"/>
      <c r="FTJ127" s="751"/>
      <c r="FTK127" s="751"/>
      <c r="FTL127" s="751"/>
      <c r="FTM127" s="751"/>
      <c r="FTN127" s="751"/>
      <c r="FTO127" s="751"/>
      <c r="FTP127" s="751"/>
      <c r="FTQ127" s="751"/>
      <c r="FTR127" s="751"/>
      <c r="FTS127" s="751"/>
      <c r="FTT127" s="751"/>
      <c r="FTU127" s="751"/>
      <c r="FTV127" s="751"/>
      <c r="FTW127" s="751"/>
      <c r="FTX127" s="751"/>
      <c r="FTY127" s="751"/>
      <c r="FTZ127" s="751"/>
      <c r="FUA127" s="751"/>
      <c r="FUB127" s="751"/>
      <c r="FUC127" s="751"/>
      <c r="FUD127" s="751"/>
      <c r="FUE127" s="751"/>
      <c r="FUF127" s="751"/>
      <c r="FUG127" s="751"/>
      <c r="FUH127" s="751"/>
      <c r="FUI127" s="751"/>
      <c r="FUJ127" s="751"/>
      <c r="FUK127" s="751"/>
      <c r="FUL127" s="751"/>
      <c r="FUM127" s="751"/>
      <c r="FUN127" s="751"/>
      <c r="FUO127" s="751"/>
      <c r="FUP127" s="751"/>
      <c r="FUQ127" s="751"/>
      <c r="FUR127" s="751"/>
      <c r="FUS127" s="751"/>
      <c r="FUT127" s="751"/>
      <c r="FUU127" s="751"/>
      <c r="FUV127" s="751"/>
      <c r="FUW127" s="751"/>
      <c r="FUX127" s="751"/>
      <c r="FUY127" s="751"/>
      <c r="FUZ127" s="751"/>
      <c r="FVA127" s="751"/>
      <c r="FVB127" s="751"/>
      <c r="FVC127" s="751"/>
      <c r="FVD127" s="751"/>
      <c r="FVE127" s="751"/>
      <c r="FVF127" s="751"/>
      <c r="FVG127" s="751"/>
      <c r="FVH127" s="751"/>
      <c r="FVI127" s="751"/>
      <c r="FVJ127" s="751"/>
      <c r="FVK127" s="751"/>
      <c r="FVL127" s="751"/>
      <c r="FVM127" s="751"/>
      <c r="FVN127" s="751"/>
      <c r="FVO127" s="751"/>
      <c r="FVP127" s="751"/>
      <c r="FVQ127" s="751"/>
      <c r="FVR127" s="751"/>
      <c r="FVS127" s="751"/>
      <c r="FVT127" s="751"/>
      <c r="FVU127" s="751"/>
      <c r="FVV127" s="751"/>
      <c r="FVW127" s="751"/>
      <c r="FVX127" s="751"/>
      <c r="FVY127" s="751"/>
      <c r="FVZ127" s="751"/>
      <c r="FWA127" s="751"/>
      <c r="FWB127" s="751"/>
      <c r="FWC127" s="751"/>
      <c r="FWD127" s="751"/>
      <c r="FWE127" s="751"/>
      <c r="FWF127" s="751"/>
      <c r="FWG127" s="751"/>
      <c r="FWH127" s="751"/>
      <c r="FWI127" s="751"/>
      <c r="FWJ127" s="751"/>
      <c r="FWK127" s="751"/>
      <c r="FWL127" s="751"/>
      <c r="FWM127" s="751"/>
      <c r="FWN127" s="751"/>
      <c r="FWO127" s="751"/>
      <c r="FWP127" s="751"/>
      <c r="FWQ127" s="751"/>
      <c r="FWR127" s="751"/>
      <c r="FWS127" s="751"/>
      <c r="FWT127" s="751"/>
      <c r="FWU127" s="751"/>
      <c r="FWV127" s="751"/>
      <c r="FWW127" s="751"/>
      <c r="FWX127" s="751"/>
      <c r="FWY127" s="751"/>
      <c r="FWZ127" s="751"/>
      <c r="FXA127" s="751"/>
      <c r="FXB127" s="751"/>
      <c r="FXC127" s="751"/>
      <c r="FXD127" s="751"/>
      <c r="FXE127" s="751"/>
      <c r="FXF127" s="751"/>
      <c r="FXG127" s="751"/>
      <c r="FXH127" s="751"/>
      <c r="FXI127" s="751"/>
      <c r="FXJ127" s="751"/>
      <c r="FXK127" s="751"/>
      <c r="FXL127" s="751"/>
      <c r="FXM127" s="751"/>
      <c r="FXN127" s="751"/>
      <c r="FXO127" s="751"/>
      <c r="FXP127" s="751"/>
      <c r="FXQ127" s="751"/>
      <c r="FXR127" s="751"/>
      <c r="FXS127" s="751"/>
      <c r="FXT127" s="751"/>
      <c r="FXU127" s="751"/>
      <c r="FXV127" s="751"/>
      <c r="FXW127" s="751"/>
      <c r="FXX127" s="751"/>
      <c r="FXY127" s="751"/>
      <c r="FXZ127" s="751"/>
      <c r="FYA127" s="751"/>
      <c r="FYB127" s="751"/>
      <c r="FYC127" s="751"/>
      <c r="FYD127" s="751"/>
      <c r="FYE127" s="751"/>
      <c r="FYF127" s="751"/>
      <c r="FYG127" s="751"/>
      <c r="FYH127" s="751"/>
      <c r="FYI127" s="751"/>
      <c r="FYJ127" s="751"/>
      <c r="FYK127" s="751"/>
      <c r="FYL127" s="751"/>
      <c r="FYM127" s="751"/>
      <c r="FYN127" s="751"/>
      <c r="FYO127" s="751"/>
      <c r="FYP127" s="751"/>
      <c r="FYQ127" s="751"/>
      <c r="FYR127" s="751"/>
      <c r="FYS127" s="751"/>
      <c r="FYT127" s="751"/>
      <c r="FYU127" s="751"/>
      <c r="FYV127" s="751"/>
      <c r="FYW127" s="751"/>
      <c r="FYX127" s="751"/>
      <c r="FYY127" s="751"/>
      <c r="FYZ127" s="751"/>
      <c r="FZA127" s="751"/>
      <c r="FZB127" s="751"/>
      <c r="FZC127" s="751"/>
      <c r="FZD127" s="751"/>
      <c r="FZE127" s="751"/>
      <c r="FZF127" s="751"/>
      <c r="FZG127" s="751"/>
      <c r="FZH127" s="751"/>
      <c r="FZI127" s="751"/>
      <c r="FZJ127" s="751"/>
      <c r="FZK127" s="751"/>
      <c r="FZL127" s="751"/>
      <c r="FZM127" s="751"/>
      <c r="FZN127" s="751"/>
      <c r="FZO127" s="751"/>
      <c r="FZP127" s="751"/>
      <c r="FZQ127" s="751"/>
      <c r="FZR127" s="751"/>
      <c r="FZS127" s="751"/>
      <c r="FZT127" s="751"/>
      <c r="FZU127" s="751"/>
      <c r="FZV127" s="751"/>
      <c r="FZW127" s="751"/>
      <c r="FZX127" s="751"/>
      <c r="FZY127" s="751"/>
      <c r="FZZ127" s="751"/>
      <c r="GAA127" s="751"/>
      <c r="GAB127" s="751"/>
      <c r="GAC127" s="751"/>
      <c r="GAD127" s="751"/>
      <c r="GAE127" s="751"/>
      <c r="GAF127" s="751"/>
      <c r="GAG127" s="751"/>
      <c r="GAH127" s="751"/>
      <c r="GAI127" s="751"/>
      <c r="GAJ127" s="751"/>
      <c r="GAK127" s="751"/>
      <c r="GAL127" s="751"/>
      <c r="GAM127" s="751"/>
      <c r="GAN127" s="751"/>
      <c r="GAO127" s="751"/>
      <c r="GAP127" s="751"/>
      <c r="GAQ127" s="751"/>
      <c r="GAR127" s="751"/>
      <c r="GAS127" s="751"/>
      <c r="GAT127" s="751"/>
      <c r="GAU127" s="751"/>
      <c r="GAV127" s="751"/>
      <c r="GAW127" s="751"/>
      <c r="GAX127" s="751"/>
      <c r="GAY127" s="751"/>
      <c r="GAZ127" s="751"/>
      <c r="GBA127" s="751"/>
      <c r="GBB127" s="751"/>
      <c r="GBC127" s="751"/>
      <c r="GBD127" s="751"/>
      <c r="GBE127" s="751"/>
      <c r="GBF127" s="751"/>
      <c r="GBG127" s="751"/>
      <c r="GBH127" s="751"/>
      <c r="GBI127" s="751"/>
      <c r="GBJ127" s="751"/>
      <c r="GBK127" s="751"/>
      <c r="GBL127" s="751"/>
      <c r="GBM127" s="751"/>
      <c r="GBN127" s="751"/>
      <c r="GBO127" s="751"/>
      <c r="GBP127" s="751"/>
      <c r="GBQ127" s="751"/>
      <c r="GBR127" s="751"/>
      <c r="GBS127" s="751"/>
      <c r="GBT127" s="751"/>
      <c r="GBU127" s="751"/>
      <c r="GBV127" s="751"/>
      <c r="GBW127" s="751"/>
      <c r="GBX127" s="751"/>
      <c r="GBY127" s="751"/>
      <c r="GBZ127" s="751"/>
      <c r="GCA127" s="751"/>
      <c r="GCB127" s="751"/>
      <c r="GCC127" s="751"/>
      <c r="GCD127" s="751"/>
      <c r="GCE127" s="751"/>
      <c r="GCF127" s="751"/>
      <c r="GCG127" s="751"/>
      <c r="GCH127" s="751"/>
      <c r="GCI127" s="751"/>
      <c r="GCJ127" s="751"/>
      <c r="GCK127" s="751"/>
      <c r="GCL127" s="751"/>
      <c r="GCM127" s="751"/>
      <c r="GCN127" s="751"/>
      <c r="GCO127" s="751"/>
      <c r="GCP127" s="751"/>
      <c r="GCQ127" s="751"/>
      <c r="GCR127" s="751"/>
      <c r="GCS127" s="751"/>
      <c r="GCT127" s="751"/>
      <c r="GCU127" s="751"/>
      <c r="GCV127" s="751"/>
      <c r="GCW127" s="751"/>
      <c r="GCX127" s="751"/>
      <c r="GCY127" s="751"/>
      <c r="GCZ127" s="751"/>
      <c r="GDA127" s="751"/>
      <c r="GDB127" s="751"/>
      <c r="GDC127" s="751"/>
      <c r="GDD127" s="751"/>
      <c r="GDE127" s="751"/>
      <c r="GDF127" s="751"/>
      <c r="GDG127" s="751"/>
      <c r="GDH127" s="751"/>
      <c r="GDI127" s="751"/>
      <c r="GDJ127" s="751"/>
      <c r="GDK127" s="751"/>
      <c r="GDL127" s="751"/>
      <c r="GDM127" s="751"/>
      <c r="GDN127" s="751"/>
      <c r="GDO127" s="751"/>
      <c r="GDP127" s="751"/>
      <c r="GDQ127" s="751"/>
      <c r="GDR127" s="751"/>
      <c r="GDS127" s="751"/>
      <c r="GDT127" s="751"/>
      <c r="GDU127" s="751"/>
      <c r="GDV127" s="751"/>
      <c r="GDW127" s="751"/>
      <c r="GDX127" s="751"/>
      <c r="GDY127" s="751"/>
      <c r="GDZ127" s="751"/>
      <c r="GEA127" s="751"/>
      <c r="GEB127" s="751"/>
      <c r="GEC127" s="751"/>
      <c r="GED127" s="751"/>
      <c r="GEE127" s="751"/>
      <c r="GEF127" s="751"/>
      <c r="GEG127" s="751"/>
      <c r="GEH127" s="751"/>
      <c r="GEI127" s="751"/>
      <c r="GEJ127" s="751"/>
      <c r="GEK127" s="751"/>
      <c r="GEL127" s="751"/>
      <c r="GEM127" s="751"/>
      <c r="GEN127" s="751"/>
      <c r="GEO127" s="751"/>
      <c r="GEP127" s="751"/>
      <c r="GEQ127" s="751"/>
      <c r="GER127" s="751"/>
      <c r="GES127" s="751"/>
      <c r="GET127" s="751"/>
      <c r="GEU127" s="751"/>
      <c r="GEV127" s="751"/>
      <c r="GEW127" s="751"/>
      <c r="GEX127" s="751"/>
      <c r="GEY127" s="751"/>
      <c r="GEZ127" s="751"/>
      <c r="GFA127" s="751"/>
      <c r="GFB127" s="751"/>
      <c r="GFC127" s="751"/>
      <c r="GFD127" s="751"/>
      <c r="GFE127" s="751"/>
      <c r="GFF127" s="751"/>
      <c r="GFG127" s="751"/>
      <c r="GFH127" s="751"/>
      <c r="GFI127" s="751"/>
      <c r="GFJ127" s="751"/>
      <c r="GFK127" s="751"/>
      <c r="GFL127" s="751"/>
      <c r="GFM127" s="751"/>
      <c r="GFN127" s="751"/>
      <c r="GFO127" s="751"/>
      <c r="GFP127" s="751"/>
      <c r="GFQ127" s="751"/>
      <c r="GFR127" s="751"/>
      <c r="GFS127" s="751"/>
      <c r="GFT127" s="751"/>
      <c r="GFU127" s="751"/>
      <c r="GFV127" s="751"/>
      <c r="GFW127" s="751"/>
      <c r="GFX127" s="751"/>
      <c r="GFY127" s="751"/>
      <c r="GFZ127" s="751"/>
      <c r="GGA127" s="751"/>
      <c r="GGB127" s="751"/>
      <c r="GGC127" s="751"/>
      <c r="GGD127" s="751"/>
      <c r="GGE127" s="751"/>
      <c r="GGF127" s="751"/>
      <c r="GGG127" s="751"/>
      <c r="GGH127" s="751"/>
      <c r="GGI127" s="751"/>
      <c r="GGJ127" s="751"/>
      <c r="GGK127" s="751"/>
      <c r="GGL127" s="751"/>
      <c r="GGM127" s="751"/>
      <c r="GGN127" s="751"/>
      <c r="GGO127" s="751"/>
      <c r="GGP127" s="751"/>
      <c r="GGQ127" s="751"/>
      <c r="GGR127" s="751"/>
      <c r="GGS127" s="751"/>
      <c r="GGT127" s="751"/>
      <c r="GGU127" s="751"/>
      <c r="GGV127" s="751"/>
      <c r="GGW127" s="751"/>
      <c r="GGX127" s="751"/>
      <c r="GGY127" s="751"/>
      <c r="GGZ127" s="751"/>
      <c r="GHA127" s="751"/>
      <c r="GHB127" s="751"/>
      <c r="GHC127" s="751"/>
      <c r="GHD127" s="751"/>
      <c r="GHE127" s="751"/>
      <c r="GHF127" s="751"/>
      <c r="GHG127" s="751"/>
      <c r="GHH127" s="751"/>
      <c r="GHI127" s="751"/>
      <c r="GHJ127" s="751"/>
      <c r="GHK127" s="751"/>
      <c r="GHL127" s="751"/>
      <c r="GHM127" s="751"/>
      <c r="GHN127" s="751"/>
      <c r="GHO127" s="751"/>
      <c r="GHP127" s="751"/>
      <c r="GHQ127" s="751"/>
      <c r="GHR127" s="751"/>
      <c r="GHS127" s="751"/>
      <c r="GHT127" s="751"/>
      <c r="GHU127" s="751"/>
      <c r="GHV127" s="751"/>
      <c r="GHW127" s="751"/>
      <c r="GHX127" s="751"/>
      <c r="GHY127" s="751"/>
      <c r="GHZ127" s="751"/>
      <c r="GIA127" s="751"/>
      <c r="GIB127" s="751"/>
      <c r="GIC127" s="751"/>
      <c r="GID127" s="751"/>
      <c r="GIE127" s="751"/>
      <c r="GIF127" s="751"/>
      <c r="GIG127" s="751"/>
      <c r="GIH127" s="751"/>
      <c r="GII127" s="751"/>
      <c r="GIJ127" s="751"/>
      <c r="GIK127" s="751"/>
      <c r="GIL127" s="751"/>
      <c r="GIM127" s="751"/>
      <c r="GIN127" s="751"/>
      <c r="GIO127" s="751"/>
      <c r="GIP127" s="751"/>
      <c r="GIQ127" s="751"/>
      <c r="GIR127" s="751"/>
      <c r="GIS127" s="751"/>
      <c r="GIT127" s="751"/>
      <c r="GIU127" s="751"/>
      <c r="GIV127" s="751"/>
      <c r="GIW127" s="751"/>
      <c r="GIX127" s="751"/>
      <c r="GIY127" s="751"/>
      <c r="GIZ127" s="751"/>
      <c r="GJA127" s="751"/>
      <c r="GJB127" s="751"/>
      <c r="GJC127" s="751"/>
      <c r="GJD127" s="751"/>
      <c r="GJE127" s="751"/>
      <c r="GJF127" s="751"/>
      <c r="GJG127" s="751"/>
      <c r="GJH127" s="751"/>
      <c r="GJI127" s="751"/>
      <c r="GJJ127" s="751"/>
      <c r="GJK127" s="751"/>
      <c r="GJL127" s="751"/>
      <c r="GJM127" s="751"/>
      <c r="GJN127" s="751"/>
      <c r="GJO127" s="751"/>
      <c r="GJP127" s="751"/>
      <c r="GJQ127" s="751"/>
      <c r="GJR127" s="751"/>
      <c r="GJS127" s="751"/>
      <c r="GJT127" s="751"/>
      <c r="GJU127" s="751"/>
      <c r="GJV127" s="751"/>
      <c r="GJW127" s="751"/>
      <c r="GJX127" s="751"/>
      <c r="GJY127" s="751"/>
      <c r="GJZ127" s="751"/>
      <c r="GKA127" s="751"/>
      <c r="GKB127" s="751"/>
      <c r="GKC127" s="751"/>
      <c r="GKD127" s="751"/>
      <c r="GKE127" s="751"/>
      <c r="GKF127" s="751"/>
      <c r="GKG127" s="751"/>
      <c r="GKH127" s="751"/>
      <c r="GKI127" s="751"/>
      <c r="GKJ127" s="751"/>
      <c r="GKK127" s="751"/>
      <c r="GKL127" s="751"/>
      <c r="GKM127" s="751"/>
      <c r="GKN127" s="751"/>
      <c r="GKO127" s="751"/>
      <c r="GKP127" s="751"/>
      <c r="GKQ127" s="751"/>
      <c r="GKR127" s="751"/>
      <c r="GKS127" s="751"/>
      <c r="GKT127" s="751"/>
      <c r="GKU127" s="751"/>
      <c r="GKV127" s="751"/>
      <c r="GKW127" s="751"/>
      <c r="GKX127" s="751"/>
      <c r="GKY127" s="751"/>
      <c r="GKZ127" s="751"/>
      <c r="GLA127" s="751"/>
      <c r="GLB127" s="751"/>
      <c r="GLC127" s="751"/>
      <c r="GLD127" s="751"/>
      <c r="GLE127" s="751"/>
      <c r="GLF127" s="751"/>
      <c r="GLG127" s="751"/>
      <c r="GLH127" s="751"/>
      <c r="GLI127" s="751"/>
      <c r="GLJ127" s="751"/>
      <c r="GLK127" s="751"/>
      <c r="GLL127" s="751"/>
      <c r="GLM127" s="751"/>
      <c r="GLN127" s="751"/>
      <c r="GLO127" s="751"/>
      <c r="GLP127" s="751"/>
      <c r="GLQ127" s="751"/>
      <c r="GLR127" s="751"/>
      <c r="GLS127" s="751"/>
      <c r="GLT127" s="751"/>
      <c r="GLU127" s="751"/>
      <c r="GLV127" s="751"/>
      <c r="GLW127" s="751"/>
      <c r="GLX127" s="751"/>
      <c r="GLY127" s="751"/>
      <c r="GLZ127" s="751"/>
      <c r="GMA127" s="751"/>
      <c r="GMB127" s="751"/>
      <c r="GMC127" s="751"/>
      <c r="GMD127" s="751"/>
      <c r="GME127" s="751"/>
      <c r="GMF127" s="751"/>
      <c r="GMG127" s="751"/>
      <c r="GMH127" s="751"/>
      <c r="GMI127" s="751"/>
      <c r="GMJ127" s="751"/>
      <c r="GMK127" s="751"/>
      <c r="GML127" s="751"/>
      <c r="GMM127" s="751"/>
      <c r="GMN127" s="751"/>
      <c r="GMO127" s="751"/>
      <c r="GMP127" s="751"/>
      <c r="GMQ127" s="751"/>
      <c r="GMR127" s="751"/>
      <c r="GMS127" s="751"/>
      <c r="GMT127" s="751"/>
      <c r="GMU127" s="751"/>
      <c r="GMV127" s="751"/>
      <c r="GMW127" s="751"/>
      <c r="GMX127" s="751"/>
      <c r="GMY127" s="751"/>
      <c r="GMZ127" s="751"/>
      <c r="GNA127" s="751"/>
      <c r="GNB127" s="751"/>
      <c r="GNC127" s="751"/>
      <c r="GND127" s="751"/>
      <c r="GNE127" s="751"/>
      <c r="GNF127" s="751"/>
      <c r="GNG127" s="751"/>
      <c r="GNH127" s="751"/>
      <c r="GNI127" s="751"/>
      <c r="GNJ127" s="751"/>
      <c r="GNK127" s="751"/>
      <c r="GNL127" s="751"/>
      <c r="GNM127" s="751"/>
      <c r="GNN127" s="751"/>
      <c r="GNO127" s="751"/>
      <c r="GNP127" s="751"/>
      <c r="GNQ127" s="751"/>
      <c r="GNR127" s="751"/>
      <c r="GNS127" s="751"/>
      <c r="GNT127" s="751"/>
      <c r="GNU127" s="751"/>
      <c r="GNV127" s="751"/>
      <c r="GNW127" s="751"/>
      <c r="GNX127" s="751"/>
      <c r="GNY127" s="751"/>
      <c r="GNZ127" s="751"/>
      <c r="GOA127" s="751"/>
      <c r="GOB127" s="751"/>
      <c r="GOC127" s="751"/>
      <c r="GOD127" s="751"/>
      <c r="GOE127" s="751"/>
      <c r="GOF127" s="751"/>
      <c r="GOG127" s="751"/>
      <c r="GOH127" s="751"/>
      <c r="GOI127" s="751"/>
      <c r="GOJ127" s="751"/>
      <c r="GOK127" s="751"/>
      <c r="GOL127" s="751"/>
      <c r="GOM127" s="751"/>
      <c r="GON127" s="751"/>
      <c r="GOO127" s="751"/>
      <c r="GOP127" s="751"/>
      <c r="GOQ127" s="751"/>
      <c r="GOR127" s="751"/>
      <c r="GOS127" s="751"/>
      <c r="GOT127" s="751"/>
      <c r="GOU127" s="751"/>
      <c r="GOV127" s="751"/>
      <c r="GOW127" s="751"/>
      <c r="GOX127" s="751"/>
      <c r="GOY127" s="751"/>
      <c r="GOZ127" s="751"/>
      <c r="GPA127" s="751"/>
      <c r="GPB127" s="751"/>
      <c r="GPC127" s="751"/>
      <c r="GPD127" s="751"/>
      <c r="GPE127" s="751"/>
      <c r="GPF127" s="751"/>
      <c r="GPG127" s="751"/>
      <c r="GPH127" s="751"/>
      <c r="GPI127" s="751"/>
      <c r="GPJ127" s="751"/>
      <c r="GPK127" s="751"/>
      <c r="GPL127" s="751"/>
      <c r="GPM127" s="751"/>
      <c r="GPN127" s="751"/>
      <c r="GPO127" s="751"/>
      <c r="GPP127" s="751"/>
      <c r="GPQ127" s="751"/>
      <c r="GPR127" s="751"/>
      <c r="GPS127" s="751"/>
      <c r="GPT127" s="751"/>
      <c r="GPU127" s="751"/>
      <c r="GPV127" s="751"/>
      <c r="GPW127" s="751"/>
      <c r="GPX127" s="751"/>
      <c r="GPY127" s="751"/>
      <c r="GPZ127" s="751"/>
      <c r="GQA127" s="751"/>
      <c r="GQB127" s="751"/>
      <c r="GQC127" s="751"/>
      <c r="GQD127" s="751"/>
      <c r="GQE127" s="751"/>
      <c r="GQF127" s="751"/>
      <c r="GQG127" s="751"/>
      <c r="GQH127" s="751"/>
      <c r="GQI127" s="751"/>
      <c r="GQJ127" s="751"/>
      <c r="GQK127" s="751"/>
      <c r="GQL127" s="751"/>
      <c r="GQM127" s="751"/>
      <c r="GQN127" s="751"/>
      <c r="GQO127" s="751"/>
      <c r="GQP127" s="751"/>
      <c r="GQQ127" s="751"/>
      <c r="GQR127" s="751"/>
      <c r="GQS127" s="751"/>
      <c r="GQT127" s="751"/>
      <c r="GQU127" s="751"/>
      <c r="GQV127" s="751"/>
      <c r="GQW127" s="751"/>
      <c r="GQX127" s="751"/>
      <c r="GQY127" s="751"/>
      <c r="GQZ127" s="751"/>
      <c r="GRA127" s="751"/>
      <c r="GRB127" s="751"/>
      <c r="GRC127" s="751"/>
      <c r="GRD127" s="751"/>
      <c r="GRE127" s="751"/>
      <c r="GRF127" s="751"/>
      <c r="GRG127" s="751"/>
      <c r="GRH127" s="751"/>
      <c r="GRI127" s="751"/>
      <c r="GRJ127" s="751"/>
      <c r="GRK127" s="751"/>
      <c r="GRL127" s="751"/>
      <c r="GRM127" s="751"/>
      <c r="GRN127" s="751"/>
      <c r="GRO127" s="751"/>
      <c r="GRP127" s="751"/>
      <c r="GRQ127" s="751"/>
      <c r="GRR127" s="751"/>
      <c r="GRS127" s="751"/>
      <c r="GRT127" s="751"/>
      <c r="GRU127" s="751"/>
      <c r="GRV127" s="751"/>
      <c r="GRW127" s="751"/>
      <c r="GRX127" s="751"/>
      <c r="GRY127" s="751"/>
      <c r="GRZ127" s="751"/>
      <c r="GSA127" s="751"/>
      <c r="GSB127" s="751"/>
      <c r="GSC127" s="751"/>
      <c r="GSD127" s="751"/>
      <c r="GSE127" s="751"/>
      <c r="GSF127" s="751"/>
      <c r="GSG127" s="751"/>
      <c r="GSH127" s="751"/>
      <c r="GSI127" s="751"/>
      <c r="GSJ127" s="751"/>
      <c r="GSK127" s="751"/>
      <c r="GSL127" s="751"/>
      <c r="GSM127" s="751"/>
      <c r="GSN127" s="751"/>
      <c r="GSO127" s="751"/>
      <c r="GSP127" s="751"/>
      <c r="GSQ127" s="751"/>
      <c r="GSR127" s="751"/>
      <c r="GSS127" s="751"/>
      <c r="GST127" s="751"/>
      <c r="GSU127" s="751"/>
      <c r="GSV127" s="751"/>
      <c r="GSW127" s="751"/>
      <c r="GSX127" s="751"/>
      <c r="GSY127" s="751"/>
      <c r="GSZ127" s="751"/>
      <c r="GTA127" s="751"/>
      <c r="GTB127" s="751"/>
      <c r="GTC127" s="751"/>
      <c r="GTD127" s="751"/>
      <c r="GTE127" s="751"/>
      <c r="GTF127" s="751"/>
      <c r="GTG127" s="751"/>
      <c r="GTH127" s="751"/>
      <c r="GTI127" s="751"/>
      <c r="GTJ127" s="751"/>
      <c r="GTK127" s="751"/>
      <c r="GTL127" s="751"/>
      <c r="GTM127" s="751"/>
      <c r="GTN127" s="751"/>
      <c r="GTO127" s="751"/>
      <c r="GTP127" s="751"/>
      <c r="GTQ127" s="751"/>
      <c r="GTR127" s="751"/>
      <c r="GTS127" s="751"/>
      <c r="GTT127" s="751"/>
      <c r="GTU127" s="751"/>
      <c r="GTV127" s="751"/>
      <c r="GTW127" s="751"/>
      <c r="GTX127" s="751"/>
      <c r="GTY127" s="751"/>
      <c r="GTZ127" s="751"/>
      <c r="GUA127" s="751"/>
      <c r="GUB127" s="751"/>
      <c r="GUC127" s="751"/>
      <c r="GUD127" s="751"/>
      <c r="GUE127" s="751"/>
      <c r="GUF127" s="751"/>
      <c r="GUG127" s="751"/>
      <c r="GUH127" s="751"/>
      <c r="GUI127" s="751"/>
      <c r="GUJ127" s="751"/>
      <c r="GUK127" s="751"/>
      <c r="GUL127" s="751"/>
      <c r="GUM127" s="751"/>
      <c r="GUN127" s="751"/>
      <c r="GUO127" s="751"/>
      <c r="GUP127" s="751"/>
      <c r="GUQ127" s="751"/>
      <c r="GUR127" s="751"/>
      <c r="GUS127" s="751"/>
      <c r="GUT127" s="751"/>
      <c r="GUU127" s="751"/>
      <c r="GUV127" s="751"/>
      <c r="GUW127" s="751"/>
      <c r="GUX127" s="751"/>
      <c r="GUY127" s="751"/>
      <c r="GUZ127" s="751"/>
      <c r="GVA127" s="751"/>
      <c r="GVB127" s="751"/>
      <c r="GVC127" s="751"/>
      <c r="GVD127" s="751"/>
      <c r="GVE127" s="751"/>
      <c r="GVF127" s="751"/>
      <c r="GVG127" s="751"/>
      <c r="GVH127" s="751"/>
      <c r="GVI127" s="751"/>
      <c r="GVJ127" s="751"/>
      <c r="GVK127" s="751"/>
      <c r="GVL127" s="751"/>
      <c r="GVM127" s="751"/>
      <c r="GVN127" s="751"/>
      <c r="GVO127" s="751"/>
      <c r="GVP127" s="751"/>
      <c r="GVQ127" s="751"/>
      <c r="GVR127" s="751"/>
      <c r="GVS127" s="751"/>
      <c r="GVT127" s="751"/>
      <c r="GVU127" s="751"/>
      <c r="GVV127" s="751"/>
      <c r="GVW127" s="751"/>
      <c r="GVX127" s="751"/>
      <c r="GVY127" s="751"/>
      <c r="GVZ127" s="751"/>
      <c r="GWA127" s="751"/>
      <c r="GWB127" s="751"/>
      <c r="GWC127" s="751"/>
      <c r="GWD127" s="751"/>
      <c r="GWE127" s="751"/>
      <c r="GWF127" s="751"/>
      <c r="GWG127" s="751"/>
      <c r="GWH127" s="751"/>
      <c r="GWI127" s="751"/>
      <c r="GWJ127" s="751"/>
      <c r="GWK127" s="751"/>
      <c r="GWL127" s="751"/>
      <c r="GWM127" s="751"/>
      <c r="GWN127" s="751"/>
      <c r="GWO127" s="751"/>
      <c r="GWP127" s="751"/>
      <c r="GWQ127" s="751"/>
      <c r="GWR127" s="751"/>
      <c r="GWS127" s="751"/>
      <c r="GWT127" s="751"/>
      <c r="GWU127" s="751"/>
      <c r="GWV127" s="751"/>
      <c r="GWW127" s="751"/>
      <c r="GWX127" s="751"/>
      <c r="GWY127" s="751"/>
      <c r="GWZ127" s="751"/>
      <c r="GXA127" s="751"/>
      <c r="GXB127" s="751"/>
      <c r="GXC127" s="751"/>
      <c r="GXD127" s="751"/>
      <c r="GXE127" s="751"/>
      <c r="GXF127" s="751"/>
      <c r="GXG127" s="751"/>
      <c r="GXH127" s="751"/>
      <c r="GXI127" s="751"/>
      <c r="GXJ127" s="751"/>
      <c r="GXK127" s="751"/>
      <c r="GXL127" s="751"/>
      <c r="GXM127" s="751"/>
      <c r="GXN127" s="751"/>
      <c r="GXO127" s="751"/>
      <c r="GXP127" s="751"/>
      <c r="GXQ127" s="751"/>
      <c r="GXR127" s="751"/>
      <c r="GXS127" s="751"/>
      <c r="GXT127" s="751"/>
      <c r="GXU127" s="751"/>
      <c r="GXV127" s="751"/>
      <c r="GXW127" s="751"/>
      <c r="GXX127" s="751"/>
      <c r="GXY127" s="751"/>
      <c r="GXZ127" s="751"/>
      <c r="GYA127" s="751"/>
      <c r="GYB127" s="751"/>
      <c r="GYC127" s="751"/>
      <c r="GYD127" s="751"/>
      <c r="GYE127" s="751"/>
      <c r="GYF127" s="751"/>
      <c r="GYG127" s="751"/>
      <c r="GYH127" s="751"/>
      <c r="GYI127" s="751"/>
      <c r="GYJ127" s="751"/>
      <c r="GYK127" s="751"/>
      <c r="GYL127" s="751"/>
      <c r="GYM127" s="751"/>
      <c r="GYN127" s="751"/>
      <c r="GYO127" s="751"/>
      <c r="GYP127" s="751"/>
      <c r="GYQ127" s="751"/>
      <c r="GYR127" s="751"/>
      <c r="GYS127" s="751"/>
      <c r="GYT127" s="751"/>
      <c r="GYU127" s="751"/>
      <c r="GYV127" s="751"/>
      <c r="GYW127" s="751"/>
      <c r="GYX127" s="751"/>
      <c r="GYY127" s="751"/>
      <c r="GYZ127" s="751"/>
      <c r="GZA127" s="751"/>
      <c r="GZB127" s="751"/>
      <c r="GZC127" s="751"/>
      <c r="GZD127" s="751"/>
      <c r="GZE127" s="751"/>
      <c r="GZF127" s="751"/>
      <c r="GZG127" s="751"/>
      <c r="GZH127" s="751"/>
      <c r="GZI127" s="751"/>
      <c r="GZJ127" s="751"/>
      <c r="GZK127" s="751"/>
      <c r="GZL127" s="751"/>
      <c r="GZM127" s="751"/>
      <c r="GZN127" s="751"/>
      <c r="GZO127" s="751"/>
      <c r="GZP127" s="751"/>
      <c r="GZQ127" s="751"/>
      <c r="GZR127" s="751"/>
      <c r="GZS127" s="751"/>
      <c r="GZT127" s="751"/>
      <c r="GZU127" s="751"/>
      <c r="GZV127" s="751"/>
      <c r="GZW127" s="751"/>
      <c r="GZX127" s="751"/>
      <c r="GZY127" s="751"/>
      <c r="GZZ127" s="751"/>
      <c r="HAA127" s="751"/>
      <c r="HAB127" s="751"/>
      <c r="HAC127" s="751"/>
      <c r="HAD127" s="751"/>
      <c r="HAE127" s="751"/>
      <c r="HAF127" s="751"/>
      <c r="HAG127" s="751"/>
      <c r="HAH127" s="751"/>
      <c r="HAI127" s="751"/>
      <c r="HAJ127" s="751"/>
      <c r="HAK127" s="751"/>
      <c r="HAL127" s="751"/>
      <c r="HAM127" s="751"/>
      <c r="HAN127" s="751"/>
      <c r="HAO127" s="751"/>
      <c r="HAP127" s="751"/>
      <c r="HAQ127" s="751"/>
      <c r="HAR127" s="751"/>
      <c r="HAS127" s="751"/>
      <c r="HAT127" s="751"/>
      <c r="HAU127" s="751"/>
      <c r="HAV127" s="751"/>
      <c r="HAW127" s="751"/>
      <c r="HAX127" s="751"/>
      <c r="HAY127" s="751"/>
      <c r="HAZ127" s="751"/>
      <c r="HBA127" s="751"/>
      <c r="HBB127" s="751"/>
      <c r="HBC127" s="751"/>
      <c r="HBD127" s="751"/>
      <c r="HBE127" s="751"/>
      <c r="HBF127" s="751"/>
      <c r="HBG127" s="751"/>
      <c r="HBH127" s="751"/>
      <c r="HBI127" s="751"/>
      <c r="HBJ127" s="751"/>
      <c r="HBK127" s="751"/>
      <c r="HBL127" s="751"/>
      <c r="HBM127" s="751"/>
      <c r="HBN127" s="751"/>
      <c r="HBO127" s="751"/>
      <c r="HBP127" s="751"/>
      <c r="HBQ127" s="751"/>
      <c r="HBR127" s="751"/>
      <c r="HBS127" s="751"/>
      <c r="HBT127" s="751"/>
      <c r="HBU127" s="751"/>
      <c r="HBV127" s="751"/>
      <c r="HBW127" s="751"/>
      <c r="HBX127" s="751"/>
      <c r="HBY127" s="751"/>
      <c r="HBZ127" s="751"/>
      <c r="HCA127" s="751"/>
      <c r="HCB127" s="751"/>
      <c r="HCC127" s="751"/>
      <c r="HCD127" s="751"/>
      <c r="HCE127" s="751"/>
      <c r="HCF127" s="751"/>
      <c r="HCG127" s="751"/>
      <c r="HCH127" s="751"/>
      <c r="HCI127" s="751"/>
      <c r="HCJ127" s="751"/>
      <c r="HCK127" s="751"/>
      <c r="HCL127" s="751"/>
      <c r="HCM127" s="751"/>
      <c r="HCN127" s="751"/>
      <c r="HCO127" s="751"/>
      <c r="HCP127" s="751"/>
      <c r="HCQ127" s="751"/>
      <c r="HCR127" s="751"/>
      <c r="HCS127" s="751"/>
      <c r="HCT127" s="751"/>
      <c r="HCU127" s="751"/>
      <c r="HCV127" s="751"/>
      <c r="HCW127" s="751"/>
      <c r="HCX127" s="751"/>
      <c r="HCY127" s="751"/>
      <c r="HCZ127" s="751"/>
      <c r="HDA127" s="751"/>
      <c r="HDB127" s="751"/>
      <c r="HDC127" s="751"/>
      <c r="HDD127" s="751"/>
      <c r="HDE127" s="751"/>
      <c r="HDF127" s="751"/>
      <c r="HDG127" s="751"/>
      <c r="HDH127" s="751"/>
      <c r="HDI127" s="751"/>
      <c r="HDJ127" s="751"/>
      <c r="HDK127" s="751"/>
      <c r="HDL127" s="751"/>
      <c r="HDM127" s="751"/>
      <c r="HDN127" s="751"/>
      <c r="HDO127" s="751"/>
      <c r="HDP127" s="751"/>
      <c r="HDQ127" s="751"/>
      <c r="HDR127" s="751"/>
      <c r="HDS127" s="751"/>
      <c r="HDT127" s="751"/>
      <c r="HDU127" s="751"/>
      <c r="HDV127" s="751"/>
      <c r="HDW127" s="751"/>
      <c r="HDX127" s="751"/>
      <c r="HDY127" s="751"/>
      <c r="HDZ127" s="751"/>
      <c r="HEA127" s="751"/>
      <c r="HEB127" s="751"/>
      <c r="HEC127" s="751"/>
      <c r="HED127" s="751"/>
      <c r="HEE127" s="751"/>
      <c r="HEF127" s="751"/>
      <c r="HEG127" s="751"/>
      <c r="HEH127" s="751"/>
      <c r="HEI127" s="751"/>
      <c r="HEJ127" s="751"/>
      <c r="HEK127" s="751"/>
      <c r="HEL127" s="751"/>
      <c r="HEM127" s="751"/>
      <c r="HEN127" s="751"/>
      <c r="HEO127" s="751"/>
      <c r="HEP127" s="751"/>
      <c r="HEQ127" s="751"/>
      <c r="HER127" s="751"/>
      <c r="HES127" s="751"/>
      <c r="HET127" s="751"/>
      <c r="HEU127" s="751"/>
      <c r="HEV127" s="751"/>
      <c r="HEW127" s="751"/>
      <c r="HEX127" s="751"/>
      <c r="HEY127" s="751"/>
      <c r="HEZ127" s="751"/>
      <c r="HFA127" s="751"/>
      <c r="HFB127" s="751"/>
      <c r="HFC127" s="751"/>
      <c r="HFD127" s="751"/>
      <c r="HFE127" s="751"/>
      <c r="HFF127" s="751"/>
      <c r="HFG127" s="751"/>
      <c r="HFH127" s="751"/>
      <c r="HFI127" s="751"/>
      <c r="HFJ127" s="751"/>
      <c r="HFK127" s="751"/>
      <c r="HFL127" s="751"/>
      <c r="HFM127" s="751"/>
      <c r="HFN127" s="751"/>
      <c r="HFO127" s="751"/>
      <c r="HFP127" s="751"/>
      <c r="HFQ127" s="751"/>
      <c r="HFR127" s="751"/>
      <c r="HFS127" s="751"/>
      <c r="HFT127" s="751"/>
      <c r="HFU127" s="751"/>
      <c r="HFV127" s="751"/>
      <c r="HFW127" s="751"/>
      <c r="HFX127" s="751"/>
      <c r="HFY127" s="751"/>
      <c r="HFZ127" s="751"/>
      <c r="HGA127" s="751"/>
      <c r="HGB127" s="751"/>
      <c r="HGC127" s="751"/>
      <c r="HGD127" s="751"/>
      <c r="HGE127" s="751"/>
      <c r="HGF127" s="751"/>
      <c r="HGG127" s="751"/>
      <c r="HGH127" s="751"/>
      <c r="HGI127" s="751"/>
      <c r="HGJ127" s="751"/>
      <c r="HGK127" s="751"/>
      <c r="HGL127" s="751"/>
      <c r="HGM127" s="751"/>
      <c r="HGN127" s="751"/>
      <c r="HGO127" s="751"/>
      <c r="HGP127" s="751"/>
      <c r="HGQ127" s="751"/>
      <c r="HGR127" s="751"/>
      <c r="HGS127" s="751"/>
      <c r="HGT127" s="751"/>
      <c r="HGU127" s="751"/>
      <c r="HGV127" s="751"/>
      <c r="HGW127" s="751"/>
      <c r="HGX127" s="751"/>
      <c r="HGY127" s="751"/>
      <c r="HGZ127" s="751"/>
      <c r="HHA127" s="751"/>
      <c r="HHB127" s="751"/>
      <c r="HHC127" s="751"/>
      <c r="HHD127" s="751"/>
      <c r="HHE127" s="751"/>
      <c r="HHF127" s="751"/>
      <c r="HHG127" s="751"/>
      <c r="HHH127" s="751"/>
      <c r="HHI127" s="751"/>
      <c r="HHJ127" s="751"/>
      <c r="HHK127" s="751"/>
      <c r="HHL127" s="751"/>
      <c r="HHM127" s="751"/>
      <c r="HHN127" s="751"/>
      <c r="HHO127" s="751"/>
      <c r="HHP127" s="751"/>
      <c r="HHQ127" s="751"/>
      <c r="HHR127" s="751"/>
      <c r="HHS127" s="751"/>
      <c r="HHT127" s="751"/>
      <c r="HHU127" s="751"/>
      <c r="HHV127" s="751"/>
      <c r="HHW127" s="751"/>
      <c r="HHX127" s="751"/>
      <c r="HHY127" s="751"/>
      <c r="HHZ127" s="751"/>
      <c r="HIA127" s="751"/>
      <c r="HIB127" s="751"/>
      <c r="HIC127" s="751"/>
      <c r="HID127" s="751"/>
      <c r="HIE127" s="751"/>
      <c r="HIF127" s="751"/>
      <c r="HIG127" s="751"/>
      <c r="HIH127" s="751"/>
      <c r="HII127" s="751"/>
      <c r="HIJ127" s="751"/>
      <c r="HIK127" s="751"/>
      <c r="HIL127" s="751"/>
      <c r="HIM127" s="751"/>
      <c r="HIN127" s="751"/>
      <c r="HIO127" s="751"/>
      <c r="HIP127" s="751"/>
      <c r="HIQ127" s="751"/>
      <c r="HIR127" s="751"/>
      <c r="HIS127" s="751"/>
      <c r="HIT127" s="751"/>
      <c r="HIU127" s="751"/>
      <c r="HIV127" s="751"/>
      <c r="HIW127" s="751"/>
      <c r="HIX127" s="751"/>
      <c r="HIY127" s="751"/>
      <c r="HIZ127" s="751"/>
      <c r="HJA127" s="751"/>
      <c r="HJB127" s="751"/>
      <c r="HJC127" s="751"/>
      <c r="HJD127" s="751"/>
      <c r="HJE127" s="751"/>
      <c r="HJF127" s="751"/>
      <c r="HJG127" s="751"/>
      <c r="HJH127" s="751"/>
      <c r="HJI127" s="751"/>
      <c r="HJJ127" s="751"/>
      <c r="HJK127" s="751"/>
      <c r="HJL127" s="751"/>
      <c r="HJM127" s="751"/>
      <c r="HJN127" s="751"/>
      <c r="HJO127" s="751"/>
      <c r="HJP127" s="751"/>
      <c r="HJQ127" s="751"/>
      <c r="HJR127" s="751"/>
      <c r="HJS127" s="751"/>
      <c r="HJT127" s="751"/>
      <c r="HJU127" s="751"/>
      <c r="HJV127" s="751"/>
      <c r="HJW127" s="751"/>
      <c r="HJX127" s="751"/>
      <c r="HJY127" s="751"/>
      <c r="HJZ127" s="751"/>
      <c r="HKA127" s="751"/>
      <c r="HKB127" s="751"/>
      <c r="HKC127" s="751"/>
      <c r="HKD127" s="751"/>
      <c r="HKE127" s="751"/>
      <c r="HKF127" s="751"/>
      <c r="HKG127" s="751"/>
      <c r="HKH127" s="751"/>
      <c r="HKI127" s="751"/>
      <c r="HKJ127" s="751"/>
      <c r="HKK127" s="751"/>
      <c r="HKL127" s="751"/>
      <c r="HKM127" s="751"/>
      <c r="HKN127" s="751"/>
      <c r="HKO127" s="751"/>
      <c r="HKP127" s="751"/>
      <c r="HKQ127" s="751"/>
      <c r="HKR127" s="751"/>
      <c r="HKS127" s="751"/>
      <c r="HKT127" s="751"/>
      <c r="HKU127" s="751"/>
      <c r="HKV127" s="751"/>
      <c r="HKW127" s="751"/>
      <c r="HKX127" s="751"/>
      <c r="HKY127" s="751"/>
      <c r="HKZ127" s="751"/>
      <c r="HLA127" s="751"/>
      <c r="HLB127" s="751"/>
      <c r="HLC127" s="751"/>
      <c r="HLD127" s="751"/>
      <c r="HLE127" s="751"/>
      <c r="HLF127" s="751"/>
      <c r="HLG127" s="751"/>
      <c r="HLH127" s="751"/>
      <c r="HLI127" s="751"/>
      <c r="HLJ127" s="751"/>
      <c r="HLK127" s="751"/>
      <c r="HLL127" s="751"/>
      <c r="HLM127" s="751"/>
      <c r="HLN127" s="751"/>
      <c r="HLO127" s="751"/>
      <c r="HLP127" s="751"/>
      <c r="HLQ127" s="751"/>
      <c r="HLR127" s="751"/>
      <c r="HLS127" s="751"/>
      <c r="HLT127" s="751"/>
      <c r="HLU127" s="751"/>
      <c r="HLV127" s="751"/>
      <c r="HLW127" s="751"/>
      <c r="HLX127" s="751"/>
      <c r="HLY127" s="751"/>
      <c r="HLZ127" s="751"/>
      <c r="HMA127" s="751"/>
      <c r="HMB127" s="751"/>
      <c r="HMC127" s="751"/>
      <c r="HMD127" s="751"/>
      <c r="HME127" s="751"/>
      <c r="HMF127" s="751"/>
      <c r="HMG127" s="751"/>
      <c r="HMH127" s="751"/>
      <c r="HMI127" s="751"/>
      <c r="HMJ127" s="751"/>
      <c r="HMK127" s="751"/>
      <c r="HML127" s="751"/>
      <c r="HMM127" s="751"/>
      <c r="HMN127" s="751"/>
      <c r="HMO127" s="751"/>
      <c r="HMP127" s="751"/>
      <c r="HMQ127" s="751"/>
      <c r="HMR127" s="751"/>
      <c r="HMS127" s="751"/>
      <c r="HMT127" s="751"/>
      <c r="HMU127" s="751"/>
      <c r="HMV127" s="751"/>
      <c r="HMW127" s="751"/>
      <c r="HMX127" s="751"/>
      <c r="HMY127" s="751"/>
      <c r="HMZ127" s="751"/>
      <c r="HNA127" s="751"/>
      <c r="HNB127" s="751"/>
      <c r="HNC127" s="751"/>
      <c r="HND127" s="751"/>
      <c r="HNE127" s="751"/>
      <c r="HNF127" s="751"/>
      <c r="HNG127" s="751"/>
      <c r="HNH127" s="751"/>
      <c r="HNI127" s="751"/>
      <c r="HNJ127" s="751"/>
      <c r="HNK127" s="751"/>
      <c r="HNL127" s="751"/>
      <c r="HNM127" s="751"/>
      <c r="HNN127" s="751"/>
      <c r="HNO127" s="751"/>
      <c r="HNP127" s="751"/>
      <c r="HNQ127" s="751"/>
      <c r="HNR127" s="751"/>
      <c r="HNS127" s="751"/>
      <c r="HNT127" s="751"/>
      <c r="HNU127" s="751"/>
      <c r="HNV127" s="751"/>
      <c r="HNW127" s="751"/>
      <c r="HNX127" s="751"/>
      <c r="HNY127" s="751"/>
      <c r="HNZ127" s="751"/>
      <c r="HOA127" s="751"/>
      <c r="HOB127" s="751"/>
      <c r="HOC127" s="751"/>
      <c r="HOD127" s="751"/>
      <c r="HOE127" s="751"/>
      <c r="HOF127" s="751"/>
      <c r="HOG127" s="751"/>
      <c r="HOH127" s="751"/>
      <c r="HOI127" s="751"/>
      <c r="HOJ127" s="751"/>
      <c r="HOK127" s="751"/>
      <c r="HOL127" s="751"/>
      <c r="HOM127" s="751"/>
      <c r="HON127" s="751"/>
      <c r="HOO127" s="751"/>
      <c r="HOP127" s="751"/>
      <c r="HOQ127" s="751"/>
      <c r="HOR127" s="751"/>
      <c r="HOS127" s="751"/>
      <c r="HOT127" s="751"/>
      <c r="HOU127" s="751"/>
      <c r="HOV127" s="751"/>
      <c r="HOW127" s="751"/>
      <c r="HOX127" s="751"/>
      <c r="HOY127" s="751"/>
      <c r="HOZ127" s="751"/>
      <c r="HPA127" s="751"/>
      <c r="HPB127" s="751"/>
      <c r="HPC127" s="751"/>
      <c r="HPD127" s="751"/>
      <c r="HPE127" s="751"/>
      <c r="HPF127" s="751"/>
      <c r="HPG127" s="751"/>
      <c r="HPH127" s="751"/>
      <c r="HPI127" s="751"/>
      <c r="HPJ127" s="751"/>
      <c r="HPK127" s="751"/>
      <c r="HPL127" s="751"/>
      <c r="HPM127" s="751"/>
      <c r="HPN127" s="751"/>
      <c r="HPO127" s="751"/>
      <c r="HPP127" s="751"/>
      <c r="HPQ127" s="751"/>
      <c r="HPR127" s="751"/>
      <c r="HPS127" s="751"/>
      <c r="HPT127" s="751"/>
      <c r="HPU127" s="751"/>
      <c r="HPV127" s="751"/>
      <c r="HPW127" s="751"/>
      <c r="HPX127" s="751"/>
      <c r="HPY127" s="751"/>
      <c r="HPZ127" s="751"/>
      <c r="HQA127" s="751"/>
      <c r="HQB127" s="751"/>
      <c r="HQC127" s="751"/>
      <c r="HQD127" s="751"/>
      <c r="HQE127" s="751"/>
      <c r="HQF127" s="751"/>
      <c r="HQG127" s="751"/>
      <c r="HQH127" s="751"/>
      <c r="HQI127" s="751"/>
      <c r="HQJ127" s="751"/>
      <c r="HQK127" s="751"/>
      <c r="HQL127" s="751"/>
      <c r="HQM127" s="751"/>
      <c r="HQN127" s="751"/>
      <c r="HQO127" s="751"/>
      <c r="HQP127" s="751"/>
      <c r="HQQ127" s="751"/>
      <c r="HQR127" s="751"/>
      <c r="HQS127" s="751"/>
      <c r="HQT127" s="751"/>
      <c r="HQU127" s="751"/>
      <c r="HQV127" s="751"/>
      <c r="HQW127" s="751"/>
      <c r="HQX127" s="751"/>
      <c r="HQY127" s="751"/>
      <c r="HQZ127" s="751"/>
      <c r="HRA127" s="751"/>
      <c r="HRB127" s="751"/>
      <c r="HRC127" s="751"/>
      <c r="HRD127" s="751"/>
      <c r="HRE127" s="751"/>
      <c r="HRF127" s="751"/>
      <c r="HRG127" s="751"/>
      <c r="HRH127" s="751"/>
      <c r="HRI127" s="751"/>
      <c r="HRJ127" s="751"/>
      <c r="HRK127" s="751"/>
      <c r="HRL127" s="751"/>
      <c r="HRM127" s="751"/>
      <c r="HRN127" s="751"/>
      <c r="HRO127" s="751"/>
      <c r="HRP127" s="751"/>
      <c r="HRQ127" s="751"/>
      <c r="HRR127" s="751"/>
      <c r="HRS127" s="751"/>
      <c r="HRT127" s="751"/>
      <c r="HRU127" s="751"/>
      <c r="HRV127" s="751"/>
      <c r="HRW127" s="751"/>
      <c r="HRX127" s="751"/>
      <c r="HRY127" s="751"/>
      <c r="HRZ127" s="751"/>
      <c r="HSA127" s="751"/>
      <c r="HSB127" s="751"/>
      <c r="HSC127" s="751"/>
      <c r="HSD127" s="751"/>
      <c r="HSE127" s="751"/>
      <c r="HSF127" s="751"/>
      <c r="HSG127" s="751"/>
      <c r="HSH127" s="751"/>
      <c r="HSI127" s="751"/>
      <c r="HSJ127" s="751"/>
      <c r="HSK127" s="751"/>
      <c r="HSL127" s="751"/>
      <c r="HSM127" s="751"/>
      <c r="HSN127" s="751"/>
      <c r="HSO127" s="751"/>
      <c r="HSP127" s="751"/>
      <c r="HSQ127" s="751"/>
      <c r="HSR127" s="751"/>
      <c r="HSS127" s="751"/>
      <c r="HST127" s="751"/>
      <c r="HSU127" s="751"/>
      <c r="HSV127" s="751"/>
      <c r="HSW127" s="751"/>
      <c r="HSX127" s="751"/>
      <c r="HSY127" s="751"/>
      <c r="HSZ127" s="751"/>
      <c r="HTA127" s="751"/>
      <c r="HTB127" s="751"/>
      <c r="HTC127" s="751"/>
      <c r="HTD127" s="751"/>
      <c r="HTE127" s="751"/>
      <c r="HTF127" s="751"/>
      <c r="HTG127" s="751"/>
      <c r="HTH127" s="751"/>
      <c r="HTI127" s="751"/>
      <c r="HTJ127" s="751"/>
      <c r="HTK127" s="751"/>
      <c r="HTL127" s="751"/>
      <c r="HTM127" s="751"/>
      <c r="HTN127" s="751"/>
      <c r="HTO127" s="751"/>
      <c r="HTP127" s="751"/>
      <c r="HTQ127" s="751"/>
      <c r="HTR127" s="751"/>
      <c r="HTS127" s="751"/>
      <c r="HTT127" s="751"/>
      <c r="HTU127" s="751"/>
      <c r="HTV127" s="751"/>
      <c r="HTW127" s="751"/>
      <c r="HTX127" s="751"/>
      <c r="HTY127" s="751"/>
      <c r="HTZ127" s="751"/>
      <c r="HUA127" s="751"/>
      <c r="HUB127" s="751"/>
      <c r="HUC127" s="751"/>
      <c r="HUD127" s="751"/>
      <c r="HUE127" s="751"/>
      <c r="HUF127" s="751"/>
      <c r="HUG127" s="751"/>
      <c r="HUH127" s="751"/>
      <c r="HUI127" s="751"/>
      <c r="HUJ127" s="751"/>
      <c r="HUK127" s="751"/>
      <c r="HUL127" s="751"/>
      <c r="HUM127" s="751"/>
      <c r="HUN127" s="751"/>
      <c r="HUO127" s="751"/>
      <c r="HUP127" s="751"/>
      <c r="HUQ127" s="751"/>
      <c r="HUR127" s="751"/>
      <c r="HUS127" s="751"/>
      <c r="HUT127" s="751"/>
      <c r="HUU127" s="751"/>
      <c r="HUV127" s="751"/>
      <c r="HUW127" s="751"/>
      <c r="HUX127" s="751"/>
      <c r="HUY127" s="751"/>
      <c r="HUZ127" s="751"/>
      <c r="HVA127" s="751"/>
      <c r="HVB127" s="751"/>
      <c r="HVC127" s="751"/>
      <c r="HVD127" s="751"/>
      <c r="HVE127" s="751"/>
      <c r="HVF127" s="751"/>
      <c r="HVG127" s="751"/>
      <c r="HVH127" s="751"/>
      <c r="HVI127" s="751"/>
      <c r="HVJ127" s="751"/>
      <c r="HVK127" s="751"/>
      <c r="HVL127" s="751"/>
      <c r="HVM127" s="751"/>
      <c r="HVN127" s="751"/>
      <c r="HVO127" s="751"/>
      <c r="HVP127" s="751"/>
      <c r="HVQ127" s="751"/>
      <c r="HVR127" s="751"/>
      <c r="HVS127" s="751"/>
      <c r="HVT127" s="751"/>
      <c r="HVU127" s="751"/>
      <c r="HVV127" s="751"/>
      <c r="HVW127" s="751"/>
      <c r="HVX127" s="751"/>
      <c r="HVY127" s="751"/>
      <c r="HVZ127" s="751"/>
      <c r="HWA127" s="751"/>
      <c r="HWB127" s="751"/>
      <c r="HWC127" s="751"/>
      <c r="HWD127" s="751"/>
      <c r="HWE127" s="751"/>
      <c r="HWF127" s="751"/>
      <c r="HWG127" s="751"/>
      <c r="HWH127" s="751"/>
      <c r="HWI127" s="751"/>
      <c r="HWJ127" s="751"/>
      <c r="HWK127" s="751"/>
      <c r="HWL127" s="751"/>
      <c r="HWM127" s="751"/>
      <c r="HWN127" s="751"/>
      <c r="HWO127" s="751"/>
      <c r="HWP127" s="751"/>
      <c r="HWQ127" s="751"/>
      <c r="HWR127" s="751"/>
      <c r="HWS127" s="751"/>
      <c r="HWT127" s="751"/>
      <c r="HWU127" s="751"/>
      <c r="HWV127" s="751"/>
      <c r="HWW127" s="751"/>
      <c r="HWX127" s="751"/>
      <c r="HWY127" s="751"/>
      <c r="HWZ127" s="751"/>
      <c r="HXA127" s="751"/>
      <c r="HXB127" s="751"/>
      <c r="HXC127" s="751"/>
      <c r="HXD127" s="751"/>
      <c r="HXE127" s="751"/>
      <c r="HXF127" s="751"/>
      <c r="HXG127" s="751"/>
      <c r="HXH127" s="751"/>
      <c r="HXI127" s="751"/>
      <c r="HXJ127" s="751"/>
      <c r="HXK127" s="751"/>
      <c r="HXL127" s="751"/>
      <c r="HXM127" s="751"/>
      <c r="HXN127" s="751"/>
      <c r="HXO127" s="751"/>
      <c r="HXP127" s="751"/>
      <c r="HXQ127" s="751"/>
      <c r="HXR127" s="751"/>
      <c r="HXS127" s="751"/>
      <c r="HXT127" s="751"/>
      <c r="HXU127" s="751"/>
      <c r="HXV127" s="751"/>
      <c r="HXW127" s="751"/>
      <c r="HXX127" s="751"/>
      <c r="HXY127" s="751"/>
      <c r="HXZ127" s="751"/>
      <c r="HYA127" s="751"/>
      <c r="HYB127" s="751"/>
      <c r="HYC127" s="751"/>
      <c r="HYD127" s="751"/>
      <c r="HYE127" s="751"/>
      <c r="HYF127" s="751"/>
      <c r="HYG127" s="751"/>
      <c r="HYH127" s="751"/>
      <c r="HYI127" s="751"/>
      <c r="HYJ127" s="751"/>
      <c r="HYK127" s="751"/>
      <c r="HYL127" s="751"/>
      <c r="HYM127" s="751"/>
      <c r="HYN127" s="751"/>
      <c r="HYO127" s="751"/>
      <c r="HYP127" s="751"/>
      <c r="HYQ127" s="751"/>
      <c r="HYR127" s="751"/>
      <c r="HYS127" s="751"/>
      <c r="HYT127" s="751"/>
      <c r="HYU127" s="751"/>
      <c r="HYV127" s="751"/>
      <c r="HYW127" s="751"/>
      <c r="HYX127" s="751"/>
      <c r="HYY127" s="751"/>
      <c r="HYZ127" s="751"/>
      <c r="HZA127" s="751"/>
      <c r="HZB127" s="751"/>
      <c r="HZC127" s="751"/>
      <c r="HZD127" s="751"/>
      <c r="HZE127" s="751"/>
      <c r="HZF127" s="751"/>
      <c r="HZG127" s="751"/>
      <c r="HZH127" s="751"/>
      <c r="HZI127" s="751"/>
      <c r="HZJ127" s="751"/>
      <c r="HZK127" s="751"/>
      <c r="HZL127" s="751"/>
      <c r="HZM127" s="751"/>
      <c r="HZN127" s="751"/>
      <c r="HZO127" s="751"/>
      <c r="HZP127" s="751"/>
      <c r="HZQ127" s="751"/>
      <c r="HZR127" s="751"/>
      <c r="HZS127" s="751"/>
      <c r="HZT127" s="751"/>
      <c r="HZU127" s="751"/>
      <c r="HZV127" s="751"/>
      <c r="HZW127" s="751"/>
      <c r="HZX127" s="751"/>
      <c r="HZY127" s="751"/>
      <c r="HZZ127" s="751"/>
      <c r="IAA127" s="751"/>
      <c r="IAB127" s="751"/>
      <c r="IAC127" s="751"/>
      <c r="IAD127" s="751"/>
      <c r="IAE127" s="751"/>
      <c r="IAF127" s="751"/>
      <c r="IAG127" s="751"/>
      <c r="IAH127" s="751"/>
      <c r="IAI127" s="751"/>
      <c r="IAJ127" s="751"/>
      <c r="IAK127" s="751"/>
      <c r="IAL127" s="751"/>
      <c r="IAM127" s="751"/>
      <c r="IAN127" s="751"/>
      <c r="IAO127" s="751"/>
      <c r="IAP127" s="751"/>
      <c r="IAQ127" s="751"/>
      <c r="IAR127" s="751"/>
      <c r="IAS127" s="751"/>
      <c r="IAT127" s="751"/>
      <c r="IAU127" s="751"/>
      <c r="IAV127" s="751"/>
      <c r="IAW127" s="751"/>
      <c r="IAX127" s="751"/>
      <c r="IAY127" s="751"/>
      <c r="IAZ127" s="751"/>
      <c r="IBA127" s="751"/>
      <c r="IBB127" s="751"/>
      <c r="IBC127" s="751"/>
      <c r="IBD127" s="751"/>
      <c r="IBE127" s="751"/>
      <c r="IBF127" s="751"/>
      <c r="IBG127" s="751"/>
      <c r="IBH127" s="751"/>
      <c r="IBI127" s="751"/>
      <c r="IBJ127" s="751"/>
      <c r="IBK127" s="751"/>
      <c r="IBL127" s="751"/>
      <c r="IBM127" s="751"/>
      <c r="IBN127" s="751"/>
      <c r="IBO127" s="751"/>
      <c r="IBP127" s="751"/>
      <c r="IBQ127" s="751"/>
      <c r="IBR127" s="751"/>
      <c r="IBS127" s="751"/>
      <c r="IBT127" s="751"/>
      <c r="IBU127" s="751"/>
      <c r="IBV127" s="751"/>
      <c r="IBW127" s="751"/>
      <c r="IBX127" s="751"/>
      <c r="IBY127" s="751"/>
      <c r="IBZ127" s="751"/>
      <c r="ICA127" s="751"/>
      <c r="ICB127" s="751"/>
      <c r="ICC127" s="751"/>
      <c r="ICD127" s="751"/>
      <c r="ICE127" s="751"/>
      <c r="ICF127" s="751"/>
      <c r="ICG127" s="751"/>
      <c r="ICH127" s="751"/>
      <c r="ICI127" s="751"/>
      <c r="ICJ127" s="751"/>
      <c r="ICK127" s="751"/>
      <c r="ICL127" s="751"/>
      <c r="ICM127" s="751"/>
      <c r="ICN127" s="751"/>
      <c r="ICO127" s="751"/>
      <c r="ICP127" s="751"/>
      <c r="ICQ127" s="751"/>
      <c r="ICR127" s="751"/>
      <c r="ICS127" s="751"/>
      <c r="ICT127" s="751"/>
      <c r="ICU127" s="751"/>
      <c r="ICV127" s="751"/>
      <c r="ICW127" s="751"/>
      <c r="ICX127" s="751"/>
      <c r="ICY127" s="751"/>
      <c r="ICZ127" s="751"/>
      <c r="IDA127" s="751"/>
      <c r="IDB127" s="751"/>
      <c r="IDC127" s="751"/>
      <c r="IDD127" s="751"/>
      <c r="IDE127" s="751"/>
      <c r="IDF127" s="751"/>
      <c r="IDG127" s="751"/>
      <c r="IDH127" s="751"/>
      <c r="IDI127" s="751"/>
      <c r="IDJ127" s="751"/>
      <c r="IDK127" s="751"/>
      <c r="IDL127" s="751"/>
      <c r="IDM127" s="751"/>
      <c r="IDN127" s="751"/>
      <c r="IDO127" s="751"/>
      <c r="IDP127" s="751"/>
      <c r="IDQ127" s="751"/>
      <c r="IDR127" s="751"/>
      <c r="IDS127" s="751"/>
      <c r="IDT127" s="751"/>
      <c r="IDU127" s="751"/>
      <c r="IDV127" s="751"/>
      <c r="IDW127" s="751"/>
      <c r="IDX127" s="751"/>
      <c r="IDY127" s="751"/>
      <c r="IDZ127" s="751"/>
      <c r="IEA127" s="751"/>
      <c r="IEB127" s="751"/>
      <c r="IEC127" s="751"/>
      <c r="IED127" s="751"/>
      <c r="IEE127" s="751"/>
      <c r="IEF127" s="751"/>
      <c r="IEG127" s="751"/>
      <c r="IEH127" s="751"/>
      <c r="IEI127" s="751"/>
      <c r="IEJ127" s="751"/>
      <c r="IEK127" s="751"/>
      <c r="IEL127" s="751"/>
      <c r="IEM127" s="751"/>
      <c r="IEN127" s="751"/>
      <c r="IEO127" s="751"/>
      <c r="IEP127" s="751"/>
      <c r="IEQ127" s="751"/>
      <c r="IER127" s="751"/>
      <c r="IES127" s="751"/>
      <c r="IET127" s="751"/>
      <c r="IEU127" s="751"/>
      <c r="IEV127" s="751"/>
      <c r="IEW127" s="751"/>
      <c r="IEX127" s="751"/>
      <c r="IEY127" s="751"/>
      <c r="IEZ127" s="751"/>
      <c r="IFA127" s="751"/>
      <c r="IFB127" s="751"/>
      <c r="IFC127" s="751"/>
      <c r="IFD127" s="751"/>
      <c r="IFE127" s="751"/>
      <c r="IFF127" s="751"/>
      <c r="IFG127" s="751"/>
      <c r="IFH127" s="751"/>
      <c r="IFI127" s="751"/>
      <c r="IFJ127" s="751"/>
      <c r="IFK127" s="751"/>
      <c r="IFL127" s="751"/>
      <c r="IFM127" s="751"/>
      <c r="IFN127" s="751"/>
      <c r="IFO127" s="751"/>
      <c r="IFP127" s="751"/>
      <c r="IFQ127" s="751"/>
      <c r="IFR127" s="751"/>
      <c r="IFS127" s="751"/>
      <c r="IFT127" s="751"/>
      <c r="IFU127" s="751"/>
      <c r="IFV127" s="751"/>
      <c r="IFW127" s="751"/>
      <c r="IFX127" s="751"/>
      <c r="IFY127" s="751"/>
      <c r="IFZ127" s="751"/>
      <c r="IGA127" s="751"/>
      <c r="IGB127" s="751"/>
      <c r="IGC127" s="751"/>
      <c r="IGD127" s="751"/>
      <c r="IGE127" s="751"/>
      <c r="IGF127" s="751"/>
      <c r="IGG127" s="751"/>
      <c r="IGH127" s="751"/>
      <c r="IGI127" s="751"/>
      <c r="IGJ127" s="751"/>
      <c r="IGK127" s="751"/>
      <c r="IGL127" s="751"/>
      <c r="IGM127" s="751"/>
      <c r="IGN127" s="751"/>
      <c r="IGO127" s="751"/>
      <c r="IGP127" s="751"/>
      <c r="IGQ127" s="751"/>
      <c r="IGR127" s="751"/>
      <c r="IGS127" s="751"/>
      <c r="IGT127" s="751"/>
      <c r="IGU127" s="751"/>
      <c r="IGV127" s="751"/>
      <c r="IGW127" s="751"/>
      <c r="IGX127" s="751"/>
      <c r="IGY127" s="751"/>
      <c r="IGZ127" s="751"/>
      <c r="IHA127" s="751"/>
      <c r="IHB127" s="751"/>
      <c r="IHC127" s="751"/>
      <c r="IHD127" s="751"/>
      <c r="IHE127" s="751"/>
      <c r="IHF127" s="751"/>
      <c r="IHG127" s="751"/>
      <c r="IHH127" s="751"/>
      <c r="IHI127" s="751"/>
      <c r="IHJ127" s="751"/>
      <c r="IHK127" s="751"/>
      <c r="IHL127" s="751"/>
      <c r="IHM127" s="751"/>
      <c r="IHN127" s="751"/>
      <c r="IHO127" s="751"/>
      <c r="IHP127" s="751"/>
      <c r="IHQ127" s="751"/>
      <c r="IHR127" s="751"/>
      <c r="IHS127" s="751"/>
      <c r="IHT127" s="751"/>
      <c r="IHU127" s="751"/>
      <c r="IHV127" s="751"/>
      <c r="IHW127" s="751"/>
      <c r="IHX127" s="751"/>
      <c r="IHY127" s="751"/>
      <c r="IHZ127" s="751"/>
      <c r="IIA127" s="751"/>
      <c r="IIB127" s="751"/>
      <c r="IIC127" s="751"/>
      <c r="IID127" s="751"/>
      <c r="IIE127" s="751"/>
      <c r="IIF127" s="751"/>
      <c r="IIG127" s="751"/>
      <c r="IIH127" s="751"/>
      <c r="III127" s="751"/>
      <c r="IIJ127" s="751"/>
      <c r="IIK127" s="751"/>
      <c r="IIL127" s="751"/>
      <c r="IIM127" s="751"/>
      <c r="IIN127" s="751"/>
      <c r="IIO127" s="751"/>
      <c r="IIP127" s="751"/>
      <c r="IIQ127" s="751"/>
      <c r="IIR127" s="751"/>
      <c r="IIS127" s="751"/>
      <c r="IIT127" s="751"/>
      <c r="IIU127" s="751"/>
      <c r="IIV127" s="751"/>
      <c r="IIW127" s="751"/>
      <c r="IIX127" s="751"/>
      <c r="IIY127" s="751"/>
      <c r="IIZ127" s="751"/>
      <c r="IJA127" s="751"/>
      <c r="IJB127" s="751"/>
      <c r="IJC127" s="751"/>
      <c r="IJD127" s="751"/>
      <c r="IJE127" s="751"/>
      <c r="IJF127" s="751"/>
      <c r="IJG127" s="751"/>
      <c r="IJH127" s="751"/>
      <c r="IJI127" s="751"/>
      <c r="IJJ127" s="751"/>
      <c r="IJK127" s="751"/>
      <c r="IJL127" s="751"/>
      <c r="IJM127" s="751"/>
      <c r="IJN127" s="751"/>
      <c r="IJO127" s="751"/>
      <c r="IJP127" s="751"/>
      <c r="IJQ127" s="751"/>
      <c r="IJR127" s="751"/>
      <c r="IJS127" s="751"/>
      <c r="IJT127" s="751"/>
      <c r="IJU127" s="751"/>
      <c r="IJV127" s="751"/>
      <c r="IJW127" s="751"/>
      <c r="IJX127" s="751"/>
      <c r="IJY127" s="751"/>
      <c r="IJZ127" s="751"/>
      <c r="IKA127" s="751"/>
      <c r="IKB127" s="751"/>
      <c r="IKC127" s="751"/>
      <c r="IKD127" s="751"/>
      <c r="IKE127" s="751"/>
      <c r="IKF127" s="751"/>
      <c r="IKG127" s="751"/>
      <c r="IKH127" s="751"/>
      <c r="IKI127" s="751"/>
      <c r="IKJ127" s="751"/>
      <c r="IKK127" s="751"/>
      <c r="IKL127" s="751"/>
      <c r="IKM127" s="751"/>
      <c r="IKN127" s="751"/>
      <c r="IKO127" s="751"/>
      <c r="IKP127" s="751"/>
      <c r="IKQ127" s="751"/>
      <c r="IKR127" s="751"/>
      <c r="IKS127" s="751"/>
      <c r="IKT127" s="751"/>
      <c r="IKU127" s="751"/>
      <c r="IKV127" s="751"/>
      <c r="IKW127" s="751"/>
      <c r="IKX127" s="751"/>
      <c r="IKY127" s="751"/>
      <c r="IKZ127" s="751"/>
      <c r="ILA127" s="751"/>
      <c r="ILB127" s="751"/>
      <c r="ILC127" s="751"/>
      <c r="ILD127" s="751"/>
      <c r="ILE127" s="751"/>
      <c r="ILF127" s="751"/>
      <c r="ILG127" s="751"/>
      <c r="ILH127" s="751"/>
      <c r="ILI127" s="751"/>
      <c r="ILJ127" s="751"/>
      <c r="ILK127" s="751"/>
      <c r="ILL127" s="751"/>
      <c r="ILM127" s="751"/>
      <c r="ILN127" s="751"/>
      <c r="ILO127" s="751"/>
      <c r="ILP127" s="751"/>
      <c r="ILQ127" s="751"/>
      <c r="ILR127" s="751"/>
      <c r="ILS127" s="751"/>
      <c r="ILT127" s="751"/>
      <c r="ILU127" s="751"/>
      <c r="ILV127" s="751"/>
      <c r="ILW127" s="751"/>
      <c r="ILX127" s="751"/>
      <c r="ILY127" s="751"/>
      <c r="ILZ127" s="751"/>
      <c r="IMA127" s="751"/>
      <c r="IMB127" s="751"/>
      <c r="IMC127" s="751"/>
      <c r="IMD127" s="751"/>
      <c r="IME127" s="751"/>
      <c r="IMF127" s="751"/>
      <c r="IMG127" s="751"/>
      <c r="IMH127" s="751"/>
      <c r="IMI127" s="751"/>
      <c r="IMJ127" s="751"/>
      <c r="IMK127" s="751"/>
      <c r="IML127" s="751"/>
      <c r="IMM127" s="751"/>
      <c r="IMN127" s="751"/>
      <c r="IMO127" s="751"/>
      <c r="IMP127" s="751"/>
      <c r="IMQ127" s="751"/>
      <c r="IMR127" s="751"/>
      <c r="IMS127" s="751"/>
      <c r="IMT127" s="751"/>
      <c r="IMU127" s="751"/>
      <c r="IMV127" s="751"/>
      <c r="IMW127" s="751"/>
      <c r="IMX127" s="751"/>
      <c r="IMY127" s="751"/>
      <c r="IMZ127" s="751"/>
      <c r="INA127" s="751"/>
      <c r="INB127" s="751"/>
      <c r="INC127" s="751"/>
      <c r="IND127" s="751"/>
      <c r="INE127" s="751"/>
      <c r="INF127" s="751"/>
      <c r="ING127" s="751"/>
      <c r="INH127" s="751"/>
      <c r="INI127" s="751"/>
      <c r="INJ127" s="751"/>
      <c r="INK127" s="751"/>
      <c r="INL127" s="751"/>
      <c r="INM127" s="751"/>
      <c r="INN127" s="751"/>
      <c r="INO127" s="751"/>
      <c r="INP127" s="751"/>
      <c r="INQ127" s="751"/>
      <c r="INR127" s="751"/>
      <c r="INS127" s="751"/>
      <c r="INT127" s="751"/>
      <c r="INU127" s="751"/>
      <c r="INV127" s="751"/>
      <c r="INW127" s="751"/>
      <c r="INX127" s="751"/>
      <c r="INY127" s="751"/>
      <c r="INZ127" s="751"/>
      <c r="IOA127" s="751"/>
      <c r="IOB127" s="751"/>
      <c r="IOC127" s="751"/>
      <c r="IOD127" s="751"/>
      <c r="IOE127" s="751"/>
      <c r="IOF127" s="751"/>
      <c r="IOG127" s="751"/>
      <c r="IOH127" s="751"/>
      <c r="IOI127" s="751"/>
      <c r="IOJ127" s="751"/>
      <c r="IOK127" s="751"/>
      <c r="IOL127" s="751"/>
      <c r="IOM127" s="751"/>
      <c r="ION127" s="751"/>
      <c r="IOO127" s="751"/>
      <c r="IOP127" s="751"/>
      <c r="IOQ127" s="751"/>
      <c r="IOR127" s="751"/>
      <c r="IOS127" s="751"/>
      <c r="IOT127" s="751"/>
      <c r="IOU127" s="751"/>
      <c r="IOV127" s="751"/>
      <c r="IOW127" s="751"/>
      <c r="IOX127" s="751"/>
      <c r="IOY127" s="751"/>
      <c r="IOZ127" s="751"/>
      <c r="IPA127" s="751"/>
      <c r="IPB127" s="751"/>
      <c r="IPC127" s="751"/>
      <c r="IPD127" s="751"/>
      <c r="IPE127" s="751"/>
      <c r="IPF127" s="751"/>
      <c r="IPG127" s="751"/>
      <c r="IPH127" s="751"/>
      <c r="IPI127" s="751"/>
      <c r="IPJ127" s="751"/>
      <c r="IPK127" s="751"/>
      <c r="IPL127" s="751"/>
      <c r="IPM127" s="751"/>
      <c r="IPN127" s="751"/>
      <c r="IPO127" s="751"/>
      <c r="IPP127" s="751"/>
      <c r="IPQ127" s="751"/>
      <c r="IPR127" s="751"/>
      <c r="IPS127" s="751"/>
      <c r="IPT127" s="751"/>
      <c r="IPU127" s="751"/>
      <c r="IPV127" s="751"/>
      <c r="IPW127" s="751"/>
      <c r="IPX127" s="751"/>
      <c r="IPY127" s="751"/>
      <c r="IPZ127" s="751"/>
      <c r="IQA127" s="751"/>
      <c r="IQB127" s="751"/>
      <c r="IQC127" s="751"/>
      <c r="IQD127" s="751"/>
      <c r="IQE127" s="751"/>
      <c r="IQF127" s="751"/>
      <c r="IQG127" s="751"/>
      <c r="IQH127" s="751"/>
      <c r="IQI127" s="751"/>
      <c r="IQJ127" s="751"/>
      <c r="IQK127" s="751"/>
      <c r="IQL127" s="751"/>
      <c r="IQM127" s="751"/>
      <c r="IQN127" s="751"/>
      <c r="IQO127" s="751"/>
      <c r="IQP127" s="751"/>
      <c r="IQQ127" s="751"/>
      <c r="IQR127" s="751"/>
      <c r="IQS127" s="751"/>
      <c r="IQT127" s="751"/>
      <c r="IQU127" s="751"/>
      <c r="IQV127" s="751"/>
      <c r="IQW127" s="751"/>
      <c r="IQX127" s="751"/>
      <c r="IQY127" s="751"/>
      <c r="IQZ127" s="751"/>
      <c r="IRA127" s="751"/>
      <c r="IRB127" s="751"/>
      <c r="IRC127" s="751"/>
      <c r="IRD127" s="751"/>
      <c r="IRE127" s="751"/>
      <c r="IRF127" s="751"/>
      <c r="IRG127" s="751"/>
      <c r="IRH127" s="751"/>
      <c r="IRI127" s="751"/>
      <c r="IRJ127" s="751"/>
      <c r="IRK127" s="751"/>
      <c r="IRL127" s="751"/>
      <c r="IRM127" s="751"/>
      <c r="IRN127" s="751"/>
      <c r="IRO127" s="751"/>
      <c r="IRP127" s="751"/>
      <c r="IRQ127" s="751"/>
      <c r="IRR127" s="751"/>
      <c r="IRS127" s="751"/>
      <c r="IRT127" s="751"/>
      <c r="IRU127" s="751"/>
      <c r="IRV127" s="751"/>
      <c r="IRW127" s="751"/>
      <c r="IRX127" s="751"/>
      <c r="IRY127" s="751"/>
      <c r="IRZ127" s="751"/>
      <c r="ISA127" s="751"/>
      <c r="ISB127" s="751"/>
      <c r="ISC127" s="751"/>
      <c r="ISD127" s="751"/>
      <c r="ISE127" s="751"/>
      <c r="ISF127" s="751"/>
      <c r="ISG127" s="751"/>
      <c r="ISH127" s="751"/>
      <c r="ISI127" s="751"/>
      <c r="ISJ127" s="751"/>
      <c r="ISK127" s="751"/>
      <c r="ISL127" s="751"/>
      <c r="ISM127" s="751"/>
      <c r="ISN127" s="751"/>
      <c r="ISO127" s="751"/>
      <c r="ISP127" s="751"/>
      <c r="ISQ127" s="751"/>
      <c r="ISR127" s="751"/>
      <c r="ISS127" s="751"/>
      <c r="IST127" s="751"/>
      <c r="ISU127" s="751"/>
      <c r="ISV127" s="751"/>
      <c r="ISW127" s="751"/>
      <c r="ISX127" s="751"/>
      <c r="ISY127" s="751"/>
      <c r="ISZ127" s="751"/>
      <c r="ITA127" s="751"/>
      <c r="ITB127" s="751"/>
      <c r="ITC127" s="751"/>
      <c r="ITD127" s="751"/>
      <c r="ITE127" s="751"/>
      <c r="ITF127" s="751"/>
      <c r="ITG127" s="751"/>
      <c r="ITH127" s="751"/>
      <c r="ITI127" s="751"/>
      <c r="ITJ127" s="751"/>
      <c r="ITK127" s="751"/>
      <c r="ITL127" s="751"/>
      <c r="ITM127" s="751"/>
      <c r="ITN127" s="751"/>
      <c r="ITO127" s="751"/>
      <c r="ITP127" s="751"/>
      <c r="ITQ127" s="751"/>
      <c r="ITR127" s="751"/>
      <c r="ITS127" s="751"/>
      <c r="ITT127" s="751"/>
      <c r="ITU127" s="751"/>
      <c r="ITV127" s="751"/>
      <c r="ITW127" s="751"/>
      <c r="ITX127" s="751"/>
      <c r="ITY127" s="751"/>
      <c r="ITZ127" s="751"/>
      <c r="IUA127" s="751"/>
      <c r="IUB127" s="751"/>
      <c r="IUC127" s="751"/>
      <c r="IUD127" s="751"/>
      <c r="IUE127" s="751"/>
      <c r="IUF127" s="751"/>
      <c r="IUG127" s="751"/>
      <c r="IUH127" s="751"/>
      <c r="IUI127" s="751"/>
      <c r="IUJ127" s="751"/>
      <c r="IUK127" s="751"/>
      <c r="IUL127" s="751"/>
      <c r="IUM127" s="751"/>
      <c r="IUN127" s="751"/>
      <c r="IUO127" s="751"/>
      <c r="IUP127" s="751"/>
      <c r="IUQ127" s="751"/>
      <c r="IUR127" s="751"/>
      <c r="IUS127" s="751"/>
      <c r="IUT127" s="751"/>
      <c r="IUU127" s="751"/>
      <c r="IUV127" s="751"/>
      <c r="IUW127" s="751"/>
      <c r="IUX127" s="751"/>
      <c r="IUY127" s="751"/>
      <c r="IUZ127" s="751"/>
      <c r="IVA127" s="751"/>
      <c r="IVB127" s="751"/>
      <c r="IVC127" s="751"/>
      <c r="IVD127" s="751"/>
      <c r="IVE127" s="751"/>
      <c r="IVF127" s="751"/>
      <c r="IVG127" s="751"/>
      <c r="IVH127" s="751"/>
      <c r="IVI127" s="751"/>
      <c r="IVJ127" s="751"/>
      <c r="IVK127" s="751"/>
      <c r="IVL127" s="751"/>
      <c r="IVM127" s="751"/>
      <c r="IVN127" s="751"/>
      <c r="IVO127" s="751"/>
      <c r="IVP127" s="751"/>
      <c r="IVQ127" s="751"/>
      <c r="IVR127" s="751"/>
      <c r="IVS127" s="751"/>
      <c r="IVT127" s="751"/>
      <c r="IVU127" s="751"/>
      <c r="IVV127" s="751"/>
      <c r="IVW127" s="751"/>
      <c r="IVX127" s="751"/>
      <c r="IVY127" s="751"/>
      <c r="IVZ127" s="751"/>
      <c r="IWA127" s="751"/>
      <c r="IWB127" s="751"/>
      <c r="IWC127" s="751"/>
      <c r="IWD127" s="751"/>
      <c r="IWE127" s="751"/>
      <c r="IWF127" s="751"/>
      <c r="IWG127" s="751"/>
      <c r="IWH127" s="751"/>
      <c r="IWI127" s="751"/>
      <c r="IWJ127" s="751"/>
      <c r="IWK127" s="751"/>
      <c r="IWL127" s="751"/>
      <c r="IWM127" s="751"/>
      <c r="IWN127" s="751"/>
      <c r="IWO127" s="751"/>
      <c r="IWP127" s="751"/>
      <c r="IWQ127" s="751"/>
      <c r="IWR127" s="751"/>
      <c r="IWS127" s="751"/>
      <c r="IWT127" s="751"/>
      <c r="IWU127" s="751"/>
      <c r="IWV127" s="751"/>
      <c r="IWW127" s="751"/>
      <c r="IWX127" s="751"/>
      <c r="IWY127" s="751"/>
      <c r="IWZ127" s="751"/>
      <c r="IXA127" s="751"/>
      <c r="IXB127" s="751"/>
      <c r="IXC127" s="751"/>
      <c r="IXD127" s="751"/>
      <c r="IXE127" s="751"/>
      <c r="IXF127" s="751"/>
      <c r="IXG127" s="751"/>
      <c r="IXH127" s="751"/>
      <c r="IXI127" s="751"/>
      <c r="IXJ127" s="751"/>
      <c r="IXK127" s="751"/>
      <c r="IXL127" s="751"/>
      <c r="IXM127" s="751"/>
      <c r="IXN127" s="751"/>
      <c r="IXO127" s="751"/>
      <c r="IXP127" s="751"/>
      <c r="IXQ127" s="751"/>
      <c r="IXR127" s="751"/>
      <c r="IXS127" s="751"/>
      <c r="IXT127" s="751"/>
      <c r="IXU127" s="751"/>
      <c r="IXV127" s="751"/>
      <c r="IXW127" s="751"/>
      <c r="IXX127" s="751"/>
      <c r="IXY127" s="751"/>
      <c r="IXZ127" s="751"/>
      <c r="IYA127" s="751"/>
      <c r="IYB127" s="751"/>
      <c r="IYC127" s="751"/>
      <c r="IYD127" s="751"/>
      <c r="IYE127" s="751"/>
      <c r="IYF127" s="751"/>
      <c r="IYG127" s="751"/>
      <c r="IYH127" s="751"/>
      <c r="IYI127" s="751"/>
      <c r="IYJ127" s="751"/>
      <c r="IYK127" s="751"/>
      <c r="IYL127" s="751"/>
      <c r="IYM127" s="751"/>
      <c r="IYN127" s="751"/>
      <c r="IYO127" s="751"/>
      <c r="IYP127" s="751"/>
      <c r="IYQ127" s="751"/>
      <c r="IYR127" s="751"/>
      <c r="IYS127" s="751"/>
      <c r="IYT127" s="751"/>
      <c r="IYU127" s="751"/>
      <c r="IYV127" s="751"/>
      <c r="IYW127" s="751"/>
      <c r="IYX127" s="751"/>
      <c r="IYY127" s="751"/>
      <c r="IYZ127" s="751"/>
      <c r="IZA127" s="751"/>
      <c r="IZB127" s="751"/>
      <c r="IZC127" s="751"/>
      <c r="IZD127" s="751"/>
      <c r="IZE127" s="751"/>
      <c r="IZF127" s="751"/>
      <c r="IZG127" s="751"/>
      <c r="IZH127" s="751"/>
      <c r="IZI127" s="751"/>
      <c r="IZJ127" s="751"/>
      <c r="IZK127" s="751"/>
      <c r="IZL127" s="751"/>
      <c r="IZM127" s="751"/>
      <c r="IZN127" s="751"/>
      <c r="IZO127" s="751"/>
      <c r="IZP127" s="751"/>
      <c r="IZQ127" s="751"/>
      <c r="IZR127" s="751"/>
      <c r="IZS127" s="751"/>
      <c r="IZT127" s="751"/>
      <c r="IZU127" s="751"/>
      <c r="IZV127" s="751"/>
      <c r="IZW127" s="751"/>
      <c r="IZX127" s="751"/>
      <c r="IZY127" s="751"/>
      <c r="IZZ127" s="751"/>
      <c r="JAA127" s="751"/>
      <c r="JAB127" s="751"/>
      <c r="JAC127" s="751"/>
      <c r="JAD127" s="751"/>
      <c r="JAE127" s="751"/>
      <c r="JAF127" s="751"/>
      <c r="JAG127" s="751"/>
      <c r="JAH127" s="751"/>
      <c r="JAI127" s="751"/>
      <c r="JAJ127" s="751"/>
      <c r="JAK127" s="751"/>
      <c r="JAL127" s="751"/>
      <c r="JAM127" s="751"/>
      <c r="JAN127" s="751"/>
      <c r="JAO127" s="751"/>
      <c r="JAP127" s="751"/>
      <c r="JAQ127" s="751"/>
      <c r="JAR127" s="751"/>
      <c r="JAS127" s="751"/>
      <c r="JAT127" s="751"/>
      <c r="JAU127" s="751"/>
      <c r="JAV127" s="751"/>
      <c r="JAW127" s="751"/>
      <c r="JAX127" s="751"/>
      <c r="JAY127" s="751"/>
      <c r="JAZ127" s="751"/>
      <c r="JBA127" s="751"/>
      <c r="JBB127" s="751"/>
      <c r="JBC127" s="751"/>
      <c r="JBD127" s="751"/>
      <c r="JBE127" s="751"/>
      <c r="JBF127" s="751"/>
      <c r="JBG127" s="751"/>
      <c r="JBH127" s="751"/>
      <c r="JBI127" s="751"/>
      <c r="JBJ127" s="751"/>
      <c r="JBK127" s="751"/>
      <c r="JBL127" s="751"/>
      <c r="JBM127" s="751"/>
      <c r="JBN127" s="751"/>
      <c r="JBO127" s="751"/>
      <c r="JBP127" s="751"/>
      <c r="JBQ127" s="751"/>
      <c r="JBR127" s="751"/>
      <c r="JBS127" s="751"/>
      <c r="JBT127" s="751"/>
      <c r="JBU127" s="751"/>
      <c r="JBV127" s="751"/>
      <c r="JBW127" s="751"/>
      <c r="JBX127" s="751"/>
      <c r="JBY127" s="751"/>
      <c r="JBZ127" s="751"/>
      <c r="JCA127" s="751"/>
      <c r="JCB127" s="751"/>
      <c r="JCC127" s="751"/>
      <c r="JCD127" s="751"/>
      <c r="JCE127" s="751"/>
      <c r="JCF127" s="751"/>
      <c r="JCG127" s="751"/>
      <c r="JCH127" s="751"/>
      <c r="JCI127" s="751"/>
      <c r="JCJ127" s="751"/>
      <c r="JCK127" s="751"/>
      <c r="JCL127" s="751"/>
      <c r="JCM127" s="751"/>
      <c r="JCN127" s="751"/>
      <c r="JCO127" s="751"/>
      <c r="JCP127" s="751"/>
      <c r="JCQ127" s="751"/>
      <c r="JCR127" s="751"/>
      <c r="JCS127" s="751"/>
      <c r="JCT127" s="751"/>
      <c r="JCU127" s="751"/>
      <c r="JCV127" s="751"/>
      <c r="JCW127" s="751"/>
      <c r="JCX127" s="751"/>
      <c r="JCY127" s="751"/>
      <c r="JCZ127" s="751"/>
      <c r="JDA127" s="751"/>
      <c r="JDB127" s="751"/>
      <c r="JDC127" s="751"/>
      <c r="JDD127" s="751"/>
      <c r="JDE127" s="751"/>
      <c r="JDF127" s="751"/>
      <c r="JDG127" s="751"/>
      <c r="JDH127" s="751"/>
      <c r="JDI127" s="751"/>
      <c r="JDJ127" s="751"/>
      <c r="JDK127" s="751"/>
      <c r="JDL127" s="751"/>
      <c r="JDM127" s="751"/>
      <c r="JDN127" s="751"/>
      <c r="JDO127" s="751"/>
      <c r="JDP127" s="751"/>
      <c r="JDQ127" s="751"/>
      <c r="JDR127" s="751"/>
      <c r="JDS127" s="751"/>
      <c r="JDT127" s="751"/>
      <c r="JDU127" s="751"/>
      <c r="JDV127" s="751"/>
      <c r="JDW127" s="751"/>
      <c r="JDX127" s="751"/>
      <c r="JDY127" s="751"/>
      <c r="JDZ127" s="751"/>
      <c r="JEA127" s="751"/>
      <c r="JEB127" s="751"/>
      <c r="JEC127" s="751"/>
      <c r="JED127" s="751"/>
      <c r="JEE127" s="751"/>
      <c r="JEF127" s="751"/>
      <c r="JEG127" s="751"/>
      <c r="JEH127" s="751"/>
      <c r="JEI127" s="751"/>
      <c r="JEJ127" s="751"/>
      <c r="JEK127" s="751"/>
      <c r="JEL127" s="751"/>
      <c r="JEM127" s="751"/>
      <c r="JEN127" s="751"/>
      <c r="JEO127" s="751"/>
      <c r="JEP127" s="751"/>
      <c r="JEQ127" s="751"/>
      <c r="JER127" s="751"/>
      <c r="JES127" s="751"/>
      <c r="JET127" s="751"/>
      <c r="JEU127" s="751"/>
      <c r="JEV127" s="751"/>
      <c r="JEW127" s="751"/>
      <c r="JEX127" s="751"/>
      <c r="JEY127" s="751"/>
      <c r="JEZ127" s="751"/>
      <c r="JFA127" s="751"/>
      <c r="JFB127" s="751"/>
      <c r="JFC127" s="751"/>
      <c r="JFD127" s="751"/>
      <c r="JFE127" s="751"/>
      <c r="JFF127" s="751"/>
      <c r="JFG127" s="751"/>
      <c r="JFH127" s="751"/>
      <c r="JFI127" s="751"/>
      <c r="JFJ127" s="751"/>
      <c r="JFK127" s="751"/>
      <c r="JFL127" s="751"/>
      <c r="JFM127" s="751"/>
      <c r="JFN127" s="751"/>
      <c r="JFO127" s="751"/>
      <c r="JFP127" s="751"/>
      <c r="JFQ127" s="751"/>
      <c r="JFR127" s="751"/>
      <c r="JFS127" s="751"/>
      <c r="JFT127" s="751"/>
      <c r="JFU127" s="751"/>
      <c r="JFV127" s="751"/>
      <c r="JFW127" s="751"/>
      <c r="JFX127" s="751"/>
      <c r="JFY127" s="751"/>
      <c r="JFZ127" s="751"/>
      <c r="JGA127" s="751"/>
      <c r="JGB127" s="751"/>
      <c r="JGC127" s="751"/>
      <c r="JGD127" s="751"/>
      <c r="JGE127" s="751"/>
      <c r="JGF127" s="751"/>
      <c r="JGG127" s="751"/>
      <c r="JGH127" s="751"/>
      <c r="JGI127" s="751"/>
      <c r="JGJ127" s="751"/>
      <c r="JGK127" s="751"/>
      <c r="JGL127" s="751"/>
      <c r="JGM127" s="751"/>
      <c r="JGN127" s="751"/>
      <c r="JGO127" s="751"/>
      <c r="JGP127" s="751"/>
      <c r="JGQ127" s="751"/>
      <c r="JGR127" s="751"/>
      <c r="JGS127" s="751"/>
      <c r="JGT127" s="751"/>
      <c r="JGU127" s="751"/>
      <c r="JGV127" s="751"/>
      <c r="JGW127" s="751"/>
      <c r="JGX127" s="751"/>
      <c r="JGY127" s="751"/>
      <c r="JGZ127" s="751"/>
      <c r="JHA127" s="751"/>
      <c r="JHB127" s="751"/>
      <c r="JHC127" s="751"/>
      <c r="JHD127" s="751"/>
      <c r="JHE127" s="751"/>
      <c r="JHF127" s="751"/>
      <c r="JHG127" s="751"/>
      <c r="JHH127" s="751"/>
      <c r="JHI127" s="751"/>
      <c r="JHJ127" s="751"/>
      <c r="JHK127" s="751"/>
      <c r="JHL127" s="751"/>
      <c r="JHM127" s="751"/>
      <c r="JHN127" s="751"/>
      <c r="JHO127" s="751"/>
      <c r="JHP127" s="751"/>
      <c r="JHQ127" s="751"/>
      <c r="JHR127" s="751"/>
      <c r="JHS127" s="751"/>
      <c r="JHT127" s="751"/>
      <c r="JHU127" s="751"/>
      <c r="JHV127" s="751"/>
      <c r="JHW127" s="751"/>
      <c r="JHX127" s="751"/>
      <c r="JHY127" s="751"/>
      <c r="JHZ127" s="751"/>
      <c r="JIA127" s="751"/>
      <c r="JIB127" s="751"/>
      <c r="JIC127" s="751"/>
      <c r="JID127" s="751"/>
      <c r="JIE127" s="751"/>
      <c r="JIF127" s="751"/>
      <c r="JIG127" s="751"/>
      <c r="JIH127" s="751"/>
      <c r="JII127" s="751"/>
      <c r="JIJ127" s="751"/>
      <c r="JIK127" s="751"/>
      <c r="JIL127" s="751"/>
      <c r="JIM127" s="751"/>
      <c r="JIN127" s="751"/>
      <c r="JIO127" s="751"/>
      <c r="JIP127" s="751"/>
      <c r="JIQ127" s="751"/>
      <c r="JIR127" s="751"/>
      <c r="JIS127" s="751"/>
      <c r="JIT127" s="751"/>
      <c r="JIU127" s="751"/>
      <c r="JIV127" s="751"/>
      <c r="JIW127" s="751"/>
      <c r="JIX127" s="751"/>
      <c r="JIY127" s="751"/>
      <c r="JIZ127" s="751"/>
      <c r="JJA127" s="751"/>
      <c r="JJB127" s="751"/>
      <c r="JJC127" s="751"/>
      <c r="JJD127" s="751"/>
      <c r="JJE127" s="751"/>
      <c r="JJF127" s="751"/>
      <c r="JJG127" s="751"/>
      <c r="JJH127" s="751"/>
      <c r="JJI127" s="751"/>
      <c r="JJJ127" s="751"/>
      <c r="JJK127" s="751"/>
      <c r="JJL127" s="751"/>
      <c r="JJM127" s="751"/>
      <c r="JJN127" s="751"/>
      <c r="JJO127" s="751"/>
      <c r="JJP127" s="751"/>
      <c r="JJQ127" s="751"/>
      <c r="JJR127" s="751"/>
      <c r="JJS127" s="751"/>
      <c r="JJT127" s="751"/>
      <c r="JJU127" s="751"/>
      <c r="JJV127" s="751"/>
      <c r="JJW127" s="751"/>
      <c r="JJX127" s="751"/>
      <c r="JJY127" s="751"/>
      <c r="JJZ127" s="751"/>
      <c r="JKA127" s="751"/>
      <c r="JKB127" s="751"/>
      <c r="JKC127" s="751"/>
      <c r="JKD127" s="751"/>
      <c r="JKE127" s="751"/>
      <c r="JKF127" s="751"/>
      <c r="JKG127" s="751"/>
      <c r="JKH127" s="751"/>
      <c r="JKI127" s="751"/>
      <c r="JKJ127" s="751"/>
      <c r="JKK127" s="751"/>
      <c r="JKL127" s="751"/>
      <c r="JKM127" s="751"/>
      <c r="JKN127" s="751"/>
      <c r="JKO127" s="751"/>
      <c r="JKP127" s="751"/>
      <c r="JKQ127" s="751"/>
      <c r="JKR127" s="751"/>
      <c r="JKS127" s="751"/>
      <c r="JKT127" s="751"/>
      <c r="JKU127" s="751"/>
      <c r="JKV127" s="751"/>
      <c r="JKW127" s="751"/>
      <c r="JKX127" s="751"/>
      <c r="JKY127" s="751"/>
      <c r="JKZ127" s="751"/>
      <c r="JLA127" s="751"/>
      <c r="JLB127" s="751"/>
      <c r="JLC127" s="751"/>
      <c r="JLD127" s="751"/>
      <c r="JLE127" s="751"/>
      <c r="JLF127" s="751"/>
      <c r="JLG127" s="751"/>
      <c r="JLH127" s="751"/>
      <c r="JLI127" s="751"/>
      <c r="JLJ127" s="751"/>
      <c r="JLK127" s="751"/>
      <c r="JLL127" s="751"/>
      <c r="JLM127" s="751"/>
      <c r="JLN127" s="751"/>
      <c r="JLO127" s="751"/>
      <c r="JLP127" s="751"/>
      <c r="JLQ127" s="751"/>
      <c r="JLR127" s="751"/>
      <c r="JLS127" s="751"/>
      <c r="JLT127" s="751"/>
      <c r="JLU127" s="751"/>
      <c r="JLV127" s="751"/>
      <c r="JLW127" s="751"/>
      <c r="JLX127" s="751"/>
      <c r="JLY127" s="751"/>
      <c r="JLZ127" s="751"/>
      <c r="JMA127" s="751"/>
      <c r="JMB127" s="751"/>
      <c r="JMC127" s="751"/>
      <c r="JMD127" s="751"/>
      <c r="JME127" s="751"/>
      <c r="JMF127" s="751"/>
      <c r="JMG127" s="751"/>
      <c r="JMH127" s="751"/>
      <c r="JMI127" s="751"/>
      <c r="JMJ127" s="751"/>
      <c r="JMK127" s="751"/>
      <c r="JML127" s="751"/>
      <c r="JMM127" s="751"/>
      <c r="JMN127" s="751"/>
      <c r="JMO127" s="751"/>
      <c r="JMP127" s="751"/>
      <c r="JMQ127" s="751"/>
      <c r="JMR127" s="751"/>
      <c r="JMS127" s="751"/>
      <c r="JMT127" s="751"/>
      <c r="JMU127" s="751"/>
      <c r="JMV127" s="751"/>
      <c r="JMW127" s="751"/>
      <c r="JMX127" s="751"/>
      <c r="JMY127" s="751"/>
      <c r="JMZ127" s="751"/>
      <c r="JNA127" s="751"/>
      <c r="JNB127" s="751"/>
      <c r="JNC127" s="751"/>
      <c r="JND127" s="751"/>
      <c r="JNE127" s="751"/>
      <c r="JNF127" s="751"/>
      <c r="JNG127" s="751"/>
      <c r="JNH127" s="751"/>
      <c r="JNI127" s="751"/>
      <c r="JNJ127" s="751"/>
      <c r="JNK127" s="751"/>
      <c r="JNL127" s="751"/>
      <c r="JNM127" s="751"/>
      <c r="JNN127" s="751"/>
      <c r="JNO127" s="751"/>
      <c r="JNP127" s="751"/>
      <c r="JNQ127" s="751"/>
      <c r="JNR127" s="751"/>
      <c r="JNS127" s="751"/>
      <c r="JNT127" s="751"/>
      <c r="JNU127" s="751"/>
      <c r="JNV127" s="751"/>
      <c r="JNW127" s="751"/>
      <c r="JNX127" s="751"/>
      <c r="JNY127" s="751"/>
      <c r="JNZ127" s="751"/>
      <c r="JOA127" s="751"/>
      <c r="JOB127" s="751"/>
      <c r="JOC127" s="751"/>
      <c r="JOD127" s="751"/>
      <c r="JOE127" s="751"/>
      <c r="JOF127" s="751"/>
      <c r="JOG127" s="751"/>
      <c r="JOH127" s="751"/>
      <c r="JOI127" s="751"/>
      <c r="JOJ127" s="751"/>
      <c r="JOK127" s="751"/>
      <c r="JOL127" s="751"/>
      <c r="JOM127" s="751"/>
      <c r="JON127" s="751"/>
      <c r="JOO127" s="751"/>
      <c r="JOP127" s="751"/>
      <c r="JOQ127" s="751"/>
      <c r="JOR127" s="751"/>
      <c r="JOS127" s="751"/>
      <c r="JOT127" s="751"/>
      <c r="JOU127" s="751"/>
      <c r="JOV127" s="751"/>
      <c r="JOW127" s="751"/>
      <c r="JOX127" s="751"/>
      <c r="JOY127" s="751"/>
      <c r="JOZ127" s="751"/>
      <c r="JPA127" s="751"/>
      <c r="JPB127" s="751"/>
      <c r="JPC127" s="751"/>
      <c r="JPD127" s="751"/>
      <c r="JPE127" s="751"/>
      <c r="JPF127" s="751"/>
      <c r="JPG127" s="751"/>
      <c r="JPH127" s="751"/>
      <c r="JPI127" s="751"/>
      <c r="JPJ127" s="751"/>
      <c r="JPK127" s="751"/>
      <c r="JPL127" s="751"/>
      <c r="JPM127" s="751"/>
      <c r="JPN127" s="751"/>
      <c r="JPO127" s="751"/>
      <c r="JPP127" s="751"/>
      <c r="JPQ127" s="751"/>
      <c r="JPR127" s="751"/>
      <c r="JPS127" s="751"/>
      <c r="JPT127" s="751"/>
      <c r="JPU127" s="751"/>
      <c r="JPV127" s="751"/>
      <c r="JPW127" s="751"/>
      <c r="JPX127" s="751"/>
      <c r="JPY127" s="751"/>
      <c r="JPZ127" s="751"/>
      <c r="JQA127" s="751"/>
      <c r="JQB127" s="751"/>
      <c r="JQC127" s="751"/>
      <c r="JQD127" s="751"/>
      <c r="JQE127" s="751"/>
      <c r="JQF127" s="751"/>
      <c r="JQG127" s="751"/>
      <c r="JQH127" s="751"/>
      <c r="JQI127" s="751"/>
      <c r="JQJ127" s="751"/>
      <c r="JQK127" s="751"/>
      <c r="JQL127" s="751"/>
      <c r="JQM127" s="751"/>
      <c r="JQN127" s="751"/>
      <c r="JQO127" s="751"/>
      <c r="JQP127" s="751"/>
      <c r="JQQ127" s="751"/>
      <c r="JQR127" s="751"/>
      <c r="JQS127" s="751"/>
      <c r="JQT127" s="751"/>
      <c r="JQU127" s="751"/>
      <c r="JQV127" s="751"/>
      <c r="JQW127" s="751"/>
      <c r="JQX127" s="751"/>
      <c r="JQY127" s="751"/>
      <c r="JQZ127" s="751"/>
      <c r="JRA127" s="751"/>
      <c r="JRB127" s="751"/>
      <c r="JRC127" s="751"/>
      <c r="JRD127" s="751"/>
      <c r="JRE127" s="751"/>
      <c r="JRF127" s="751"/>
      <c r="JRG127" s="751"/>
      <c r="JRH127" s="751"/>
      <c r="JRI127" s="751"/>
      <c r="JRJ127" s="751"/>
      <c r="JRK127" s="751"/>
      <c r="JRL127" s="751"/>
      <c r="JRM127" s="751"/>
      <c r="JRN127" s="751"/>
      <c r="JRO127" s="751"/>
      <c r="JRP127" s="751"/>
      <c r="JRQ127" s="751"/>
      <c r="JRR127" s="751"/>
      <c r="JRS127" s="751"/>
      <c r="JRT127" s="751"/>
      <c r="JRU127" s="751"/>
      <c r="JRV127" s="751"/>
      <c r="JRW127" s="751"/>
      <c r="JRX127" s="751"/>
      <c r="JRY127" s="751"/>
      <c r="JRZ127" s="751"/>
      <c r="JSA127" s="751"/>
      <c r="JSB127" s="751"/>
      <c r="JSC127" s="751"/>
      <c r="JSD127" s="751"/>
      <c r="JSE127" s="751"/>
      <c r="JSF127" s="751"/>
      <c r="JSG127" s="751"/>
      <c r="JSH127" s="751"/>
      <c r="JSI127" s="751"/>
      <c r="JSJ127" s="751"/>
      <c r="JSK127" s="751"/>
      <c r="JSL127" s="751"/>
      <c r="JSM127" s="751"/>
      <c r="JSN127" s="751"/>
      <c r="JSO127" s="751"/>
      <c r="JSP127" s="751"/>
      <c r="JSQ127" s="751"/>
      <c r="JSR127" s="751"/>
      <c r="JSS127" s="751"/>
      <c r="JST127" s="751"/>
      <c r="JSU127" s="751"/>
      <c r="JSV127" s="751"/>
      <c r="JSW127" s="751"/>
      <c r="JSX127" s="751"/>
      <c r="JSY127" s="751"/>
      <c r="JSZ127" s="751"/>
      <c r="JTA127" s="751"/>
      <c r="JTB127" s="751"/>
      <c r="JTC127" s="751"/>
      <c r="JTD127" s="751"/>
      <c r="JTE127" s="751"/>
      <c r="JTF127" s="751"/>
      <c r="JTG127" s="751"/>
      <c r="JTH127" s="751"/>
      <c r="JTI127" s="751"/>
      <c r="JTJ127" s="751"/>
      <c r="JTK127" s="751"/>
      <c r="JTL127" s="751"/>
      <c r="JTM127" s="751"/>
      <c r="JTN127" s="751"/>
      <c r="JTO127" s="751"/>
      <c r="JTP127" s="751"/>
      <c r="JTQ127" s="751"/>
      <c r="JTR127" s="751"/>
      <c r="JTS127" s="751"/>
      <c r="JTT127" s="751"/>
      <c r="JTU127" s="751"/>
      <c r="JTV127" s="751"/>
      <c r="JTW127" s="751"/>
      <c r="JTX127" s="751"/>
      <c r="JTY127" s="751"/>
      <c r="JTZ127" s="751"/>
      <c r="JUA127" s="751"/>
      <c r="JUB127" s="751"/>
      <c r="JUC127" s="751"/>
      <c r="JUD127" s="751"/>
      <c r="JUE127" s="751"/>
      <c r="JUF127" s="751"/>
      <c r="JUG127" s="751"/>
      <c r="JUH127" s="751"/>
      <c r="JUI127" s="751"/>
      <c r="JUJ127" s="751"/>
      <c r="JUK127" s="751"/>
      <c r="JUL127" s="751"/>
      <c r="JUM127" s="751"/>
      <c r="JUN127" s="751"/>
      <c r="JUO127" s="751"/>
      <c r="JUP127" s="751"/>
      <c r="JUQ127" s="751"/>
      <c r="JUR127" s="751"/>
      <c r="JUS127" s="751"/>
      <c r="JUT127" s="751"/>
      <c r="JUU127" s="751"/>
      <c r="JUV127" s="751"/>
      <c r="JUW127" s="751"/>
      <c r="JUX127" s="751"/>
      <c r="JUY127" s="751"/>
      <c r="JUZ127" s="751"/>
      <c r="JVA127" s="751"/>
      <c r="JVB127" s="751"/>
      <c r="JVC127" s="751"/>
      <c r="JVD127" s="751"/>
      <c r="JVE127" s="751"/>
      <c r="JVF127" s="751"/>
      <c r="JVG127" s="751"/>
      <c r="JVH127" s="751"/>
      <c r="JVI127" s="751"/>
      <c r="JVJ127" s="751"/>
      <c r="JVK127" s="751"/>
      <c r="JVL127" s="751"/>
      <c r="JVM127" s="751"/>
      <c r="JVN127" s="751"/>
      <c r="JVO127" s="751"/>
      <c r="JVP127" s="751"/>
      <c r="JVQ127" s="751"/>
      <c r="JVR127" s="751"/>
      <c r="JVS127" s="751"/>
      <c r="JVT127" s="751"/>
      <c r="JVU127" s="751"/>
      <c r="JVV127" s="751"/>
      <c r="JVW127" s="751"/>
      <c r="JVX127" s="751"/>
      <c r="JVY127" s="751"/>
      <c r="JVZ127" s="751"/>
      <c r="JWA127" s="751"/>
      <c r="JWB127" s="751"/>
      <c r="JWC127" s="751"/>
      <c r="JWD127" s="751"/>
      <c r="JWE127" s="751"/>
      <c r="JWF127" s="751"/>
      <c r="JWG127" s="751"/>
      <c r="JWH127" s="751"/>
      <c r="JWI127" s="751"/>
      <c r="JWJ127" s="751"/>
      <c r="JWK127" s="751"/>
      <c r="JWL127" s="751"/>
      <c r="JWM127" s="751"/>
      <c r="JWN127" s="751"/>
      <c r="JWO127" s="751"/>
      <c r="JWP127" s="751"/>
      <c r="JWQ127" s="751"/>
      <c r="JWR127" s="751"/>
      <c r="JWS127" s="751"/>
      <c r="JWT127" s="751"/>
      <c r="JWU127" s="751"/>
      <c r="JWV127" s="751"/>
      <c r="JWW127" s="751"/>
      <c r="JWX127" s="751"/>
      <c r="JWY127" s="751"/>
      <c r="JWZ127" s="751"/>
      <c r="JXA127" s="751"/>
      <c r="JXB127" s="751"/>
      <c r="JXC127" s="751"/>
      <c r="JXD127" s="751"/>
      <c r="JXE127" s="751"/>
      <c r="JXF127" s="751"/>
      <c r="JXG127" s="751"/>
      <c r="JXH127" s="751"/>
      <c r="JXI127" s="751"/>
      <c r="JXJ127" s="751"/>
      <c r="JXK127" s="751"/>
      <c r="JXL127" s="751"/>
      <c r="JXM127" s="751"/>
      <c r="JXN127" s="751"/>
      <c r="JXO127" s="751"/>
      <c r="JXP127" s="751"/>
      <c r="JXQ127" s="751"/>
      <c r="JXR127" s="751"/>
      <c r="JXS127" s="751"/>
      <c r="JXT127" s="751"/>
      <c r="JXU127" s="751"/>
      <c r="JXV127" s="751"/>
      <c r="JXW127" s="751"/>
      <c r="JXX127" s="751"/>
      <c r="JXY127" s="751"/>
      <c r="JXZ127" s="751"/>
      <c r="JYA127" s="751"/>
      <c r="JYB127" s="751"/>
      <c r="JYC127" s="751"/>
      <c r="JYD127" s="751"/>
      <c r="JYE127" s="751"/>
      <c r="JYF127" s="751"/>
      <c r="JYG127" s="751"/>
      <c r="JYH127" s="751"/>
      <c r="JYI127" s="751"/>
      <c r="JYJ127" s="751"/>
      <c r="JYK127" s="751"/>
      <c r="JYL127" s="751"/>
      <c r="JYM127" s="751"/>
      <c r="JYN127" s="751"/>
      <c r="JYO127" s="751"/>
      <c r="JYP127" s="751"/>
      <c r="JYQ127" s="751"/>
      <c r="JYR127" s="751"/>
      <c r="JYS127" s="751"/>
      <c r="JYT127" s="751"/>
      <c r="JYU127" s="751"/>
      <c r="JYV127" s="751"/>
      <c r="JYW127" s="751"/>
      <c r="JYX127" s="751"/>
      <c r="JYY127" s="751"/>
      <c r="JYZ127" s="751"/>
      <c r="JZA127" s="751"/>
      <c r="JZB127" s="751"/>
      <c r="JZC127" s="751"/>
      <c r="JZD127" s="751"/>
      <c r="JZE127" s="751"/>
      <c r="JZF127" s="751"/>
      <c r="JZG127" s="751"/>
      <c r="JZH127" s="751"/>
      <c r="JZI127" s="751"/>
      <c r="JZJ127" s="751"/>
      <c r="JZK127" s="751"/>
      <c r="JZL127" s="751"/>
      <c r="JZM127" s="751"/>
      <c r="JZN127" s="751"/>
      <c r="JZO127" s="751"/>
      <c r="JZP127" s="751"/>
      <c r="JZQ127" s="751"/>
      <c r="JZR127" s="751"/>
      <c r="JZS127" s="751"/>
      <c r="JZT127" s="751"/>
      <c r="JZU127" s="751"/>
      <c r="JZV127" s="751"/>
      <c r="JZW127" s="751"/>
      <c r="JZX127" s="751"/>
      <c r="JZY127" s="751"/>
      <c r="JZZ127" s="751"/>
      <c r="KAA127" s="751"/>
      <c r="KAB127" s="751"/>
      <c r="KAC127" s="751"/>
      <c r="KAD127" s="751"/>
      <c r="KAE127" s="751"/>
      <c r="KAF127" s="751"/>
      <c r="KAG127" s="751"/>
      <c r="KAH127" s="751"/>
      <c r="KAI127" s="751"/>
      <c r="KAJ127" s="751"/>
      <c r="KAK127" s="751"/>
      <c r="KAL127" s="751"/>
      <c r="KAM127" s="751"/>
      <c r="KAN127" s="751"/>
      <c r="KAO127" s="751"/>
      <c r="KAP127" s="751"/>
      <c r="KAQ127" s="751"/>
      <c r="KAR127" s="751"/>
      <c r="KAS127" s="751"/>
      <c r="KAT127" s="751"/>
      <c r="KAU127" s="751"/>
      <c r="KAV127" s="751"/>
      <c r="KAW127" s="751"/>
      <c r="KAX127" s="751"/>
      <c r="KAY127" s="751"/>
      <c r="KAZ127" s="751"/>
      <c r="KBA127" s="751"/>
      <c r="KBB127" s="751"/>
      <c r="KBC127" s="751"/>
      <c r="KBD127" s="751"/>
      <c r="KBE127" s="751"/>
      <c r="KBF127" s="751"/>
      <c r="KBG127" s="751"/>
      <c r="KBH127" s="751"/>
      <c r="KBI127" s="751"/>
      <c r="KBJ127" s="751"/>
      <c r="KBK127" s="751"/>
      <c r="KBL127" s="751"/>
      <c r="KBM127" s="751"/>
      <c r="KBN127" s="751"/>
      <c r="KBO127" s="751"/>
      <c r="KBP127" s="751"/>
      <c r="KBQ127" s="751"/>
      <c r="KBR127" s="751"/>
      <c r="KBS127" s="751"/>
      <c r="KBT127" s="751"/>
      <c r="KBU127" s="751"/>
      <c r="KBV127" s="751"/>
      <c r="KBW127" s="751"/>
      <c r="KBX127" s="751"/>
      <c r="KBY127" s="751"/>
      <c r="KBZ127" s="751"/>
      <c r="KCA127" s="751"/>
      <c r="KCB127" s="751"/>
      <c r="KCC127" s="751"/>
      <c r="KCD127" s="751"/>
      <c r="KCE127" s="751"/>
      <c r="KCF127" s="751"/>
      <c r="KCG127" s="751"/>
      <c r="KCH127" s="751"/>
      <c r="KCI127" s="751"/>
      <c r="KCJ127" s="751"/>
      <c r="KCK127" s="751"/>
      <c r="KCL127" s="751"/>
      <c r="KCM127" s="751"/>
      <c r="KCN127" s="751"/>
      <c r="KCO127" s="751"/>
      <c r="KCP127" s="751"/>
      <c r="KCQ127" s="751"/>
      <c r="KCR127" s="751"/>
      <c r="KCS127" s="751"/>
      <c r="KCT127" s="751"/>
      <c r="KCU127" s="751"/>
      <c r="KCV127" s="751"/>
      <c r="KCW127" s="751"/>
      <c r="KCX127" s="751"/>
      <c r="KCY127" s="751"/>
      <c r="KCZ127" s="751"/>
      <c r="KDA127" s="751"/>
      <c r="KDB127" s="751"/>
      <c r="KDC127" s="751"/>
      <c r="KDD127" s="751"/>
      <c r="KDE127" s="751"/>
      <c r="KDF127" s="751"/>
      <c r="KDG127" s="751"/>
      <c r="KDH127" s="751"/>
      <c r="KDI127" s="751"/>
      <c r="KDJ127" s="751"/>
      <c r="KDK127" s="751"/>
      <c r="KDL127" s="751"/>
      <c r="KDM127" s="751"/>
      <c r="KDN127" s="751"/>
      <c r="KDO127" s="751"/>
      <c r="KDP127" s="751"/>
      <c r="KDQ127" s="751"/>
      <c r="KDR127" s="751"/>
      <c r="KDS127" s="751"/>
      <c r="KDT127" s="751"/>
      <c r="KDU127" s="751"/>
      <c r="KDV127" s="751"/>
      <c r="KDW127" s="751"/>
      <c r="KDX127" s="751"/>
      <c r="KDY127" s="751"/>
      <c r="KDZ127" s="751"/>
      <c r="KEA127" s="751"/>
      <c r="KEB127" s="751"/>
      <c r="KEC127" s="751"/>
      <c r="KED127" s="751"/>
      <c r="KEE127" s="751"/>
      <c r="KEF127" s="751"/>
      <c r="KEG127" s="751"/>
      <c r="KEH127" s="751"/>
      <c r="KEI127" s="751"/>
      <c r="KEJ127" s="751"/>
      <c r="KEK127" s="751"/>
      <c r="KEL127" s="751"/>
      <c r="KEM127" s="751"/>
      <c r="KEN127" s="751"/>
      <c r="KEO127" s="751"/>
      <c r="KEP127" s="751"/>
      <c r="KEQ127" s="751"/>
      <c r="KER127" s="751"/>
      <c r="KES127" s="751"/>
      <c r="KET127" s="751"/>
      <c r="KEU127" s="751"/>
      <c r="KEV127" s="751"/>
      <c r="KEW127" s="751"/>
      <c r="KEX127" s="751"/>
      <c r="KEY127" s="751"/>
      <c r="KEZ127" s="751"/>
      <c r="KFA127" s="751"/>
      <c r="KFB127" s="751"/>
      <c r="KFC127" s="751"/>
      <c r="KFD127" s="751"/>
      <c r="KFE127" s="751"/>
      <c r="KFF127" s="751"/>
      <c r="KFG127" s="751"/>
      <c r="KFH127" s="751"/>
      <c r="KFI127" s="751"/>
      <c r="KFJ127" s="751"/>
      <c r="KFK127" s="751"/>
      <c r="KFL127" s="751"/>
      <c r="KFM127" s="751"/>
      <c r="KFN127" s="751"/>
      <c r="KFO127" s="751"/>
      <c r="KFP127" s="751"/>
      <c r="KFQ127" s="751"/>
      <c r="KFR127" s="751"/>
      <c r="KFS127" s="751"/>
      <c r="KFT127" s="751"/>
      <c r="KFU127" s="751"/>
      <c r="KFV127" s="751"/>
      <c r="KFW127" s="751"/>
      <c r="KFX127" s="751"/>
      <c r="KFY127" s="751"/>
      <c r="KFZ127" s="751"/>
      <c r="KGA127" s="751"/>
      <c r="KGB127" s="751"/>
      <c r="KGC127" s="751"/>
      <c r="KGD127" s="751"/>
      <c r="KGE127" s="751"/>
      <c r="KGF127" s="751"/>
      <c r="KGG127" s="751"/>
      <c r="KGH127" s="751"/>
      <c r="KGI127" s="751"/>
      <c r="KGJ127" s="751"/>
      <c r="KGK127" s="751"/>
      <c r="KGL127" s="751"/>
      <c r="KGM127" s="751"/>
      <c r="KGN127" s="751"/>
      <c r="KGO127" s="751"/>
      <c r="KGP127" s="751"/>
      <c r="KGQ127" s="751"/>
      <c r="KGR127" s="751"/>
      <c r="KGS127" s="751"/>
      <c r="KGT127" s="751"/>
      <c r="KGU127" s="751"/>
      <c r="KGV127" s="751"/>
      <c r="KGW127" s="751"/>
      <c r="KGX127" s="751"/>
      <c r="KGY127" s="751"/>
      <c r="KGZ127" s="751"/>
      <c r="KHA127" s="751"/>
      <c r="KHB127" s="751"/>
      <c r="KHC127" s="751"/>
      <c r="KHD127" s="751"/>
      <c r="KHE127" s="751"/>
      <c r="KHF127" s="751"/>
      <c r="KHG127" s="751"/>
      <c r="KHH127" s="751"/>
      <c r="KHI127" s="751"/>
      <c r="KHJ127" s="751"/>
      <c r="KHK127" s="751"/>
      <c r="KHL127" s="751"/>
      <c r="KHM127" s="751"/>
      <c r="KHN127" s="751"/>
      <c r="KHO127" s="751"/>
      <c r="KHP127" s="751"/>
      <c r="KHQ127" s="751"/>
      <c r="KHR127" s="751"/>
      <c r="KHS127" s="751"/>
      <c r="KHT127" s="751"/>
      <c r="KHU127" s="751"/>
      <c r="KHV127" s="751"/>
      <c r="KHW127" s="751"/>
      <c r="KHX127" s="751"/>
      <c r="KHY127" s="751"/>
      <c r="KHZ127" s="751"/>
      <c r="KIA127" s="751"/>
      <c r="KIB127" s="751"/>
      <c r="KIC127" s="751"/>
      <c r="KID127" s="751"/>
      <c r="KIE127" s="751"/>
      <c r="KIF127" s="751"/>
      <c r="KIG127" s="751"/>
      <c r="KIH127" s="751"/>
      <c r="KII127" s="751"/>
      <c r="KIJ127" s="751"/>
      <c r="KIK127" s="751"/>
      <c r="KIL127" s="751"/>
      <c r="KIM127" s="751"/>
      <c r="KIN127" s="751"/>
      <c r="KIO127" s="751"/>
      <c r="KIP127" s="751"/>
      <c r="KIQ127" s="751"/>
      <c r="KIR127" s="751"/>
      <c r="KIS127" s="751"/>
      <c r="KIT127" s="751"/>
      <c r="KIU127" s="751"/>
      <c r="KIV127" s="751"/>
      <c r="KIW127" s="751"/>
      <c r="KIX127" s="751"/>
      <c r="KIY127" s="751"/>
      <c r="KIZ127" s="751"/>
      <c r="KJA127" s="751"/>
      <c r="KJB127" s="751"/>
      <c r="KJC127" s="751"/>
      <c r="KJD127" s="751"/>
      <c r="KJE127" s="751"/>
      <c r="KJF127" s="751"/>
      <c r="KJG127" s="751"/>
      <c r="KJH127" s="751"/>
      <c r="KJI127" s="751"/>
      <c r="KJJ127" s="751"/>
      <c r="KJK127" s="751"/>
      <c r="KJL127" s="751"/>
      <c r="KJM127" s="751"/>
      <c r="KJN127" s="751"/>
      <c r="KJO127" s="751"/>
      <c r="KJP127" s="751"/>
      <c r="KJQ127" s="751"/>
      <c r="KJR127" s="751"/>
      <c r="KJS127" s="751"/>
      <c r="KJT127" s="751"/>
      <c r="KJU127" s="751"/>
      <c r="KJV127" s="751"/>
      <c r="KJW127" s="751"/>
      <c r="KJX127" s="751"/>
      <c r="KJY127" s="751"/>
      <c r="KJZ127" s="751"/>
      <c r="KKA127" s="751"/>
      <c r="KKB127" s="751"/>
      <c r="KKC127" s="751"/>
      <c r="KKD127" s="751"/>
      <c r="KKE127" s="751"/>
      <c r="KKF127" s="751"/>
      <c r="KKG127" s="751"/>
      <c r="KKH127" s="751"/>
      <c r="KKI127" s="751"/>
      <c r="KKJ127" s="751"/>
      <c r="KKK127" s="751"/>
      <c r="KKL127" s="751"/>
      <c r="KKM127" s="751"/>
      <c r="KKN127" s="751"/>
      <c r="KKO127" s="751"/>
      <c r="KKP127" s="751"/>
      <c r="KKQ127" s="751"/>
      <c r="KKR127" s="751"/>
      <c r="KKS127" s="751"/>
      <c r="KKT127" s="751"/>
      <c r="KKU127" s="751"/>
      <c r="KKV127" s="751"/>
      <c r="KKW127" s="751"/>
      <c r="KKX127" s="751"/>
      <c r="KKY127" s="751"/>
      <c r="KKZ127" s="751"/>
      <c r="KLA127" s="751"/>
      <c r="KLB127" s="751"/>
      <c r="KLC127" s="751"/>
      <c r="KLD127" s="751"/>
      <c r="KLE127" s="751"/>
      <c r="KLF127" s="751"/>
      <c r="KLG127" s="751"/>
      <c r="KLH127" s="751"/>
      <c r="KLI127" s="751"/>
      <c r="KLJ127" s="751"/>
      <c r="KLK127" s="751"/>
      <c r="KLL127" s="751"/>
      <c r="KLM127" s="751"/>
      <c r="KLN127" s="751"/>
      <c r="KLO127" s="751"/>
      <c r="KLP127" s="751"/>
      <c r="KLQ127" s="751"/>
      <c r="KLR127" s="751"/>
      <c r="KLS127" s="751"/>
      <c r="KLT127" s="751"/>
      <c r="KLU127" s="751"/>
      <c r="KLV127" s="751"/>
      <c r="KLW127" s="751"/>
      <c r="KLX127" s="751"/>
      <c r="KLY127" s="751"/>
      <c r="KLZ127" s="751"/>
      <c r="KMA127" s="751"/>
      <c r="KMB127" s="751"/>
      <c r="KMC127" s="751"/>
      <c r="KMD127" s="751"/>
      <c r="KME127" s="751"/>
      <c r="KMF127" s="751"/>
      <c r="KMG127" s="751"/>
      <c r="KMH127" s="751"/>
      <c r="KMI127" s="751"/>
      <c r="KMJ127" s="751"/>
      <c r="KMK127" s="751"/>
      <c r="KML127" s="751"/>
      <c r="KMM127" s="751"/>
      <c r="KMN127" s="751"/>
      <c r="KMO127" s="751"/>
      <c r="KMP127" s="751"/>
      <c r="KMQ127" s="751"/>
      <c r="KMR127" s="751"/>
      <c r="KMS127" s="751"/>
      <c r="KMT127" s="751"/>
      <c r="KMU127" s="751"/>
      <c r="KMV127" s="751"/>
      <c r="KMW127" s="751"/>
      <c r="KMX127" s="751"/>
      <c r="KMY127" s="751"/>
      <c r="KMZ127" s="751"/>
      <c r="KNA127" s="751"/>
      <c r="KNB127" s="751"/>
      <c r="KNC127" s="751"/>
      <c r="KND127" s="751"/>
      <c r="KNE127" s="751"/>
      <c r="KNF127" s="751"/>
      <c r="KNG127" s="751"/>
      <c r="KNH127" s="751"/>
      <c r="KNI127" s="751"/>
      <c r="KNJ127" s="751"/>
      <c r="KNK127" s="751"/>
      <c r="KNL127" s="751"/>
      <c r="KNM127" s="751"/>
      <c r="KNN127" s="751"/>
      <c r="KNO127" s="751"/>
      <c r="KNP127" s="751"/>
      <c r="KNQ127" s="751"/>
      <c r="KNR127" s="751"/>
      <c r="KNS127" s="751"/>
      <c r="KNT127" s="751"/>
      <c r="KNU127" s="751"/>
      <c r="KNV127" s="751"/>
      <c r="KNW127" s="751"/>
      <c r="KNX127" s="751"/>
      <c r="KNY127" s="751"/>
      <c r="KNZ127" s="751"/>
      <c r="KOA127" s="751"/>
      <c r="KOB127" s="751"/>
      <c r="KOC127" s="751"/>
      <c r="KOD127" s="751"/>
      <c r="KOE127" s="751"/>
      <c r="KOF127" s="751"/>
      <c r="KOG127" s="751"/>
      <c r="KOH127" s="751"/>
      <c r="KOI127" s="751"/>
      <c r="KOJ127" s="751"/>
      <c r="KOK127" s="751"/>
      <c r="KOL127" s="751"/>
      <c r="KOM127" s="751"/>
      <c r="KON127" s="751"/>
      <c r="KOO127" s="751"/>
      <c r="KOP127" s="751"/>
      <c r="KOQ127" s="751"/>
      <c r="KOR127" s="751"/>
      <c r="KOS127" s="751"/>
      <c r="KOT127" s="751"/>
      <c r="KOU127" s="751"/>
      <c r="KOV127" s="751"/>
      <c r="KOW127" s="751"/>
      <c r="KOX127" s="751"/>
      <c r="KOY127" s="751"/>
      <c r="KOZ127" s="751"/>
      <c r="KPA127" s="751"/>
      <c r="KPB127" s="751"/>
      <c r="KPC127" s="751"/>
      <c r="KPD127" s="751"/>
      <c r="KPE127" s="751"/>
      <c r="KPF127" s="751"/>
      <c r="KPG127" s="751"/>
      <c r="KPH127" s="751"/>
      <c r="KPI127" s="751"/>
      <c r="KPJ127" s="751"/>
      <c r="KPK127" s="751"/>
      <c r="KPL127" s="751"/>
      <c r="KPM127" s="751"/>
      <c r="KPN127" s="751"/>
      <c r="KPO127" s="751"/>
      <c r="KPP127" s="751"/>
      <c r="KPQ127" s="751"/>
      <c r="KPR127" s="751"/>
      <c r="KPS127" s="751"/>
      <c r="KPT127" s="751"/>
      <c r="KPU127" s="751"/>
      <c r="KPV127" s="751"/>
      <c r="KPW127" s="751"/>
      <c r="KPX127" s="751"/>
      <c r="KPY127" s="751"/>
      <c r="KPZ127" s="751"/>
      <c r="KQA127" s="751"/>
      <c r="KQB127" s="751"/>
      <c r="KQC127" s="751"/>
      <c r="KQD127" s="751"/>
      <c r="KQE127" s="751"/>
      <c r="KQF127" s="751"/>
      <c r="KQG127" s="751"/>
      <c r="KQH127" s="751"/>
      <c r="KQI127" s="751"/>
      <c r="KQJ127" s="751"/>
      <c r="KQK127" s="751"/>
      <c r="KQL127" s="751"/>
      <c r="KQM127" s="751"/>
      <c r="KQN127" s="751"/>
      <c r="KQO127" s="751"/>
      <c r="KQP127" s="751"/>
      <c r="KQQ127" s="751"/>
      <c r="KQR127" s="751"/>
      <c r="KQS127" s="751"/>
      <c r="KQT127" s="751"/>
      <c r="KQU127" s="751"/>
      <c r="KQV127" s="751"/>
      <c r="KQW127" s="751"/>
      <c r="KQX127" s="751"/>
      <c r="KQY127" s="751"/>
      <c r="KQZ127" s="751"/>
      <c r="KRA127" s="751"/>
      <c r="KRB127" s="751"/>
      <c r="KRC127" s="751"/>
      <c r="KRD127" s="751"/>
      <c r="KRE127" s="751"/>
      <c r="KRF127" s="751"/>
      <c r="KRG127" s="751"/>
      <c r="KRH127" s="751"/>
      <c r="KRI127" s="751"/>
      <c r="KRJ127" s="751"/>
      <c r="KRK127" s="751"/>
      <c r="KRL127" s="751"/>
      <c r="KRM127" s="751"/>
      <c r="KRN127" s="751"/>
      <c r="KRO127" s="751"/>
      <c r="KRP127" s="751"/>
      <c r="KRQ127" s="751"/>
      <c r="KRR127" s="751"/>
      <c r="KRS127" s="751"/>
      <c r="KRT127" s="751"/>
      <c r="KRU127" s="751"/>
      <c r="KRV127" s="751"/>
      <c r="KRW127" s="751"/>
      <c r="KRX127" s="751"/>
      <c r="KRY127" s="751"/>
      <c r="KRZ127" s="751"/>
      <c r="KSA127" s="751"/>
      <c r="KSB127" s="751"/>
      <c r="KSC127" s="751"/>
      <c r="KSD127" s="751"/>
      <c r="KSE127" s="751"/>
      <c r="KSF127" s="751"/>
      <c r="KSG127" s="751"/>
      <c r="KSH127" s="751"/>
      <c r="KSI127" s="751"/>
      <c r="KSJ127" s="751"/>
      <c r="KSK127" s="751"/>
      <c r="KSL127" s="751"/>
      <c r="KSM127" s="751"/>
      <c r="KSN127" s="751"/>
      <c r="KSO127" s="751"/>
      <c r="KSP127" s="751"/>
      <c r="KSQ127" s="751"/>
      <c r="KSR127" s="751"/>
      <c r="KSS127" s="751"/>
      <c r="KST127" s="751"/>
      <c r="KSU127" s="751"/>
      <c r="KSV127" s="751"/>
      <c r="KSW127" s="751"/>
      <c r="KSX127" s="751"/>
      <c r="KSY127" s="751"/>
      <c r="KSZ127" s="751"/>
      <c r="KTA127" s="751"/>
      <c r="KTB127" s="751"/>
      <c r="KTC127" s="751"/>
      <c r="KTD127" s="751"/>
      <c r="KTE127" s="751"/>
      <c r="KTF127" s="751"/>
      <c r="KTG127" s="751"/>
      <c r="KTH127" s="751"/>
      <c r="KTI127" s="751"/>
      <c r="KTJ127" s="751"/>
      <c r="KTK127" s="751"/>
      <c r="KTL127" s="751"/>
      <c r="KTM127" s="751"/>
      <c r="KTN127" s="751"/>
      <c r="KTO127" s="751"/>
      <c r="KTP127" s="751"/>
      <c r="KTQ127" s="751"/>
      <c r="KTR127" s="751"/>
      <c r="KTS127" s="751"/>
      <c r="KTT127" s="751"/>
      <c r="KTU127" s="751"/>
      <c r="KTV127" s="751"/>
      <c r="KTW127" s="751"/>
      <c r="KTX127" s="751"/>
      <c r="KTY127" s="751"/>
      <c r="KTZ127" s="751"/>
      <c r="KUA127" s="751"/>
      <c r="KUB127" s="751"/>
      <c r="KUC127" s="751"/>
      <c r="KUD127" s="751"/>
      <c r="KUE127" s="751"/>
      <c r="KUF127" s="751"/>
      <c r="KUG127" s="751"/>
      <c r="KUH127" s="751"/>
      <c r="KUI127" s="751"/>
      <c r="KUJ127" s="751"/>
      <c r="KUK127" s="751"/>
      <c r="KUL127" s="751"/>
      <c r="KUM127" s="751"/>
      <c r="KUN127" s="751"/>
      <c r="KUO127" s="751"/>
      <c r="KUP127" s="751"/>
      <c r="KUQ127" s="751"/>
      <c r="KUR127" s="751"/>
      <c r="KUS127" s="751"/>
      <c r="KUT127" s="751"/>
      <c r="KUU127" s="751"/>
      <c r="KUV127" s="751"/>
      <c r="KUW127" s="751"/>
      <c r="KUX127" s="751"/>
      <c r="KUY127" s="751"/>
      <c r="KUZ127" s="751"/>
      <c r="KVA127" s="751"/>
      <c r="KVB127" s="751"/>
      <c r="KVC127" s="751"/>
      <c r="KVD127" s="751"/>
      <c r="KVE127" s="751"/>
      <c r="KVF127" s="751"/>
      <c r="KVG127" s="751"/>
      <c r="KVH127" s="751"/>
      <c r="KVI127" s="751"/>
      <c r="KVJ127" s="751"/>
      <c r="KVK127" s="751"/>
      <c r="KVL127" s="751"/>
      <c r="KVM127" s="751"/>
      <c r="KVN127" s="751"/>
      <c r="KVO127" s="751"/>
      <c r="KVP127" s="751"/>
      <c r="KVQ127" s="751"/>
      <c r="KVR127" s="751"/>
      <c r="KVS127" s="751"/>
      <c r="KVT127" s="751"/>
      <c r="KVU127" s="751"/>
      <c r="KVV127" s="751"/>
      <c r="KVW127" s="751"/>
      <c r="KVX127" s="751"/>
      <c r="KVY127" s="751"/>
      <c r="KVZ127" s="751"/>
      <c r="KWA127" s="751"/>
      <c r="KWB127" s="751"/>
      <c r="KWC127" s="751"/>
      <c r="KWD127" s="751"/>
      <c r="KWE127" s="751"/>
      <c r="KWF127" s="751"/>
      <c r="KWG127" s="751"/>
      <c r="KWH127" s="751"/>
      <c r="KWI127" s="751"/>
      <c r="KWJ127" s="751"/>
      <c r="KWK127" s="751"/>
      <c r="KWL127" s="751"/>
      <c r="KWM127" s="751"/>
      <c r="KWN127" s="751"/>
      <c r="KWO127" s="751"/>
      <c r="KWP127" s="751"/>
      <c r="KWQ127" s="751"/>
      <c r="KWR127" s="751"/>
      <c r="KWS127" s="751"/>
      <c r="KWT127" s="751"/>
      <c r="KWU127" s="751"/>
      <c r="KWV127" s="751"/>
      <c r="KWW127" s="751"/>
      <c r="KWX127" s="751"/>
      <c r="KWY127" s="751"/>
      <c r="KWZ127" s="751"/>
      <c r="KXA127" s="751"/>
      <c r="KXB127" s="751"/>
      <c r="KXC127" s="751"/>
      <c r="KXD127" s="751"/>
      <c r="KXE127" s="751"/>
      <c r="KXF127" s="751"/>
      <c r="KXG127" s="751"/>
      <c r="KXH127" s="751"/>
      <c r="KXI127" s="751"/>
      <c r="KXJ127" s="751"/>
      <c r="KXK127" s="751"/>
      <c r="KXL127" s="751"/>
      <c r="KXM127" s="751"/>
      <c r="KXN127" s="751"/>
      <c r="KXO127" s="751"/>
      <c r="KXP127" s="751"/>
      <c r="KXQ127" s="751"/>
      <c r="KXR127" s="751"/>
      <c r="KXS127" s="751"/>
      <c r="KXT127" s="751"/>
      <c r="KXU127" s="751"/>
      <c r="KXV127" s="751"/>
      <c r="KXW127" s="751"/>
      <c r="KXX127" s="751"/>
      <c r="KXY127" s="751"/>
      <c r="KXZ127" s="751"/>
      <c r="KYA127" s="751"/>
      <c r="KYB127" s="751"/>
      <c r="KYC127" s="751"/>
      <c r="KYD127" s="751"/>
      <c r="KYE127" s="751"/>
      <c r="KYF127" s="751"/>
      <c r="KYG127" s="751"/>
      <c r="KYH127" s="751"/>
      <c r="KYI127" s="751"/>
      <c r="KYJ127" s="751"/>
      <c r="KYK127" s="751"/>
      <c r="KYL127" s="751"/>
      <c r="KYM127" s="751"/>
      <c r="KYN127" s="751"/>
      <c r="KYO127" s="751"/>
      <c r="KYP127" s="751"/>
      <c r="KYQ127" s="751"/>
      <c r="KYR127" s="751"/>
      <c r="KYS127" s="751"/>
      <c r="KYT127" s="751"/>
      <c r="KYU127" s="751"/>
      <c r="KYV127" s="751"/>
      <c r="KYW127" s="751"/>
      <c r="KYX127" s="751"/>
      <c r="KYY127" s="751"/>
      <c r="KYZ127" s="751"/>
      <c r="KZA127" s="751"/>
      <c r="KZB127" s="751"/>
      <c r="KZC127" s="751"/>
      <c r="KZD127" s="751"/>
      <c r="KZE127" s="751"/>
      <c r="KZF127" s="751"/>
      <c r="KZG127" s="751"/>
      <c r="KZH127" s="751"/>
      <c r="KZI127" s="751"/>
      <c r="KZJ127" s="751"/>
      <c r="KZK127" s="751"/>
      <c r="KZL127" s="751"/>
      <c r="KZM127" s="751"/>
      <c r="KZN127" s="751"/>
      <c r="KZO127" s="751"/>
      <c r="KZP127" s="751"/>
      <c r="KZQ127" s="751"/>
      <c r="KZR127" s="751"/>
      <c r="KZS127" s="751"/>
      <c r="KZT127" s="751"/>
      <c r="KZU127" s="751"/>
      <c r="KZV127" s="751"/>
      <c r="KZW127" s="751"/>
      <c r="KZX127" s="751"/>
      <c r="KZY127" s="751"/>
      <c r="KZZ127" s="751"/>
      <c r="LAA127" s="751"/>
      <c r="LAB127" s="751"/>
      <c r="LAC127" s="751"/>
      <c r="LAD127" s="751"/>
      <c r="LAE127" s="751"/>
      <c r="LAF127" s="751"/>
      <c r="LAG127" s="751"/>
      <c r="LAH127" s="751"/>
      <c r="LAI127" s="751"/>
      <c r="LAJ127" s="751"/>
      <c r="LAK127" s="751"/>
      <c r="LAL127" s="751"/>
      <c r="LAM127" s="751"/>
      <c r="LAN127" s="751"/>
      <c r="LAO127" s="751"/>
      <c r="LAP127" s="751"/>
      <c r="LAQ127" s="751"/>
      <c r="LAR127" s="751"/>
      <c r="LAS127" s="751"/>
      <c r="LAT127" s="751"/>
      <c r="LAU127" s="751"/>
      <c r="LAV127" s="751"/>
      <c r="LAW127" s="751"/>
      <c r="LAX127" s="751"/>
      <c r="LAY127" s="751"/>
      <c r="LAZ127" s="751"/>
      <c r="LBA127" s="751"/>
      <c r="LBB127" s="751"/>
      <c r="LBC127" s="751"/>
      <c r="LBD127" s="751"/>
      <c r="LBE127" s="751"/>
      <c r="LBF127" s="751"/>
      <c r="LBG127" s="751"/>
      <c r="LBH127" s="751"/>
      <c r="LBI127" s="751"/>
      <c r="LBJ127" s="751"/>
      <c r="LBK127" s="751"/>
      <c r="LBL127" s="751"/>
      <c r="LBM127" s="751"/>
      <c r="LBN127" s="751"/>
      <c r="LBO127" s="751"/>
      <c r="LBP127" s="751"/>
      <c r="LBQ127" s="751"/>
      <c r="LBR127" s="751"/>
      <c r="LBS127" s="751"/>
      <c r="LBT127" s="751"/>
      <c r="LBU127" s="751"/>
      <c r="LBV127" s="751"/>
      <c r="LBW127" s="751"/>
      <c r="LBX127" s="751"/>
      <c r="LBY127" s="751"/>
      <c r="LBZ127" s="751"/>
      <c r="LCA127" s="751"/>
      <c r="LCB127" s="751"/>
      <c r="LCC127" s="751"/>
      <c r="LCD127" s="751"/>
      <c r="LCE127" s="751"/>
      <c r="LCF127" s="751"/>
      <c r="LCG127" s="751"/>
      <c r="LCH127" s="751"/>
      <c r="LCI127" s="751"/>
      <c r="LCJ127" s="751"/>
      <c r="LCK127" s="751"/>
      <c r="LCL127" s="751"/>
      <c r="LCM127" s="751"/>
      <c r="LCN127" s="751"/>
      <c r="LCO127" s="751"/>
      <c r="LCP127" s="751"/>
      <c r="LCQ127" s="751"/>
      <c r="LCR127" s="751"/>
      <c r="LCS127" s="751"/>
      <c r="LCT127" s="751"/>
      <c r="LCU127" s="751"/>
      <c r="LCV127" s="751"/>
      <c r="LCW127" s="751"/>
      <c r="LCX127" s="751"/>
      <c r="LCY127" s="751"/>
      <c r="LCZ127" s="751"/>
      <c r="LDA127" s="751"/>
      <c r="LDB127" s="751"/>
      <c r="LDC127" s="751"/>
      <c r="LDD127" s="751"/>
      <c r="LDE127" s="751"/>
      <c r="LDF127" s="751"/>
      <c r="LDG127" s="751"/>
      <c r="LDH127" s="751"/>
      <c r="LDI127" s="751"/>
      <c r="LDJ127" s="751"/>
      <c r="LDK127" s="751"/>
      <c r="LDL127" s="751"/>
      <c r="LDM127" s="751"/>
      <c r="LDN127" s="751"/>
      <c r="LDO127" s="751"/>
      <c r="LDP127" s="751"/>
      <c r="LDQ127" s="751"/>
      <c r="LDR127" s="751"/>
      <c r="LDS127" s="751"/>
      <c r="LDT127" s="751"/>
      <c r="LDU127" s="751"/>
      <c r="LDV127" s="751"/>
      <c r="LDW127" s="751"/>
      <c r="LDX127" s="751"/>
      <c r="LDY127" s="751"/>
      <c r="LDZ127" s="751"/>
      <c r="LEA127" s="751"/>
      <c r="LEB127" s="751"/>
      <c r="LEC127" s="751"/>
      <c r="LED127" s="751"/>
      <c r="LEE127" s="751"/>
      <c r="LEF127" s="751"/>
      <c r="LEG127" s="751"/>
      <c r="LEH127" s="751"/>
      <c r="LEI127" s="751"/>
      <c r="LEJ127" s="751"/>
      <c r="LEK127" s="751"/>
      <c r="LEL127" s="751"/>
      <c r="LEM127" s="751"/>
      <c r="LEN127" s="751"/>
      <c r="LEO127" s="751"/>
      <c r="LEP127" s="751"/>
      <c r="LEQ127" s="751"/>
      <c r="LER127" s="751"/>
      <c r="LES127" s="751"/>
      <c r="LET127" s="751"/>
      <c r="LEU127" s="751"/>
      <c r="LEV127" s="751"/>
      <c r="LEW127" s="751"/>
      <c r="LEX127" s="751"/>
      <c r="LEY127" s="751"/>
      <c r="LEZ127" s="751"/>
      <c r="LFA127" s="751"/>
      <c r="LFB127" s="751"/>
      <c r="LFC127" s="751"/>
      <c r="LFD127" s="751"/>
      <c r="LFE127" s="751"/>
      <c r="LFF127" s="751"/>
      <c r="LFG127" s="751"/>
      <c r="LFH127" s="751"/>
      <c r="LFI127" s="751"/>
      <c r="LFJ127" s="751"/>
      <c r="LFK127" s="751"/>
      <c r="LFL127" s="751"/>
      <c r="LFM127" s="751"/>
      <c r="LFN127" s="751"/>
      <c r="LFO127" s="751"/>
      <c r="LFP127" s="751"/>
      <c r="LFQ127" s="751"/>
      <c r="LFR127" s="751"/>
      <c r="LFS127" s="751"/>
      <c r="LFT127" s="751"/>
      <c r="LFU127" s="751"/>
      <c r="LFV127" s="751"/>
      <c r="LFW127" s="751"/>
      <c r="LFX127" s="751"/>
      <c r="LFY127" s="751"/>
      <c r="LFZ127" s="751"/>
      <c r="LGA127" s="751"/>
      <c r="LGB127" s="751"/>
      <c r="LGC127" s="751"/>
      <c r="LGD127" s="751"/>
      <c r="LGE127" s="751"/>
      <c r="LGF127" s="751"/>
      <c r="LGG127" s="751"/>
      <c r="LGH127" s="751"/>
      <c r="LGI127" s="751"/>
      <c r="LGJ127" s="751"/>
      <c r="LGK127" s="751"/>
      <c r="LGL127" s="751"/>
      <c r="LGM127" s="751"/>
      <c r="LGN127" s="751"/>
      <c r="LGO127" s="751"/>
      <c r="LGP127" s="751"/>
      <c r="LGQ127" s="751"/>
      <c r="LGR127" s="751"/>
      <c r="LGS127" s="751"/>
      <c r="LGT127" s="751"/>
      <c r="LGU127" s="751"/>
      <c r="LGV127" s="751"/>
      <c r="LGW127" s="751"/>
      <c r="LGX127" s="751"/>
      <c r="LGY127" s="751"/>
      <c r="LGZ127" s="751"/>
      <c r="LHA127" s="751"/>
      <c r="LHB127" s="751"/>
      <c r="LHC127" s="751"/>
      <c r="LHD127" s="751"/>
      <c r="LHE127" s="751"/>
      <c r="LHF127" s="751"/>
      <c r="LHG127" s="751"/>
      <c r="LHH127" s="751"/>
      <c r="LHI127" s="751"/>
      <c r="LHJ127" s="751"/>
      <c r="LHK127" s="751"/>
      <c r="LHL127" s="751"/>
      <c r="LHM127" s="751"/>
      <c r="LHN127" s="751"/>
      <c r="LHO127" s="751"/>
      <c r="LHP127" s="751"/>
      <c r="LHQ127" s="751"/>
      <c r="LHR127" s="751"/>
      <c r="LHS127" s="751"/>
      <c r="LHT127" s="751"/>
      <c r="LHU127" s="751"/>
      <c r="LHV127" s="751"/>
      <c r="LHW127" s="751"/>
      <c r="LHX127" s="751"/>
      <c r="LHY127" s="751"/>
      <c r="LHZ127" s="751"/>
      <c r="LIA127" s="751"/>
      <c r="LIB127" s="751"/>
      <c r="LIC127" s="751"/>
      <c r="LID127" s="751"/>
      <c r="LIE127" s="751"/>
      <c r="LIF127" s="751"/>
      <c r="LIG127" s="751"/>
      <c r="LIH127" s="751"/>
      <c r="LII127" s="751"/>
      <c r="LIJ127" s="751"/>
      <c r="LIK127" s="751"/>
      <c r="LIL127" s="751"/>
      <c r="LIM127" s="751"/>
      <c r="LIN127" s="751"/>
      <c r="LIO127" s="751"/>
      <c r="LIP127" s="751"/>
      <c r="LIQ127" s="751"/>
      <c r="LIR127" s="751"/>
      <c r="LIS127" s="751"/>
      <c r="LIT127" s="751"/>
      <c r="LIU127" s="751"/>
      <c r="LIV127" s="751"/>
      <c r="LIW127" s="751"/>
      <c r="LIX127" s="751"/>
      <c r="LIY127" s="751"/>
      <c r="LIZ127" s="751"/>
      <c r="LJA127" s="751"/>
      <c r="LJB127" s="751"/>
      <c r="LJC127" s="751"/>
      <c r="LJD127" s="751"/>
      <c r="LJE127" s="751"/>
      <c r="LJF127" s="751"/>
      <c r="LJG127" s="751"/>
      <c r="LJH127" s="751"/>
      <c r="LJI127" s="751"/>
      <c r="LJJ127" s="751"/>
      <c r="LJK127" s="751"/>
      <c r="LJL127" s="751"/>
      <c r="LJM127" s="751"/>
      <c r="LJN127" s="751"/>
      <c r="LJO127" s="751"/>
      <c r="LJP127" s="751"/>
      <c r="LJQ127" s="751"/>
      <c r="LJR127" s="751"/>
      <c r="LJS127" s="751"/>
      <c r="LJT127" s="751"/>
      <c r="LJU127" s="751"/>
      <c r="LJV127" s="751"/>
      <c r="LJW127" s="751"/>
      <c r="LJX127" s="751"/>
      <c r="LJY127" s="751"/>
      <c r="LJZ127" s="751"/>
      <c r="LKA127" s="751"/>
      <c r="LKB127" s="751"/>
      <c r="LKC127" s="751"/>
      <c r="LKD127" s="751"/>
      <c r="LKE127" s="751"/>
      <c r="LKF127" s="751"/>
      <c r="LKG127" s="751"/>
      <c r="LKH127" s="751"/>
      <c r="LKI127" s="751"/>
      <c r="LKJ127" s="751"/>
      <c r="LKK127" s="751"/>
      <c r="LKL127" s="751"/>
      <c r="LKM127" s="751"/>
      <c r="LKN127" s="751"/>
      <c r="LKO127" s="751"/>
      <c r="LKP127" s="751"/>
      <c r="LKQ127" s="751"/>
      <c r="LKR127" s="751"/>
      <c r="LKS127" s="751"/>
      <c r="LKT127" s="751"/>
      <c r="LKU127" s="751"/>
      <c r="LKV127" s="751"/>
      <c r="LKW127" s="751"/>
      <c r="LKX127" s="751"/>
      <c r="LKY127" s="751"/>
      <c r="LKZ127" s="751"/>
      <c r="LLA127" s="751"/>
      <c r="LLB127" s="751"/>
      <c r="LLC127" s="751"/>
      <c r="LLD127" s="751"/>
      <c r="LLE127" s="751"/>
      <c r="LLF127" s="751"/>
      <c r="LLG127" s="751"/>
      <c r="LLH127" s="751"/>
      <c r="LLI127" s="751"/>
      <c r="LLJ127" s="751"/>
      <c r="LLK127" s="751"/>
      <c r="LLL127" s="751"/>
      <c r="LLM127" s="751"/>
      <c r="LLN127" s="751"/>
      <c r="LLO127" s="751"/>
      <c r="LLP127" s="751"/>
      <c r="LLQ127" s="751"/>
      <c r="LLR127" s="751"/>
      <c r="LLS127" s="751"/>
      <c r="LLT127" s="751"/>
      <c r="LLU127" s="751"/>
      <c r="LLV127" s="751"/>
      <c r="LLW127" s="751"/>
      <c r="LLX127" s="751"/>
      <c r="LLY127" s="751"/>
      <c r="LLZ127" s="751"/>
      <c r="LMA127" s="751"/>
      <c r="LMB127" s="751"/>
      <c r="LMC127" s="751"/>
      <c r="LMD127" s="751"/>
      <c r="LME127" s="751"/>
      <c r="LMF127" s="751"/>
      <c r="LMG127" s="751"/>
      <c r="LMH127" s="751"/>
      <c r="LMI127" s="751"/>
      <c r="LMJ127" s="751"/>
      <c r="LMK127" s="751"/>
      <c r="LML127" s="751"/>
      <c r="LMM127" s="751"/>
      <c r="LMN127" s="751"/>
      <c r="LMO127" s="751"/>
      <c r="LMP127" s="751"/>
      <c r="LMQ127" s="751"/>
      <c r="LMR127" s="751"/>
      <c r="LMS127" s="751"/>
      <c r="LMT127" s="751"/>
      <c r="LMU127" s="751"/>
      <c r="LMV127" s="751"/>
      <c r="LMW127" s="751"/>
      <c r="LMX127" s="751"/>
      <c r="LMY127" s="751"/>
      <c r="LMZ127" s="751"/>
      <c r="LNA127" s="751"/>
      <c r="LNB127" s="751"/>
      <c r="LNC127" s="751"/>
      <c r="LND127" s="751"/>
      <c r="LNE127" s="751"/>
      <c r="LNF127" s="751"/>
      <c r="LNG127" s="751"/>
      <c r="LNH127" s="751"/>
      <c r="LNI127" s="751"/>
      <c r="LNJ127" s="751"/>
      <c r="LNK127" s="751"/>
      <c r="LNL127" s="751"/>
      <c r="LNM127" s="751"/>
      <c r="LNN127" s="751"/>
      <c r="LNO127" s="751"/>
      <c r="LNP127" s="751"/>
      <c r="LNQ127" s="751"/>
      <c r="LNR127" s="751"/>
      <c r="LNS127" s="751"/>
      <c r="LNT127" s="751"/>
      <c r="LNU127" s="751"/>
      <c r="LNV127" s="751"/>
      <c r="LNW127" s="751"/>
      <c r="LNX127" s="751"/>
      <c r="LNY127" s="751"/>
      <c r="LNZ127" s="751"/>
      <c r="LOA127" s="751"/>
      <c r="LOB127" s="751"/>
      <c r="LOC127" s="751"/>
      <c r="LOD127" s="751"/>
      <c r="LOE127" s="751"/>
      <c r="LOF127" s="751"/>
      <c r="LOG127" s="751"/>
      <c r="LOH127" s="751"/>
      <c r="LOI127" s="751"/>
      <c r="LOJ127" s="751"/>
      <c r="LOK127" s="751"/>
      <c r="LOL127" s="751"/>
      <c r="LOM127" s="751"/>
      <c r="LON127" s="751"/>
      <c r="LOO127" s="751"/>
      <c r="LOP127" s="751"/>
      <c r="LOQ127" s="751"/>
      <c r="LOR127" s="751"/>
      <c r="LOS127" s="751"/>
      <c r="LOT127" s="751"/>
      <c r="LOU127" s="751"/>
      <c r="LOV127" s="751"/>
      <c r="LOW127" s="751"/>
      <c r="LOX127" s="751"/>
      <c r="LOY127" s="751"/>
      <c r="LOZ127" s="751"/>
      <c r="LPA127" s="751"/>
      <c r="LPB127" s="751"/>
      <c r="LPC127" s="751"/>
      <c r="LPD127" s="751"/>
      <c r="LPE127" s="751"/>
      <c r="LPF127" s="751"/>
      <c r="LPG127" s="751"/>
      <c r="LPH127" s="751"/>
      <c r="LPI127" s="751"/>
      <c r="LPJ127" s="751"/>
      <c r="LPK127" s="751"/>
      <c r="LPL127" s="751"/>
      <c r="LPM127" s="751"/>
      <c r="LPN127" s="751"/>
      <c r="LPO127" s="751"/>
      <c r="LPP127" s="751"/>
      <c r="LPQ127" s="751"/>
      <c r="LPR127" s="751"/>
      <c r="LPS127" s="751"/>
      <c r="LPT127" s="751"/>
      <c r="LPU127" s="751"/>
      <c r="LPV127" s="751"/>
      <c r="LPW127" s="751"/>
      <c r="LPX127" s="751"/>
      <c r="LPY127" s="751"/>
      <c r="LPZ127" s="751"/>
      <c r="LQA127" s="751"/>
      <c r="LQB127" s="751"/>
      <c r="LQC127" s="751"/>
      <c r="LQD127" s="751"/>
      <c r="LQE127" s="751"/>
      <c r="LQF127" s="751"/>
      <c r="LQG127" s="751"/>
      <c r="LQH127" s="751"/>
      <c r="LQI127" s="751"/>
      <c r="LQJ127" s="751"/>
      <c r="LQK127" s="751"/>
      <c r="LQL127" s="751"/>
      <c r="LQM127" s="751"/>
      <c r="LQN127" s="751"/>
      <c r="LQO127" s="751"/>
      <c r="LQP127" s="751"/>
      <c r="LQQ127" s="751"/>
      <c r="LQR127" s="751"/>
      <c r="LQS127" s="751"/>
      <c r="LQT127" s="751"/>
      <c r="LQU127" s="751"/>
      <c r="LQV127" s="751"/>
      <c r="LQW127" s="751"/>
      <c r="LQX127" s="751"/>
      <c r="LQY127" s="751"/>
      <c r="LQZ127" s="751"/>
      <c r="LRA127" s="751"/>
      <c r="LRB127" s="751"/>
      <c r="LRC127" s="751"/>
      <c r="LRD127" s="751"/>
      <c r="LRE127" s="751"/>
      <c r="LRF127" s="751"/>
      <c r="LRG127" s="751"/>
      <c r="LRH127" s="751"/>
      <c r="LRI127" s="751"/>
      <c r="LRJ127" s="751"/>
      <c r="LRK127" s="751"/>
      <c r="LRL127" s="751"/>
      <c r="LRM127" s="751"/>
      <c r="LRN127" s="751"/>
      <c r="LRO127" s="751"/>
      <c r="LRP127" s="751"/>
      <c r="LRQ127" s="751"/>
      <c r="LRR127" s="751"/>
      <c r="LRS127" s="751"/>
      <c r="LRT127" s="751"/>
      <c r="LRU127" s="751"/>
      <c r="LRV127" s="751"/>
      <c r="LRW127" s="751"/>
      <c r="LRX127" s="751"/>
      <c r="LRY127" s="751"/>
      <c r="LRZ127" s="751"/>
      <c r="LSA127" s="751"/>
      <c r="LSB127" s="751"/>
      <c r="LSC127" s="751"/>
      <c r="LSD127" s="751"/>
      <c r="LSE127" s="751"/>
      <c r="LSF127" s="751"/>
      <c r="LSG127" s="751"/>
      <c r="LSH127" s="751"/>
      <c r="LSI127" s="751"/>
      <c r="LSJ127" s="751"/>
      <c r="LSK127" s="751"/>
      <c r="LSL127" s="751"/>
      <c r="LSM127" s="751"/>
      <c r="LSN127" s="751"/>
      <c r="LSO127" s="751"/>
      <c r="LSP127" s="751"/>
      <c r="LSQ127" s="751"/>
      <c r="LSR127" s="751"/>
      <c r="LSS127" s="751"/>
      <c r="LST127" s="751"/>
      <c r="LSU127" s="751"/>
      <c r="LSV127" s="751"/>
      <c r="LSW127" s="751"/>
      <c r="LSX127" s="751"/>
      <c r="LSY127" s="751"/>
      <c r="LSZ127" s="751"/>
      <c r="LTA127" s="751"/>
      <c r="LTB127" s="751"/>
      <c r="LTC127" s="751"/>
      <c r="LTD127" s="751"/>
      <c r="LTE127" s="751"/>
      <c r="LTF127" s="751"/>
      <c r="LTG127" s="751"/>
      <c r="LTH127" s="751"/>
      <c r="LTI127" s="751"/>
      <c r="LTJ127" s="751"/>
      <c r="LTK127" s="751"/>
      <c r="LTL127" s="751"/>
      <c r="LTM127" s="751"/>
      <c r="LTN127" s="751"/>
      <c r="LTO127" s="751"/>
      <c r="LTP127" s="751"/>
      <c r="LTQ127" s="751"/>
      <c r="LTR127" s="751"/>
      <c r="LTS127" s="751"/>
      <c r="LTT127" s="751"/>
      <c r="LTU127" s="751"/>
      <c r="LTV127" s="751"/>
      <c r="LTW127" s="751"/>
      <c r="LTX127" s="751"/>
      <c r="LTY127" s="751"/>
      <c r="LTZ127" s="751"/>
      <c r="LUA127" s="751"/>
      <c r="LUB127" s="751"/>
      <c r="LUC127" s="751"/>
      <c r="LUD127" s="751"/>
      <c r="LUE127" s="751"/>
      <c r="LUF127" s="751"/>
      <c r="LUG127" s="751"/>
      <c r="LUH127" s="751"/>
      <c r="LUI127" s="751"/>
      <c r="LUJ127" s="751"/>
      <c r="LUK127" s="751"/>
      <c r="LUL127" s="751"/>
      <c r="LUM127" s="751"/>
      <c r="LUN127" s="751"/>
      <c r="LUO127" s="751"/>
      <c r="LUP127" s="751"/>
      <c r="LUQ127" s="751"/>
      <c r="LUR127" s="751"/>
      <c r="LUS127" s="751"/>
      <c r="LUT127" s="751"/>
      <c r="LUU127" s="751"/>
      <c r="LUV127" s="751"/>
      <c r="LUW127" s="751"/>
      <c r="LUX127" s="751"/>
      <c r="LUY127" s="751"/>
      <c r="LUZ127" s="751"/>
      <c r="LVA127" s="751"/>
      <c r="LVB127" s="751"/>
      <c r="LVC127" s="751"/>
      <c r="LVD127" s="751"/>
      <c r="LVE127" s="751"/>
      <c r="LVF127" s="751"/>
      <c r="LVG127" s="751"/>
      <c r="LVH127" s="751"/>
      <c r="LVI127" s="751"/>
      <c r="LVJ127" s="751"/>
      <c r="LVK127" s="751"/>
      <c r="LVL127" s="751"/>
      <c r="LVM127" s="751"/>
      <c r="LVN127" s="751"/>
      <c r="LVO127" s="751"/>
      <c r="LVP127" s="751"/>
      <c r="LVQ127" s="751"/>
      <c r="LVR127" s="751"/>
      <c r="LVS127" s="751"/>
      <c r="LVT127" s="751"/>
      <c r="LVU127" s="751"/>
      <c r="LVV127" s="751"/>
      <c r="LVW127" s="751"/>
      <c r="LVX127" s="751"/>
      <c r="LVY127" s="751"/>
      <c r="LVZ127" s="751"/>
      <c r="LWA127" s="751"/>
      <c r="LWB127" s="751"/>
      <c r="LWC127" s="751"/>
      <c r="LWD127" s="751"/>
      <c r="LWE127" s="751"/>
      <c r="LWF127" s="751"/>
      <c r="LWG127" s="751"/>
      <c r="LWH127" s="751"/>
      <c r="LWI127" s="751"/>
      <c r="LWJ127" s="751"/>
      <c r="LWK127" s="751"/>
      <c r="LWL127" s="751"/>
      <c r="LWM127" s="751"/>
      <c r="LWN127" s="751"/>
      <c r="LWO127" s="751"/>
      <c r="LWP127" s="751"/>
      <c r="LWQ127" s="751"/>
      <c r="LWR127" s="751"/>
      <c r="LWS127" s="751"/>
      <c r="LWT127" s="751"/>
      <c r="LWU127" s="751"/>
      <c r="LWV127" s="751"/>
      <c r="LWW127" s="751"/>
      <c r="LWX127" s="751"/>
      <c r="LWY127" s="751"/>
      <c r="LWZ127" s="751"/>
      <c r="LXA127" s="751"/>
      <c r="LXB127" s="751"/>
      <c r="LXC127" s="751"/>
      <c r="LXD127" s="751"/>
      <c r="LXE127" s="751"/>
      <c r="LXF127" s="751"/>
      <c r="LXG127" s="751"/>
      <c r="LXH127" s="751"/>
      <c r="LXI127" s="751"/>
      <c r="LXJ127" s="751"/>
      <c r="LXK127" s="751"/>
      <c r="LXL127" s="751"/>
      <c r="LXM127" s="751"/>
      <c r="LXN127" s="751"/>
      <c r="LXO127" s="751"/>
      <c r="LXP127" s="751"/>
      <c r="LXQ127" s="751"/>
      <c r="LXR127" s="751"/>
      <c r="LXS127" s="751"/>
      <c r="LXT127" s="751"/>
      <c r="LXU127" s="751"/>
      <c r="LXV127" s="751"/>
      <c r="LXW127" s="751"/>
      <c r="LXX127" s="751"/>
      <c r="LXY127" s="751"/>
      <c r="LXZ127" s="751"/>
      <c r="LYA127" s="751"/>
      <c r="LYB127" s="751"/>
      <c r="LYC127" s="751"/>
      <c r="LYD127" s="751"/>
      <c r="LYE127" s="751"/>
      <c r="LYF127" s="751"/>
      <c r="LYG127" s="751"/>
      <c r="LYH127" s="751"/>
      <c r="LYI127" s="751"/>
      <c r="LYJ127" s="751"/>
      <c r="LYK127" s="751"/>
      <c r="LYL127" s="751"/>
      <c r="LYM127" s="751"/>
      <c r="LYN127" s="751"/>
      <c r="LYO127" s="751"/>
      <c r="LYP127" s="751"/>
      <c r="LYQ127" s="751"/>
      <c r="LYR127" s="751"/>
      <c r="LYS127" s="751"/>
      <c r="LYT127" s="751"/>
      <c r="LYU127" s="751"/>
      <c r="LYV127" s="751"/>
      <c r="LYW127" s="751"/>
      <c r="LYX127" s="751"/>
      <c r="LYY127" s="751"/>
      <c r="LYZ127" s="751"/>
      <c r="LZA127" s="751"/>
      <c r="LZB127" s="751"/>
      <c r="LZC127" s="751"/>
      <c r="LZD127" s="751"/>
      <c r="LZE127" s="751"/>
      <c r="LZF127" s="751"/>
      <c r="LZG127" s="751"/>
      <c r="LZH127" s="751"/>
      <c r="LZI127" s="751"/>
      <c r="LZJ127" s="751"/>
      <c r="LZK127" s="751"/>
      <c r="LZL127" s="751"/>
      <c r="LZM127" s="751"/>
      <c r="LZN127" s="751"/>
      <c r="LZO127" s="751"/>
      <c r="LZP127" s="751"/>
      <c r="LZQ127" s="751"/>
      <c r="LZR127" s="751"/>
      <c r="LZS127" s="751"/>
      <c r="LZT127" s="751"/>
      <c r="LZU127" s="751"/>
      <c r="LZV127" s="751"/>
      <c r="LZW127" s="751"/>
      <c r="LZX127" s="751"/>
      <c r="LZY127" s="751"/>
      <c r="LZZ127" s="751"/>
      <c r="MAA127" s="751"/>
      <c r="MAB127" s="751"/>
      <c r="MAC127" s="751"/>
      <c r="MAD127" s="751"/>
      <c r="MAE127" s="751"/>
      <c r="MAF127" s="751"/>
      <c r="MAG127" s="751"/>
      <c r="MAH127" s="751"/>
      <c r="MAI127" s="751"/>
      <c r="MAJ127" s="751"/>
      <c r="MAK127" s="751"/>
      <c r="MAL127" s="751"/>
      <c r="MAM127" s="751"/>
      <c r="MAN127" s="751"/>
      <c r="MAO127" s="751"/>
      <c r="MAP127" s="751"/>
      <c r="MAQ127" s="751"/>
      <c r="MAR127" s="751"/>
      <c r="MAS127" s="751"/>
      <c r="MAT127" s="751"/>
      <c r="MAU127" s="751"/>
      <c r="MAV127" s="751"/>
      <c r="MAW127" s="751"/>
      <c r="MAX127" s="751"/>
      <c r="MAY127" s="751"/>
      <c r="MAZ127" s="751"/>
      <c r="MBA127" s="751"/>
      <c r="MBB127" s="751"/>
      <c r="MBC127" s="751"/>
      <c r="MBD127" s="751"/>
      <c r="MBE127" s="751"/>
      <c r="MBF127" s="751"/>
      <c r="MBG127" s="751"/>
      <c r="MBH127" s="751"/>
      <c r="MBI127" s="751"/>
      <c r="MBJ127" s="751"/>
      <c r="MBK127" s="751"/>
      <c r="MBL127" s="751"/>
      <c r="MBM127" s="751"/>
      <c r="MBN127" s="751"/>
      <c r="MBO127" s="751"/>
      <c r="MBP127" s="751"/>
      <c r="MBQ127" s="751"/>
      <c r="MBR127" s="751"/>
      <c r="MBS127" s="751"/>
      <c r="MBT127" s="751"/>
      <c r="MBU127" s="751"/>
      <c r="MBV127" s="751"/>
      <c r="MBW127" s="751"/>
      <c r="MBX127" s="751"/>
      <c r="MBY127" s="751"/>
      <c r="MBZ127" s="751"/>
      <c r="MCA127" s="751"/>
      <c r="MCB127" s="751"/>
      <c r="MCC127" s="751"/>
      <c r="MCD127" s="751"/>
      <c r="MCE127" s="751"/>
      <c r="MCF127" s="751"/>
      <c r="MCG127" s="751"/>
      <c r="MCH127" s="751"/>
      <c r="MCI127" s="751"/>
      <c r="MCJ127" s="751"/>
      <c r="MCK127" s="751"/>
      <c r="MCL127" s="751"/>
      <c r="MCM127" s="751"/>
      <c r="MCN127" s="751"/>
      <c r="MCO127" s="751"/>
      <c r="MCP127" s="751"/>
      <c r="MCQ127" s="751"/>
      <c r="MCR127" s="751"/>
      <c r="MCS127" s="751"/>
      <c r="MCT127" s="751"/>
      <c r="MCU127" s="751"/>
      <c r="MCV127" s="751"/>
      <c r="MCW127" s="751"/>
      <c r="MCX127" s="751"/>
      <c r="MCY127" s="751"/>
      <c r="MCZ127" s="751"/>
      <c r="MDA127" s="751"/>
      <c r="MDB127" s="751"/>
      <c r="MDC127" s="751"/>
      <c r="MDD127" s="751"/>
      <c r="MDE127" s="751"/>
      <c r="MDF127" s="751"/>
      <c r="MDG127" s="751"/>
      <c r="MDH127" s="751"/>
      <c r="MDI127" s="751"/>
      <c r="MDJ127" s="751"/>
      <c r="MDK127" s="751"/>
      <c r="MDL127" s="751"/>
      <c r="MDM127" s="751"/>
      <c r="MDN127" s="751"/>
      <c r="MDO127" s="751"/>
      <c r="MDP127" s="751"/>
      <c r="MDQ127" s="751"/>
      <c r="MDR127" s="751"/>
      <c r="MDS127" s="751"/>
      <c r="MDT127" s="751"/>
      <c r="MDU127" s="751"/>
      <c r="MDV127" s="751"/>
      <c r="MDW127" s="751"/>
      <c r="MDX127" s="751"/>
      <c r="MDY127" s="751"/>
      <c r="MDZ127" s="751"/>
      <c r="MEA127" s="751"/>
      <c r="MEB127" s="751"/>
      <c r="MEC127" s="751"/>
      <c r="MED127" s="751"/>
      <c r="MEE127" s="751"/>
      <c r="MEF127" s="751"/>
      <c r="MEG127" s="751"/>
      <c r="MEH127" s="751"/>
      <c r="MEI127" s="751"/>
      <c r="MEJ127" s="751"/>
      <c r="MEK127" s="751"/>
      <c r="MEL127" s="751"/>
      <c r="MEM127" s="751"/>
      <c r="MEN127" s="751"/>
      <c r="MEO127" s="751"/>
      <c r="MEP127" s="751"/>
      <c r="MEQ127" s="751"/>
      <c r="MER127" s="751"/>
      <c r="MES127" s="751"/>
      <c r="MET127" s="751"/>
      <c r="MEU127" s="751"/>
      <c r="MEV127" s="751"/>
      <c r="MEW127" s="751"/>
      <c r="MEX127" s="751"/>
      <c r="MEY127" s="751"/>
      <c r="MEZ127" s="751"/>
      <c r="MFA127" s="751"/>
      <c r="MFB127" s="751"/>
      <c r="MFC127" s="751"/>
      <c r="MFD127" s="751"/>
      <c r="MFE127" s="751"/>
      <c r="MFF127" s="751"/>
      <c r="MFG127" s="751"/>
      <c r="MFH127" s="751"/>
      <c r="MFI127" s="751"/>
      <c r="MFJ127" s="751"/>
      <c r="MFK127" s="751"/>
      <c r="MFL127" s="751"/>
      <c r="MFM127" s="751"/>
      <c r="MFN127" s="751"/>
      <c r="MFO127" s="751"/>
      <c r="MFP127" s="751"/>
      <c r="MFQ127" s="751"/>
      <c r="MFR127" s="751"/>
      <c r="MFS127" s="751"/>
      <c r="MFT127" s="751"/>
      <c r="MFU127" s="751"/>
      <c r="MFV127" s="751"/>
      <c r="MFW127" s="751"/>
      <c r="MFX127" s="751"/>
      <c r="MFY127" s="751"/>
      <c r="MFZ127" s="751"/>
      <c r="MGA127" s="751"/>
      <c r="MGB127" s="751"/>
      <c r="MGC127" s="751"/>
      <c r="MGD127" s="751"/>
      <c r="MGE127" s="751"/>
      <c r="MGF127" s="751"/>
      <c r="MGG127" s="751"/>
      <c r="MGH127" s="751"/>
      <c r="MGI127" s="751"/>
      <c r="MGJ127" s="751"/>
      <c r="MGK127" s="751"/>
      <c r="MGL127" s="751"/>
      <c r="MGM127" s="751"/>
      <c r="MGN127" s="751"/>
      <c r="MGO127" s="751"/>
      <c r="MGP127" s="751"/>
      <c r="MGQ127" s="751"/>
      <c r="MGR127" s="751"/>
      <c r="MGS127" s="751"/>
      <c r="MGT127" s="751"/>
      <c r="MGU127" s="751"/>
      <c r="MGV127" s="751"/>
      <c r="MGW127" s="751"/>
      <c r="MGX127" s="751"/>
      <c r="MGY127" s="751"/>
      <c r="MGZ127" s="751"/>
      <c r="MHA127" s="751"/>
      <c r="MHB127" s="751"/>
      <c r="MHC127" s="751"/>
      <c r="MHD127" s="751"/>
      <c r="MHE127" s="751"/>
      <c r="MHF127" s="751"/>
      <c r="MHG127" s="751"/>
      <c r="MHH127" s="751"/>
      <c r="MHI127" s="751"/>
      <c r="MHJ127" s="751"/>
      <c r="MHK127" s="751"/>
      <c r="MHL127" s="751"/>
      <c r="MHM127" s="751"/>
      <c r="MHN127" s="751"/>
      <c r="MHO127" s="751"/>
      <c r="MHP127" s="751"/>
      <c r="MHQ127" s="751"/>
      <c r="MHR127" s="751"/>
      <c r="MHS127" s="751"/>
      <c r="MHT127" s="751"/>
      <c r="MHU127" s="751"/>
      <c r="MHV127" s="751"/>
      <c r="MHW127" s="751"/>
      <c r="MHX127" s="751"/>
      <c r="MHY127" s="751"/>
      <c r="MHZ127" s="751"/>
      <c r="MIA127" s="751"/>
      <c r="MIB127" s="751"/>
      <c r="MIC127" s="751"/>
      <c r="MID127" s="751"/>
      <c r="MIE127" s="751"/>
      <c r="MIF127" s="751"/>
      <c r="MIG127" s="751"/>
      <c r="MIH127" s="751"/>
      <c r="MII127" s="751"/>
      <c r="MIJ127" s="751"/>
      <c r="MIK127" s="751"/>
      <c r="MIL127" s="751"/>
      <c r="MIM127" s="751"/>
      <c r="MIN127" s="751"/>
      <c r="MIO127" s="751"/>
      <c r="MIP127" s="751"/>
      <c r="MIQ127" s="751"/>
      <c r="MIR127" s="751"/>
      <c r="MIS127" s="751"/>
      <c r="MIT127" s="751"/>
      <c r="MIU127" s="751"/>
      <c r="MIV127" s="751"/>
      <c r="MIW127" s="751"/>
      <c r="MIX127" s="751"/>
      <c r="MIY127" s="751"/>
      <c r="MIZ127" s="751"/>
      <c r="MJA127" s="751"/>
      <c r="MJB127" s="751"/>
      <c r="MJC127" s="751"/>
      <c r="MJD127" s="751"/>
      <c r="MJE127" s="751"/>
      <c r="MJF127" s="751"/>
      <c r="MJG127" s="751"/>
      <c r="MJH127" s="751"/>
      <c r="MJI127" s="751"/>
      <c r="MJJ127" s="751"/>
      <c r="MJK127" s="751"/>
      <c r="MJL127" s="751"/>
      <c r="MJM127" s="751"/>
      <c r="MJN127" s="751"/>
      <c r="MJO127" s="751"/>
      <c r="MJP127" s="751"/>
      <c r="MJQ127" s="751"/>
      <c r="MJR127" s="751"/>
      <c r="MJS127" s="751"/>
      <c r="MJT127" s="751"/>
      <c r="MJU127" s="751"/>
      <c r="MJV127" s="751"/>
      <c r="MJW127" s="751"/>
      <c r="MJX127" s="751"/>
      <c r="MJY127" s="751"/>
      <c r="MJZ127" s="751"/>
      <c r="MKA127" s="751"/>
      <c r="MKB127" s="751"/>
      <c r="MKC127" s="751"/>
      <c r="MKD127" s="751"/>
      <c r="MKE127" s="751"/>
      <c r="MKF127" s="751"/>
      <c r="MKG127" s="751"/>
      <c r="MKH127" s="751"/>
      <c r="MKI127" s="751"/>
      <c r="MKJ127" s="751"/>
      <c r="MKK127" s="751"/>
      <c r="MKL127" s="751"/>
      <c r="MKM127" s="751"/>
      <c r="MKN127" s="751"/>
      <c r="MKO127" s="751"/>
      <c r="MKP127" s="751"/>
      <c r="MKQ127" s="751"/>
      <c r="MKR127" s="751"/>
      <c r="MKS127" s="751"/>
      <c r="MKT127" s="751"/>
      <c r="MKU127" s="751"/>
      <c r="MKV127" s="751"/>
      <c r="MKW127" s="751"/>
      <c r="MKX127" s="751"/>
      <c r="MKY127" s="751"/>
      <c r="MKZ127" s="751"/>
      <c r="MLA127" s="751"/>
      <c r="MLB127" s="751"/>
      <c r="MLC127" s="751"/>
      <c r="MLD127" s="751"/>
      <c r="MLE127" s="751"/>
      <c r="MLF127" s="751"/>
      <c r="MLG127" s="751"/>
      <c r="MLH127" s="751"/>
      <c r="MLI127" s="751"/>
      <c r="MLJ127" s="751"/>
      <c r="MLK127" s="751"/>
      <c r="MLL127" s="751"/>
      <c r="MLM127" s="751"/>
      <c r="MLN127" s="751"/>
      <c r="MLO127" s="751"/>
      <c r="MLP127" s="751"/>
      <c r="MLQ127" s="751"/>
      <c r="MLR127" s="751"/>
      <c r="MLS127" s="751"/>
      <c r="MLT127" s="751"/>
      <c r="MLU127" s="751"/>
      <c r="MLV127" s="751"/>
      <c r="MLW127" s="751"/>
      <c r="MLX127" s="751"/>
      <c r="MLY127" s="751"/>
      <c r="MLZ127" s="751"/>
      <c r="MMA127" s="751"/>
      <c r="MMB127" s="751"/>
      <c r="MMC127" s="751"/>
      <c r="MMD127" s="751"/>
      <c r="MME127" s="751"/>
      <c r="MMF127" s="751"/>
      <c r="MMG127" s="751"/>
      <c r="MMH127" s="751"/>
      <c r="MMI127" s="751"/>
      <c r="MMJ127" s="751"/>
      <c r="MMK127" s="751"/>
      <c r="MML127" s="751"/>
      <c r="MMM127" s="751"/>
      <c r="MMN127" s="751"/>
      <c r="MMO127" s="751"/>
      <c r="MMP127" s="751"/>
      <c r="MMQ127" s="751"/>
      <c r="MMR127" s="751"/>
      <c r="MMS127" s="751"/>
      <c r="MMT127" s="751"/>
      <c r="MMU127" s="751"/>
      <c r="MMV127" s="751"/>
      <c r="MMW127" s="751"/>
      <c r="MMX127" s="751"/>
      <c r="MMY127" s="751"/>
      <c r="MMZ127" s="751"/>
      <c r="MNA127" s="751"/>
      <c r="MNB127" s="751"/>
      <c r="MNC127" s="751"/>
      <c r="MND127" s="751"/>
      <c r="MNE127" s="751"/>
      <c r="MNF127" s="751"/>
      <c r="MNG127" s="751"/>
      <c r="MNH127" s="751"/>
      <c r="MNI127" s="751"/>
      <c r="MNJ127" s="751"/>
      <c r="MNK127" s="751"/>
      <c r="MNL127" s="751"/>
      <c r="MNM127" s="751"/>
      <c r="MNN127" s="751"/>
      <c r="MNO127" s="751"/>
      <c r="MNP127" s="751"/>
      <c r="MNQ127" s="751"/>
      <c r="MNR127" s="751"/>
      <c r="MNS127" s="751"/>
      <c r="MNT127" s="751"/>
      <c r="MNU127" s="751"/>
      <c r="MNV127" s="751"/>
      <c r="MNW127" s="751"/>
      <c r="MNX127" s="751"/>
      <c r="MNY127" s="751"/>
      <c r="MNZ127" s="751"/>
      <c r="MOA127" s="751"/>
      <c r="MOB127" s="751"/>
      <c r="MOC127" s="751"/>
      <c r="MOD127" s="751"/>
      <c r="MOE127" s="751"/>
      <c r="MOF127" s="751"/>
      <c r="MOG127" s="751"/>
      <c r="MOH127" s="751"/>
      <c r="MOI127" s="751"/>
      <c r="MOJ127" s="751"/>
      <c r="MOK127" s="751"/>
      <c r="MOL127" s="751"/>
      <c r="MOM127" s="751"/>
      <c r="MON127" s="751"/>
      <c r="MOO127" s="751"/>
      <c r="MOP127" s="751"/>
      <c r="MOQ127" s="751"/>
      <c r="MOR127" s="751"/>
      <c r="MOS127" s="751"/>
      <c r="MOT127" s="751"/>
      <c r="MOU127" s="751"/>
      <c r="MOV127" s="751"/>
      <c r="MOW127" s="751"/>
      <c r="MOX127" s="751"/>
      <c r="MOY127" s="751"/>
      <c r="MOZ127" s="751"/>
      <c r="MPA127" s="751"/>
      <c r="MPB127" s="751"/>
      <c r="MPC127" s="751"/>
      <c r="MPD127" s="751"/>
      <c r="MPE127" s="751"/>
      <c r="MPF127" s="751"/>
      <c r="MPG127" s="751"/>
      <c r="MPH127" s="751"/>
      <c r="MPI127" s="751"/>
      <c r="MPJ127" s="751"/>
      <c r="MPK127" s="751"/>
      <c r="MPL127" s="751"/>
      <c r="MPM127" s="751"/>
      <c r="MPN127" s="751"/>
      <c r="MPO127" s="751"/>
      <c r="MPP127" s="751"/>
      <c r="MPQ127" s="751"/>
      <c r="MPR127" s="751"/>
      <c r="MPS127" s="751"/>
      <c r="MPT127" s="751"/>
      <c r="MPU127" s="751"/>
      <c r="MPV127" s="751"/>
      <c r="MPW127" s="751"/>
      <c r="MPX127" s="751"/>
      <c r="MPY127" s="751"/>
      <c r="MPZ127" s="751"/>
      <c r="MQA127" s="751"/>
      <c r="MQB127" s="751"/>
      <c r="MQC127" s="751"/>
      <c r="MQD127" s="751"/>
      <c r="MQE127" s="751"/>
      <c r="MQF127" s="751"/>
      <c r="MQG127" s="751"/>
      <c r="MQH127" s="751"/>
      <c r="MQI127" s="751"/>
      <c r="MQJ127" s="751"/>
      <c r="MQK127" s="751"/>
      <c r="MQL127" s="751"/>
      <c r="MQM127" s="751"/>
      <c r="MQN127" s="751"/>
      <c r="MQO127" s="751"/>
      <c r="MQP127" s="751"/>
      <c r="MQQ127" s="751"/>
      <c r="MQR127" s="751"/>
      <c r="MQS127" s="751"/>
      <c r="MQT127" s="751"/>
      <c r="MQU127" s="751"/>
      <c r="MQV127" s="751"/>
      <c r="MQW127" s="751"/>
      <c r="MQX127" s="751"/>
      <c r="MQY127" s="751"/>
      <c r="MQZ127" s="751"/>
      <c r="MRA127" s="751"/>
      <c r="MRB127" s="751"/>
      <c r="MRC127" s="751"/>
      <c r="MRD127" s="751"/>
      <c r="MRE127" s="751"/>
      <c r="MRF127" s="751"/>
      <c r="MRG127" s="751"/>
      <c r="MRH127" s="751"/>
      <c r="MRI127" s="751"/>
      <c r="MRJ127" s="751"/>
      <c r="MRK127" s="751"/>
      <c r="MRL127" s="751"/>
      <c r="MRM127" s="751"/>
      <c r="MRN127" s="751"/>
      <c r="MRO127" s="751"/>
      <c r="MRP127" s="751"/>
      <c r="MRQ127" s="751"/>
      <c r="MRR127" s="751"/>
      <c r="MRS127" s="751"/>
      <c r="MRT127" s="751"/>
      <c r="MRU127" s="751"/>
      <c r="MRV127" s="751"/>
      <c r="MRW127" s="751"/>
      <c r="MRX127" s="751"/>
      <c r="MRY127" s="751"/>
      <c r="MRZ127" s="751"/>
      <c r="MSA127" s="751"/>
      <c r="MSB127" s="751"/>
      <c r="MSC127" s="751"/>
      <c r="MSD127" s="751"/>
      <c r="MSE127" s="751"/>
      <c r="MSF127" s="751"/>
      <c r="MSG127" s="751"/>
      <c r="MSH127" s="751"/>
      <c r="MSI127" s="751"/>
      <c r="MSJ127" s="751"/>
      <c r="MSK127" s="751"/>
      <c r="MSL127" s="751"/>
      <c r="MSM127" s="751"/>
      <c r="MSN127" s="751"/>
      <c r="MSO127" s="751"/>
      <c r="MSP127" s="751"/>
      <c r="MSQ127" s="751"/>
      <c r="MSR127" s="751"/>
      <c r="MSS127" s="751"/>
      <c r="MST127" s="751"/>
      <c r="MSU127" s="751"/>
      <c r="MSV127" s="751"/>
      <c r="MSW127" s="751"/>
      <c r="MSX127" s="751"/>
      <c r="MSY127" s="751"/>
      <c r="MSZ127" s="751"/>
      <c r="MTA127" s="751"/>
      <c r="MTB127" s="751"/>
      <c r="MTC127" s="751"/>
      <c r="MTD127" s="751"/>
      <c r="MTE127" s="751"/>
      <c r="MTF127" s="751"/>
      <c r="MTG127" s="751"/>
      <c r="MTH127" s="751"/>
      <c r="MTI127" s="751"/>
      <c r="MTJ127" s="751"/>
      <c r="MTK127" s="751"/>
      <c r="MTL127" s="751"/>
      <c r="MTM127" s="751"/>
      <c r="MTN127" s="751"/>
      <c r="MTO127" s="751"/>
      <c r="MTP127" s="751"/>
      <c r="MTQ127" s="751"/>
      <c r="MTR127" s="751"/>
      <c r="MTS127" s="751"/>
      <c r="MTT127" s="751"/>
      <c r="MTU127" s="751"/>
      <c r="MTV127" s="751"/>
      <c r="MTW127" s="751"/>
      <c r="MTX127" s="751"/>
      <c r="MTY127" s="751"/>
      <c r="MTZ127" s="751"/>
      <c r="MUA127" s="751"/>
      <c r="MUB127" s="751"/>
      <c r="MUC127" s="751"/>
      <c r="MUD127" s="751"/>
      <c r="MUE127" s="751"/>
      <c r="MUF127" s="751"/>
      <c r="MUG127" s="751"/>
      <c r="MUH127" s="751"/>
      <c r="MUI127" s="751"/>
      <c r="MUJ127" s="751"/>
      <c r="MUK127" s="751"/>
      <c r="MUL127" s="751"/>
      <c r="MUM127" s="751"/>
      <c r="MUN127" s="751"/>
      <c r="MUO127" s="751"/>
      <c r="MUP127" s="751"/>
      <c r="MUQ127" s="751"/>
      <c r="MUR127" s="751"/>
      <c r="MUS127" s="751"/>
      <c r="MUT127" s="751"/>
      <c r="MUU127" s="751"/>
      <c r="MUV127" s="751"/>
      <c r="MUW127" s="751"/>
      <c r="MUX127" s="751"/>
      <c r="MUY127" s="751"/>
      <c r="MUZ127" s="751"/>
      <c r="MVA127" s="751"/>
      <c r="MVB127" s="751"/>
      <c r="MVC127" s="751"/>
      <c r="MVD127" s="751"/>
      <c r="MVE127" s="751"/>
      <c r="MVF127" s="751"/>
      <c r="MVG127" s="751"/>
      <c r="MVH127" s="751"/>
      <c r="MVI127" s="751"/>
      <c r="MVJ127" s="751"/>
      <c r="MVK127" s="751"/>
      <c r="MVL127" s="751"/>
      <c r="MVM127" s="751"/>
      <c r="MVN127" s="751"/>
      <c r="MVO127" s="751"/>
      <c r="MVP127" s="751"/>
      <c r="MVQ127" s="751"/>
      <c r="MVR127" s="751"/>
      <c r="MVS127" s="751"/>
      <c r="MVT127" s="751"/>
      <c r="MVU127" s="751"/>
      <c r="MVV127" s="751"/>
      <c r="MVW127" s="751"/>
      <c r="MVX127" s="751"/>
      <c r="MVY127" s="751"/>
      <c r="MVZ127" s="751"/>
      <c r="MWA127" s="751"/>
      <c r="MWB127" s="751"/>
      <c r="MWC127" s="751"/>
      <c r="MWD127" s="751"/>
      <c r="MWE127" s="751"/>
      <c r="MWF127" s="751"/>
      <c r="MWG127" s="751"/>
      <c r="MWH127" s="751"/>
      <c r="MWI127" s="751"/>
      <c r="MWJ127" s="751"/>
      <c r="MWK127" s="751"/>
      <c r="MWL127" s="751"/>
      <c r="MWM127" s="751"/>
      <c r="MWN127" s="751"/>
      <c r="MWO127" s="751"/>
      <c r="MWP127" s="751"/>
      <c r="MWQ127" s="751"/>
      <c r="MWR127" s="751"/>
      <c r="MWS127" s="751"/>
      <c r="MWT127" s="751"/>
      <c r="MWU127" s="751"/>
      <c r="MWV127" s="751"/>
      <c r="MWW127" s="751"/>
      <c r="MWX127" s="751"/>
      <c r="MWY127" s="751"/>
      <c r="MWZ127" s="751"/>
      <c r="MXA127" s="751"/>
      <c r="MXB127" s="751"/>
      <c r="MXC127" s="751"/>
      <c r="MXD127" s="751"/>
      <c r="MXE127" s="751"/>
      <c r="MXF127" s="751"/>
      <c r="MXG127" s="751"/>
      <c r="MXH127" s="751"/>
      <c r="MXI127" s="751"/>
      <c r="MXJ127" s="751"/>
      <c r="MXK127" s="751"/>
      <c r="MXL127" s="751"/>
      <c r="MXM127" s="751"/>
      <c r="MXN127" s="751"/>
      <c r="MXO127" s="751"/>
      <c r="MXP127" s="751"/>
      <c r="MXQ127" s="751"/>
      <c r="MXR127" s="751"/>
      <c r="MXS127" s="751"/>
      <c r="MXT127" s="751"/>
      <c r="MXU127" s="751"/>
      <c r="MXV127" s="751"/>
      <c r="MXW127" s="751"/>
      <c r="MXX127" s="751"/>
      <c r="MXY127" s="751"/>
      <c r="MXZ127" s="751"/>
      <c r="MYA127" s="751"/>
      <c r="MYB127" s="751"/>
      <c r="MYC127" s="751"/>
      <c r="MYD127" s="751"/>
      <c r="MYE127" s="751"/>
      <c r="MYF127" s="751"/>
      <c r="MYG127" s="751"/>
      <c r="MYH127" s="751"/>
      <c r="MYI127" s="751"/>
      <c r="MYJ127" s="751"/>
      <c r="MYK127" s="751"/>
      <c r="MYL127" s="751"/>
      <c r="MYM127" s="751"/>
      <c r="MYN127" s="751"/>
      <c r="MYO127" s="751"/>
      <c r="MYP127" s="751"/>
      <c r="MYQ127" s="751"/>
      <c r="MYR127" s="751"/>
      <c r="MYS127" s="751"/>
      <c r="MYT127" s="751"/>
      <c r="MYU127" s="751"/>
      <c r="MYV127" s="751"/>
      <c r="MYW127" s="751"/>
      <c r="MYX127" s="751"/>
      <c r="MYY127" s="751"/>
      <c r="MYZ127" s="751"/>
      <c r="MZA127" s="751"/>
      <c r="MZB127" s="751"/>
      <c r="MZC127" s="751"/>
      <c r="MZD127" s="751"/>
      <c r="MZE127" s="751"/>
      <c r="MZF127" s="751"/>
      <c r="MZG127" s="751"/>
      <c r="MZH127" s="751"/>
      <c r="MZI127" s="751"/>
      <c r="MZJ127" s="751"/>
      <c r="MZK127" s="751"/>
      <c r="MZL127" s="751"/>
      <c r="MZM127" s="751"/>
      <c r="MZN127" s="751"/>
      <c r="MZO127" s="751"/>
      <c r="MZP127" s="751"/>
      <c r="MZQ127" s="751"/>
      <c r="MZR127" s="751"/>
      <c r="MZS127" s="751"/>
      <c r="MZT127" s="751"/>
      <c r="MZU127" s="751"/>
      <c r="MZV127" s="751"/>
      <c r="MZW127" s="751"/>
      <c r="MZX127" s="751"/>
      <c r="MZY127" s="751"/>
      <c r="MZZ127" s="751"/>
      <c r="NAA127" s="751"/>
      <c r="NAB127" s="751"/>
      <c r="NAC127" s="751"/>
      <c r="NAD127" s="751"/>
      <c r="NAE127" s="751"/>
      <c r="NAF127" s="751"/>
      <c r="NAG127" s="751"/>
      <c r="NAH127" s="751"/>
      <c r="NAI127" s="751"/>
      <c r="NAJ127" s="751"/>
      <c r="NAK127" s="751"/>
      <c r="NAL127" s="751"/>
      <c r="NAM127" s="751"/>
      <c r="NAN127" s="751"/>
      <c r="NAO127" s="751"/>
      <c r="NAP127" s="751"/>
      <c r="NAQ127" s="751"/>
      <c r="NAR127" s="751"/>
      <c r="NAS127" s="751"/>
      <c r="NAT127" s="751"/>
      <c r="NAU127" s="751"/>
      <c r="NAV127" s="751"/>
      <c r="NAW127" s="751"/>
      <c r="NAX127" s="751"/>
      <c r="NAY127" s="751"/>
      <c r="NAZ127" s="751"/>
      <c r="NBA127" s="751"/>
      <c r="NBB127" s="751"/>
      <c r="NBC127" s="751"/>
      <c r="NBD127" s="751"/>
      <c r="NBE127" s="751"/>
      <c r="NBF127" s="751"/>
      <c r="NBG127" s="751"/>
      <c r="NBH127" s="751"/>
      <c r="NBI127" s="751"/>
      <c r="NBJ127" s="751"/>
      <c r="NBK127" s="751"/>
      <c r="NBL127" s="751"/>
      <c r="NBM127" s="751"/>
      <c r="NBN127" s="751"/>
      <c r="NBO127" s="751"/>
      <c r="NBP127" s="751"/>
      <c r="NBQ127" s="751"/>
      <c r="NBR127" s="751"/>
      <c r="NBS127" s="751"/>
      <c r="NBT127" s="751"/>
      <c r="NBU127" s="751"/>
      <c r="NBV127" s="751"/>
      <c r="NBW127" s="751"/>
      <c r="NBX127" s="751"/>
      <c r="NBY127" s="751"/>
      <c r="NBZ127" s="751"/>
      <c r="NCA127" s="751"/>
      <c r="NCB127" s="751"/>
      <c r="NCC127" s="751"/>
      <c r="NCD127" s="751"/>
      <c r="NCE127" s="751"/>
      <c r="NCF127" s="751"/>
      <c r="NCG127" s="751"/>
      <c r="NCH127" s="751"/>
      <c r="NCI127" s="751"/>
      <c r="NCJ127" s="751"/>
      <c r="NCK127" s="751"/>
      <c r="NCL127" s="751"/>
      <c r="NCM127" s="751"/>
      <c r="NCN127" s="751"/>
      <c r="NCO127" s="751"/>
      <c r="NCP127" s="751"/>
      <c r="NCQ127" s="751"/>
      <c r="NCR127" s="751"/>
      <c r="NCS127" s="751"/>
      <c r="NCT127" s="751"/>
      <c r="NCU127" s="751"/>
      <c r="NCV127" s="751"/>
      <c r="NCW127" s="751"/>
      <c r="NCX127" s="751"/>
      <c r="NCY127" s="751"/>
      <c r="NCZ127" s="751"/>
      <c r="NDA127" s="751"/>
      <c r="NDB127" s="751"/>
      <c r="NDC127" s="751"/>
      <c r="NDD127" s="751"/>
      <c r="NDE127" s="751"/>
      <c r="NDF127" s="751"/>
      <c r="NDG127" s="751"/>
      <c r="NDH127" s="751"/>
      <c r="NDI127" s="751"/>
      <c r="NDJ127" s="751"/>
      <c r="NDK127" s="751"/>
      <c r="NDL127" s="751"/>
      <c r="NDM127" s="751"/>
      <c r="NDN127" s="751"/>
      <c r="NDO127" s="751"/>
      <c r="NDP127" s="751"/>
      <c r="NDQ127" s="751"/>
      <c r="NDR127" s="751"/>
      <c r="NDS127" s="751"/>
      <c r="NDT127" s="751"/>
      <c r="NDU127" s="751"/>
      <c r="NDV127" s="751"/>
      <c r="NDW127" s="751"/>
      <c r="NDX127" s="751"/>
      <c r="NDY127" s="751"/>
      <c r="NDZ127" s="751"/>
      <c r="NEA127" s="751"/>
      <c r="NEB127" s="751"/>
      <c r="NEC127" s="751"/>
      <c r="NED127" s="751"/>
      <c r="NEE127" s="751"/>
      <c r="NEF127" s="751"/>
      <c r="NEG127" s="751"/>
      <c r="NEH127" s="751"/>
      <c r="NEI127" s="751"/>
      <c r="NEJ127" s="751"/>
      <c r="NEK127" s="751"/>
      <c r="NEL127" s="751"/>
      <c r="NEM127" s="751"/>
      <c r="NEN127" s="751"/>
      <c r="NEO127" s="751"/>
      <c r="NEP127" s="751"/>
      <c r="NEQ127" s="751"/>
      <c r="NER127" s="751"/>
      <c r="NES127" s="751"/>
      <c r="NET127" s="751"/>
      <c r="NEU127" s="751"/>
      <c r="NEV127" s="751"/>
      <c r="NEW127" s="751"/>
      <c r="NEX127" s="751"/>
      <c r="NEY127" s="751"/>
      <c r="NEZ127" s="751"/>
      <c r="NFA127" s="751"/>
      <c r="NFB127" s="751"/>
      <c r="NFC127" s="751"/>
      <c r="NFD127" s="751"/>
      <c r="NFE127" s="751"/>
      <c r="NFF127" s="751"/>
      <c r="NFG127" s="751"/>
      <c r="NFH127" s="751"/>
      <c r="NFI127" s="751"/>
      <c r="NFJ127" s="751"/>
      <c r="NFK127" s="751"/>
      <c r="NFL127" s="751"/>
      <c r="NFM127" s="751"/>
      <c r="NFN127" s="751"/>
      <c r="NFO127" s="751"/>
      <c r="NFP127" s="751"/>
      <c r="NFQ127" s="751"/>
      <c r="NFR127" s="751"/>
      <c r="NFS127" s="751"/>
      <c r="NFT127" s="751"/>
      <c r="NFU127" s="751"/>
      <c r="NFV127" s="751"/>
      <c r="NFW127" s="751"/>
      <c r="NFX127" s="751"/>
      <c r="NFY127" s="751"/>
      <c r="NFZ127" s="751"/>
      <c r="NGA127" s="751"/>
      <c r="NGB127" s="751"/>
      <c r="NGC127" s="751"/>
      <c r="NGD127" s="751"/>
      <c r="NGE127" s="751"/>
      <c r="NGF127" s="751"/>
      <c r="NGG127" s="751"/>
      <c r="NGH127" s="751"/>
      <c r="NGI127" s="751"/>
      <c r="NGJ127" s="751"/>
      <c r="NGK127" s="751"/>
      <c r="NGL127" s="751"/>
      <c r="NGM127" s="751"/>
      <c r="NGN127" s="751"/>
      <c r="NGO127" s="751"/>
      <c r="NGP127" s="751"/>
      <c r="NGQ127" s="751"/>
      <c r="NGR127" s="751"/>
      <c r="NGS127" s="751"/>
      <c r="NGT127" s="751"/>
      <c r="NGU127" s="751"/>
      <c r="NGV127" s="751"/>
      <c r="NGW127" s="751"/>
      <c r="NGX127" s="751"/>
      <c r="NGY127" s="751"/>
      <c r="NGZ127" s="751"/>
      <c r="NHA127" s="751"/>
      <c r="NHB127" s="751"/>
      <c r="NHC127" s="751"/>
      <c r="NHD127" s="751"/>
      <c r="NHE127" s="751"/>
      <c r="NHF127" s="751"/>
      <c r="NHG127" s="751"/>
      <c r="NHH127" s="751"/>
      <c r="NHI127" s="751"/>
      <c r="NHJ127" s="751"/>
      <c r="NHK127" s="751"/>
      <c r="NHL127" s="751"/>
      <c r="NHM127" s="751"/>
      <c r="NHN127" s="751"/>
      <c r="NHO127" s="751"/>
      <c r="NHP127" s="751"/>
      <c r="NHQ127" s="751"/>
      <c r="NHR127" s="751"/>
      <c r="NHS127" s="751"/>
      <c r="NHT127" s="751"/>
      <c r="NHU127" s="751"/>
      <c r="NHV127" s="751"/>
      <c r="NHW127" s="751"/>
      <c r="NHX127" s="751"/>
      <c r="NHY127" s="751"/>
      <c r="NHZ127" s="751"/>
      <c r="NIA127" s="751"/>
      <c r="NIB127" s="751"/>
      <c r="NIC127" s="751"/>
      <c r="NID127" s="751"/>
      <c r="NIE127" s="751"/>
      <c r="NIF127" s="751"/>
      <c r="NIG127" s="751"/>
      <c r="NIH127" s="751"/>
      <c r="NII127" s="751"/>
      <c r="NIJ127" s="751"/>
      <c r="NIK127" s="751"/>
      <c r="NIL127" s="751"/>
      <c r="NIM127" s="751"/>
      <c r="NIN127" s="751"/>
      <c r="NIO127" s="751"/>
      <c r="NIP127" s="751"/>
      <c r="NIQ127" s="751"/>
      <c r="NIR127" s="751"/>
      <c r="NIS127" s="751"/>
      <c r="NIT127" s="751"/>
      <c r="NIU127" s="751"/>
      <c r="NIV127" s="751"/>
      <c r="NIW127" s="751"/>
      <c r="NIX127" s="751"/>
      <c r="NIY127" s="751"/>
      <c r="NIZ127" s="751"/>
      <c r="NJA127" s="751"/>
      <c r="NJB127" s="751"/>
      <c r="NJC127" s="751"/>
      <c r="NJD127" s="751"/>
      <c r="NJE127" s="751"/>
      <c r="NJF127" s="751"/>
      <c r="NJG127" s="751"/>
      <c r="NJH127" s="751"/>
      <c r="NJI127" s="751"/>
      <c r="NJJ127" s="751"/>
      <c r="NJK127" s="751"/>
      <c r="NJL127" s="751"/>
      <c r="NJM127" s="751"/>
      <c r="NJN127" s="751"/>
      <c r="NJO127" s="751"/>
      <c r="NJP127" s="751"/>
      <c r="NJQ127" s="751"/>
      <c r="NJR127" s="751"/>
      <c r="NJS127" s="751"/>
      <c r="NJT127" s="751"/>
      <c r="NJU127" s="751"/>
      <c r="NJV127" s="751"/>
      <c r="NJW127" s="751"/>
      <c r="NJX127" s="751"/>
      <c r="NJY127" s="751"/>
      <c r="NJZ127" s="751"/>
      <c r="NKA127" s="751"/>
      <c r="NKB127" s="751"/>
      <c r="NKC127" s="751"/>
      <c r="NKD127" s="751"/>
      <c r="NKE127" s="751"/>
      <c r="NKF127" s="751"/>
      <c r="NKG127" s="751"/>
      <c r="NKH127" s="751"/>
      <c r="NKI127" s="751"/>
      <c r="NKJ127" s="751"/>
      <c r="NKK127" s="751"/>
      <c r="NKL127" s="751"/>
      <c r="NKM127" s="751"/>
      <c r="NKN127" s="751"/>
      <c r="NKO127" s="751"/>
      <c r="NKP127" s="751"/>
      <c r="NKQ127" s="751"/>
      <c r="NKR127" s="751"/>
      <c r="NKS127" s="751"/>
      <c r="NKT127" s="751"/>
      <c r="NKU127" s="751"/>
      <c r="NKV127" s="751"/>
      <c r="NKW127" s="751"/>
      <c r="NKX127" s="751"/>
      <c r="NKY127" s="751"/>
      <c r="NKZ127" s="751"/>
      <c r="NLA127" s="751"/>
      <c r="NLB127" s="751"/>
      <c r="NLC127" s="751"/>
      <c r="NLD127" s="751"/>
      <c r="NLE127" s="751"/>
      <c r="NLF127" s="751"/>
      <c r="NLG127" s="751"/>
      <c r="NLH127" s="751"/>
      <c r="NLI127" s="751"/>
      <c r="NLJ127" s="751"/>
      <c r="NLK127" s="751"/>
      <c r="NLL127" s="751"/>
      <c r="NLM127" s="751"/>
      <c r="NLN127" s="751"/>
      <c r="NLO127" s="751"/>
      <c r="NLP127" s="751"/>
      <c r="NLQ127" s="751"/>
      <c r="NLR127" s="751"/>
      <c r="NLS127" s="751"/>
      <c r="NLT127" s="751"/>
      <c r="NLU127" s="751"/>
      <c r="NLV127" s="751"/>
      <c r="NLW127" s="751"/>
      <c r="NLX127" s="751"/>
      <c r="NLY127" s="751"/>
      <c r="NLZ127" s="751"/>
      <c r="NMA127" s="751"/>
      <c r="NMB127" s="751"/>
      <c r="NMC127" s="751"/>
      <c r="NMD127" s="751"/>
      <c r="NME127" s="751"/>
      <c r="NMF127" s="751"/>
      <c r="NMG127" s="751"/>
      <c r="NMH127" s="751"/>
      <c r="NMI127" s="751"/>
      <c r="NMJ127" s="751"/>
      <c r="NMK127" s="751"/>
      <c r="NML127" s="751"/>
      <c r="NMM127" s="751"/>
      <c r="NMN127" s="751"/>
      <c r="NMO127" s="751"/>
      <c r="NMP127" s="751"/>
      <c r="NMQ127" s="751"/>
      <c r="NMR127" s="751"/>
      <c r="NMS127" s="751"/>
      <c r="NMT127" s="751"/>
      <c r="NMU127" s="751"/>
      <c r="NMV127" s="751"/>
      <c r="NMW127" s="751"/>
      <c r="NMX127" s="751"/>
      <c r="NMY127" s="751"/>
      <c r="NMZ127" s="751"/>
      <c r="NNA127" s="751"/>
      <c r="NNB127" s="751"/>
      <c r="NNC127" s="751"/>
      <c r="NND127" s="751"/>
      <c r="NNE127" s="751"/>
      <c r="NNF127" s="751"/>
      <c r="NNG127" s="751"/>
      <c r="NNH127" s="751"/>
      <c r="NNI127" s="751"/>
      <c r="NNJ127" s="751"/>
      <c r="NNK127" s="751"/>
      <c r="NNL127" s="751"/>
      <c r="NNM127" s="751"/>
      <c r="NNN127" s="751"/>
      <c r="NNO127" s="751"/>
      <c r="NNP127" s="751"/>
      <c r="NNQ127" s="751"/>
      <c r="NNR127" s="751"/>
      <c r="NNS127" s="751"/>
      <c r="NNT127" s="751"/>
      <c r="NNU127" s="751"/>
      <c r="NNV127" s="751"/>
      <c r="NNW127" s="751"/>
      <c r="NNX127" s="751"/>
      <c r="NNY127" s="751"/>
      <c r="NNZ127" s="751"/>
      <c r="NOA127" s="751"/>
      <c r="NOB127" s="751"/>
      <c r="NOC127" s="751"/>
      <c r="NOD127" s="751"/>
      <c r="NOE127" s="751"/>
      <c r="NOF127" s="751"/>
      <c r="NOG127" s="751"/>
      <c r="NOH127" s="751"/>
      <c r="NOI127" s="751"/>
      <c r="NOJ127" s="751"/>
      <c r="NOK127" s="751"/>
      <c r="NOL127" s="751"/>
      <c r="NOM127" s="751"/>
      <c r="NON127" s="751"/>
      <c r="NOO127" s="751"/>
      <c r="NOP127" s="751"/>
      <c r="NOQ127" s="751"/>
      <c r="NOR127" s="751"/>
      <c r="NOS127" s="751"/>
      <c r="NOT127" s="751"/>
      <c r="NOU127" s="751"/>
      <c r="NOV127" s="751"/>
      <c r="NOW127" s="751"/>
      <c r="NOX127" s="751"/>
      <c r="NOY127" s="751"/>
      <c r="NOZ127" s="751"/>
      <c r="NPA127" s="751"/>
      <c r="NPB127" s="751"/>
      <c r="NPC127" s="751"/>
      <c r="NPD127" s="751"/>
      <c r="NPE127" s="751"/>
      <c r="NPF127" s="751"/>
      <c r="NPG127" s="751"/>
      <c r="NPH127" s="751"/>
      <c r="NPI127" s="751"/>
      <c r="NPJ127" s="751"/>
      <c r="NPK127" s="751"/>
      <c r="NPL127" s="751"/>
      <c r="NPM127" s="751"/>
      <c r="NPN127" s="751"/>
      <c r="NPO127" s="751"/>
      <c r="NPP127" s="751"/>
      <c r="NPQ127" s="751"/>
      <c r="NPR127" s="751"/>
      <c r="NPS127" s="751"/>
      <c r="NPT127" s="751"/>
      <c r="NPU127" s="751"/>
      <c r="NPV127" s="751"/>
      <c r="NPW127" s="751"/>
      <c r="NPX127" s="751"/>
      <c r="NPY127" s="751"/>
      <c r="NPZ127" s="751"/>
      <c r="NQA127" s="751"/>
      <c r="NQB127" s="751"/>
      <c r="NQC127" s="751"/>
      <c r="NQD127" s="751"/>
      <c r="NQE127" s="751"/>
      <c r="NQF127" s="751"/>
      <c r="NQG127" s="751"/>
      <c r="NQH127" s="751"/>
      <c r="NQI127" s="751"/>
      <c r="NQJ127" s="751"/>
      <c r="NQK127" s="751"/>
      <c r="NQL127" s="751"/>
      <c r="NQM127" s="751"/>
      <c r="NQN127" s="751"/>
      <c r="NQO127" s="751"/>
      <c r="NQP127" s="751"/>
      <c r="NQQ127" s="751"/>
      <c r="NQR127" s="751"/>
      <c r="NQS127" s="751"/>
      <c r="NQT127" s="751"/>
      <c r="NQU127" s="751"/>
      <c r="NQV127" s="751"/>
      <c r="NQW127" s="751"/>
      <c r="NQX127" s="751"/>
      <c r="NQY127" s="751"/>
      <c r="NQZ127" s="751"/>
      <c r="NRA127" s="751"/>
      <c r="NRB127" s="751"/>
      <c r="NRC127" s="751"/>
      <c r="NRD127" s="751"/>
      <c r="NRE127" s="751"/>
      <c r="NRF127" s="751"/>
      <c r="NRG127" s="751"/>
      <c r="NRH127" s="751"/>
      <c r="NRI127" s="751"/>
      <c r="NRJ127" s="751"/>
      <c r="NRK127" s="751"/>
      <c r="NRL127" s="751"/>
      <c r="NRM127" s="751"/>
      <c r="NRN127" s="751"/>
      <c r="NRO127" s="751"/>
      <c r="NRP127" s="751"/>
      <c r="NRQ127" s="751"/>
      <c r="NRR127" s="751"/>
      <c r="NRS127" s="751"/>
      <c r="NRT127" s="751"/>
      <c r="NRU127" s="751"/>
      <c r="NRV127" s="751"/>
      <c r="NRW127" s="751"/>
      <c r="NRX127" s="751"/>
      <c r="NRY127" s="751"/>
      <c r="NRZ127" s="751"/>
      <c r="NSA127" s="751"/>
      <c r="NSB127" s="751"/>
      <c r="NSC127" s="751"/>
      <c r="NSD127" s="751"/>
      <c r="NSE127" s="751"/>
      <c r="NSF127" s="751"/>
      <c r="NSG127" s="751"/>
      <c r="NSH127" s="751"/>
      <c r="NSI127" s="751"/>
      <c r="NSJ127" s="751"/>
      <c r="NSK127" s="751"/>
      <c r="NSL127" s="751"/>
      <c r="NSM127" s="751"/>
      <c r="NSN127" s="751"/>
      <c r="NSO127" s="751"/>
      <c r="NSP127" s="751"/>
      <c r="NSQ127" s="751"/>
      <c r="NSR127" s="751"/>
      <c r="NSS127" s="751"/>
      <c r="NST127" s="751"/>
      <c r="NSU127" s="751"/>
      <c r="NSV127" s="751"/>
      <c r="NSW127" s="751"/>
      <c r="NSX127" s="751"/>
      <c r="NSY127" s="751"/>
      <c r="NSZ127" s="751"/>
      <c r="NTA127" s="751"/>
      <c r="NTB127" s="751"/>
      <c r="NTC127" s="751"/>
      <c r="NTD127" s="751"/>
      <c r="NTE127" s="751"/>
      <c r="NTF127" s="751"/>
      <c r="NTG127" s="751"/>
      <c r="NTH127" s="751"/>
      <c r="NTI127" s="751"/>
      <c r="NTJ127" s="751"/>
      <c r="NTK127" s="751"/>
      <c r="NTL127" s="751"/>
      <c r="NTM127" s="751"/>
      <c r="NTN127" s="751"/>
      <c r="NTO127" s="751"/>
      <c r="NTP127" s="751"/>
      <c r="NTQ127" s="751"/>
      <c r="NTR127" s="751"/>
      <c r="NTS127" s="751"/>
      <c r="NTT127" s="751"/>
      <c r="NTU127" s="751"/>
      <c r="NTV127" s="751"/>
      <c r="NTW127" s="751"/>
      <c r="NTX127" s="751"/>
      <c r="NTY127" s="751"/>
      <c r="NTZ127" s="751"/>
      <c r="NUA127" s="751"/>
      <c r="NUB127" s="751"/>
      <c r="NUC127" s="751"/>
      <c r="NUD127" s="751"/>
      <c r="NUE127" s="751"/>
      <c r="NUF127" s="751"/>
      <c r="NUG127" s="751"/>
      <c r="NUH127" s="751"/>
      <c r="NUI127" s="751"/>
      <c r="NUJ127" s="751"/>
      <c r="NUK127" s="751"/>
      <c r="NUL127" s="751"/>
      <c r="NUM127" s="751"/>
      <c r="NUN127" s="751"/>
      <c r="NUO127" s="751"/>
      <c r="NUP127" s="751"/>
      <c r="NUQ127" s="751"/>
      <c r="NUR127" s="751"/>
      <c r="NUS127" s="751"/>
      <c r="NUT127" s="751"/>
      <c r="NUU127" s="751"/>
      <c r="NUV127" s="751"/>
      <c r="NUW127" s="751"/>
      <c r="NUX127" s="751"/>
      <c r="NUY127" s="751"/>
      <c r="NUZ127" s="751"/>
      <c r="NVA127" s="751"/>
      <c r="NVB127" s="751"/>
      <c r="NVC127" s="751"/>
      <c r="NVD127" s="751"/>
      <c r="NVE127" s="751"/>
      <c r="NVF127" s="751"/>
      <c r="NVG127" s="751"/>
      <c r="NVH127" s="751"/>
      <c r="NVI127" s="751"/>
      <c r="NVJ127" s="751"/>
      <c r="NVK127" s="751"/>
      <c r="NVL127" s="751"/>
      <c r="NVM127" s="751"/>
      <c r="NVN127" s="751"/>
      <c r="NVO127" s="751"/>
      <c r="NVP127" s="751"/>
      <c r="NVQ127" s="751"/>
      <c r="NVR127" s="751"/>
      <c r="NVS127" s="751"/>
      <c r="NVT127" s="751"/>
      <c r="NVU127" s="751"/>
      <c r="NVV127" s="751"/>
      <c r="NVW127" s="751"/>
      <c r="NVX127" s="751"/>
      <c r="NVY127" s="751"/>
      <c r="NVZ127" s="751"/>
      <c r="NWA127" s="751"/>
      <c r="NWB127" s="751"/>
      <c r="NWC127" s="751"/>
      <c r="NWD127" s="751"/>
      <c r="NWE127" s="751"/>
      <c r="NWF127" s="751"/>
      <c r="NWG127" s="751"/>
      <c r="NWH127" s="751"/>
      <c r="NWI127" s="751"/>
      <c r="NWJ127" s="751"/>
      <c r="NWK127" s="751"/>
      <c r="NWL127" s="751"/>
      <c r="NWM127" s="751"/>
      <c r="NWN127" s="751"/>
      <c r="NWO127" s="751"/>
      <c r="NWP127" s="751"/>
      <c r="NWQ127" s="751"/>
      <c r="NWR127" s="751"/>
      <c r="NWS127" s="751"/>
      <c r="NWT127" s="751"/>
      <c r="NWU127" s="751"/>
      <c r="NWV127" s="751"/>
      <c r="NWW127" s="751"/>
      <c r="NWX127" s="751"/>
      <c r="NWY127" s="751"/>
      <c r="NWZ127" s="751"/>
      <c r="NXA127" s="751"/>
      <c r="NXB127" s="751"/>
      <c r="NXC127" s="751"/>
      <c r="NXD127" s="751"/>
      <c r="NXE127" s="751"/>
      <c r="NXF127" s="751"/>
      <c r="NXG127" s="751"/>
      <c r="NXH127" s="751"/>
      <c r="NXI127" s="751"/>
      <c r="NXJ127" s="751"/>
      <c r="NXK127" s="751"/>
      <c r="NXL127" s="751"/>
      <c r="NXM127" s="751"/>
      <c r="NXN127" s="751"/>
      <c r="NXO127" s="751"/>
      <c r="NXP127" s="751"/>
      <c r="NXQ127" s="751"/>
      <c r="NXR127" s="751"/>
      <c r="NXS127" s="751"/>
      <c r="NXT127" s="751"/>
      <c r="NXU127" s="751"/>
      <c r="NXV127" s="751"/>
      <c r="NXW127" s="751"/>
      <c r="NXX127" s="751"/>
      <c r="NXY127" s="751"/>
      <c r="NXZ127" s="751"/>
      <c r="NYA127" s="751"/>
      <c r="NYB127" s="751"/>
      <c r="NYC127" s="751"/>
      <c r="NYD127" s="751"/>
      <c r="NYE127" s="751"/>
      <c r="NYF127" s="751"/>
      <c r="NYG127" s="751"/>
      <c r="NYH127" s="751"/>
      <c r="NYI127" s="751"/>
      <c r="NYJ127" s="751"/>
      <c r="NYK127" s="751"/>
      <c r="NYL127" s="751"/>
      <c r="NYM127" s="751"/>
      <c r="NYN127" s="751"/>
      <c r="NYO127" s="751"/>
      <c r="NYP127" s="751"/>
      <c r="NYQ127" s="751"/>
      <c r="NYR127" s="751"/>
      <c r="NYS127" s="751"/>
      <c r="NYT127" s="751"/>
      <c r="NYU127" s="751"/>
      <c r="NYV127" s="751"/>
      <c r="NYW127" s="751"/>
      <c r="NYX127" s="751"/>
      <c r="NYY127" s="751"/>
      <c r="NYZ127" s="751"/>
      <c r="NZA127" s="751"/>
      <c r="NZB127" s="751"/>
      <c r="NZC127" s="751"/>
      <c r="NZD127" s="751"/>
      <c r="NZE127" s="751"/>
      <c r="NZF127" s="751"/>
      <c r="NZG127" s="751"/>
      <c r="NZH127" s="751"/>
      <c r="NZI127" s="751"/>
      <c r="NZJ127" s="751"/>
      <c r="NZK127" s="751"/>
      <c r="NZL127" s="751"/>
      <c r="NZM127" s="751"/>
      <c r="NZN127" s="751"/>
      <c r="NZO127" s="751"/>
      <c r="NZP127" s="751"/>
      <c r="NZQ127" s="751"/>
      <c r="NZR127" s="751"/>
      <c r="NZS127" s="751"/>
      <c r="NZT127" s="751"/>
      <c r="NZU127" s="751"/>
      <c r="NZV127" s="751"/>
      <c r="NZW127" s="751"/>
      <c r="NZX127" s="751"/>
      <c r="NZY127" s="751"/>
      <c r="NZZ127" s="751"/>
      <c r="OAA127" s="751"/>
      <c r="OAB127" s="751"/>
      <c r="OAC127" s="751"/>
      <c r="OAD127" s="751"/>
      <c r="OAE127" s="751"/>
      <c r="OAF127" s="751"/>
      <c r="OAG127" s="751"/>
      <c r="OAH127" s="751"/>
      <c r="OAI127" s="751"/>
      <c r="OAJ127" s="751"/>
      <c r="OAK127" s="751"/>
      <c r="OAL127" s="751"/>
      <c r="OAM127" s="751"/>
      <c r="OAN127" s="751"/>
      <c r="OAO127" s="751"/>
      <c r="OAP127" s="751"/>
      <c r="OAQ127" s="751"/>
      <c r="OAR127" s="751"/>
      <c r="OAS127" s="751"/>
      <c r="OAT127" s="751"/>
      <c r="OAU127" s="751"/>
      <c r="OAV127" s="751"/>
      <c r="OAW127" s="751"/>
      <c r="OAX127" s="751"/>
      <c r="OAY127" s="751"/>
      <c r="OAZ127" s="751"/>
      <c r="OBA127" s="751"/>
      <c r="OBB127" s="751"/>
      <c r="OBC127" s="751"/>
      <c r="OBD127" s="751"/>
      <c r="OBE127" s="751"/>
      <c r="OBF127" s="751"/>
      <c r="OBG127" s="751"/>
      <c r="OBH127" s="751"/>
      <c r="OBI127" s="751"/>
      <c r="OBJ127" s="751"/>
      <c r="OBK127" s="751"/>
      <c r="OBL127" s="751"/>
      <c r="OBM127" s="751"/>
      <c r="OBN127" s="751"/>
      <c r="OBO127" s="751"/>
      <c r="OBP127" s="751"/>
      <c r="OBQ127" s="751"/>
      <c r="OBR127" s="751"/>
      <c r="OBS127" s="751"/>
      <c r="OBT127" s="751"/>
      <c r="OBU127" s="751"/>
      <c r="OBV127" s="751"/>
      <c r="OBW127" s="751"/>
      <c r="OBX127" s="751"/>
      <c r="OBY127" s="751"/>
      <c r="OBZ127" s="751"/>
      <c r="OCA127" s="751"/>
      <c r="OCB127" s="751"/>
      <c r="OCC127" s="751"/>
      <c r="OCD127" s="751"/>
      <c r="OCE127" s="751"/>
      <c r="OCF127" s="751"/>
      <c r="OCG127" s="751"/>
      <c r="OCH127" s="751"/>
      <c r="OCI127" s="751"/>
      <c r="OCJ127" s="751"/>
      <c r="OCK127" s="751"/>
      <c r="OCL127" s="751"/>
      <c r="OCM127" s="751"/>
      <c r="OCN127" s="751"/>
      <c r="OCO127" s="751"/>
      <c r="OCP127" s="751"/>
      <c r="OCQ127" s="751"/>
      <c r="OCR127" s="751"/>
      <c r="OCS127" s="751"/>
      <c r="OCT127" s="751"/>
      <c r="OCU127" s="751"/>
      <c r="OCV127" s="751"/>
      <c r="OCW127" s="751"/>
      <c r="OCX127" s="751"/>
      <c r="OCY127" s="751"/>
      <c r="OCZ127" s="751"/>
      <c r="ODA127" s="751"/>
      <c r="ODB127" s="751"/>
      <c r="ODC127" s="751"/>
      <c r="ODD127" s="751"/>
      <c r="ODE127" s="751"/>
      <c r="ODF127" s="751"/>
      <c r="ODG127" s="751"/>
      <c r="ODH127" s="751"/>
      <c r="ODI127" s="751"/>
      <c r="ODJ127" s="751"/>
      <c r="ODK127" s="751"/>
      <c r="ODL127" s="751"/>
      <c r="ODM127" s="751"/>
      <c r="ODN127" s="751"/>
      <c r="ODO127" s="751"/>
      <c r="ODP127" s="751"/>
      <c r="ODQ127" s="751"/>
      <c r="ODR127" s="751"/>
      <c r="ODS127" s="751"/>
      <c r="ODT127" s="751"/>
      <c r="ODU127" s="751"/>
      <c r="ODV127" s="751"/>
      <c r="ODW127" s="751"/>
      <c r="ODX127" s="751"/>
      <c r="ODY127" s="751"/>
      <c r="ODZ127" s="751"/>
      <c r="OEA127" s="751"/>
      <c r="OEB127" s="751"/>
      <c r="OEC127" s="751"/>
      <c r="OED127" s="751"/>
      <c r="OEE127" s="751"/>
      <c r="OEF127" s="751"/>
      <c r="OEG127" s="751"/>
      <c r="OEH127" s="751"/>
      <c r="OEI127" s="751"/>
      <c r="OEJ127" s="751"/>
      <c r="OEK127" s="751"/>
      <c r="OEL127" s="751"/>
      <c r="OEM127" s="751"/>
      <c r="OEN127" s="751"/>
      <c r="OEO127" s="751"/>
      <c r="OEP127" s="751"/>
      <c r="OEQ127" s="751"/>
      <c r="OER127" s="751"/>
      <c r="OES127" s="751"/>
      <c r="OET127" s="751"/>
      <c r="OEU127" s="751"/>
      <c r="OEV127" s="751"/>
      <c r="OEW127" s="751"/>
      <c r="OEX127" s="751"/>
      <c r="OEY127" s="751"/>
      <c r="OEZ127" s="751"/>
      <c r="OFA127" s="751"/>
      <c r="OFB127" s="751"/>
      <c r="OFC127" s="751"/>
      <c r="OFD127" s="751"/>
      <c r="OFE127" s="751"/>
      <c r="OFF127" s="751"/>
      <c r="OFG127" s="751"/>
      <c r="OFH127" s="751"/>
      <c r="OFI127" s="751"/>
      <c r="OFJ127" s="751"/>
      <c r="OFK127" s="751"/>
      <c r="OFL127" s="751"/>
      <c r="OFM127" s="751"/>
      <c r="OFN127" s="751"/>
      <c r="OFO127" s="751"/>
      <c r="OFP127" s="751"/>
      <c r="OFQ127" s="751"/>
      <c r="OFR127" s="751"/>
      <c r="OFS127" s="751"/>
      <c r="OFT127" s="751"/>
      <c r="OFU127" s="751"/>
      <c r="OFV127" s="751"/>
      <c r="OFW127" s="751"/>
      <c r="OFX127" s="751"/>
      <c r="OFY127" s="751"/>
      <c r="OFZ127" s="751"/>
      <c r="OGA127" s="751"/>
      <c r="OGB127" s="751"/>
      <c r="OGC127" s="751"/>
      <c r="OGD127" s="751"/>
      <c r="OGE127" s="751"/>
      <c r="OGF127" s="751"/>
      <c r="OGG127" s="751"/>
      <c r="OGH127" s="751"/>
      <c r="OGI127" s="751"/>
      <c r="OGJ127" s="751"/>
      <c r="OGK127" s="751"/>
      <c r="OGL127" s="751"/>
      <c r="OGM127" s="751"/>
      <c r="OGN127" s="751"/>
      <c r="OGO127" s="751"/>
      <c r="OGP127" s="751"/>
      <c r="OGQ127" s="751"/>
      <c r="OGR127" s="751"/>
      <c r="OGS127" s="751"/>
      <c r="OGT127" s="751"/>
      <c r="OGU127" s="751"/>
      <c r="OGV127" s="751"/>
      <c r="OGW127" s="751"/>
      <c r="OGX127" s="751"/>
      <c r="OGY127" s="751"/>
      <c r="OGZ127" s="751"/>
      <c r="OHA127" s="751"/>
      <c r="OHB127" s="751"/>
      <c r="OHC127" s="751"/>
      <c r="OHD127" s="751"/>
      <c r="OHE127" s="751"/>
      <c r="OHF127" s="751"/>
      <c r="OHG127" s="751"/>
      <c r="OHH127" s="751"/>
      <c r="OHI127" s="751"/>
      <c r="OHJ127" s="751"/>
      <c r="OHK127" s="751"/>
      <c r="OHL127" s="751"/>
      <c r="OHM127" s="751"/>
      <c r="OHN127" s="751"/>
      <c r="OHO127" s="751"/>
      <c r="OHP127" s="751"/>
      <c r="OHQ127" s="751"/>
      <c r="OHR127" s="751"/>
      <c r="OHS127" s="751"/>
      <c r="OHT127" s="751"/>
      <c r="OHU127" s="751"/>
      <c r="OHV127" s="751"/>
      <c r="OHW127" s="751"/>
      <c r="OHX127" s="751"/>
      <c r="OHY127" s="751"/>
      <c r="OHZ127" s="751"/>
      <c r="OIA127" s="751"/>
      <c r="OIB127" s="751"/>
      <c r="OIC127" s="751"/>
      <c r="OID127" s="751"/>
      <c r="OIE127" s="751"/>
      <c r="OIF127" s="751"/>
      <c r="OIG127" s="751"/>
      <c r="OIH127" s="751"/>
      <c r="OII127" s="751"/>
      <c r="OIJ127" s="751"/>
      <c r="OIK127" s="751"/>
      <c r="OIL127" s="751"/>
      <c r="OIM127" s="751"/>
      <c r="OIN127" s="751"/>
      <c r="OIO127" s="751"/>
      <c r="OIP127" s="751"/>
      <c r="OIQ127" s="751"/>
      <c r="OIR127" s="751"/>
      <c r="OIS127" s="751"/>
      <c r="OIT127" s="751"/>
      <c r="OIU127" s="751"/>
      <c r="OIV127" s="751"/>
      <c r="OIW127" s="751"/>
      <c r="OIX127" s="751"/>
      <c r="OIY127" s="751"/>
      <c r="OIZ127" s="751"/>
      <c r="OJA127" s="751"/>
      <c r="OJB127" s="751"/>
      <c r="OJC127" s="751"/>
      <c r="OJD127" s="751"/>
      <c r="OJE127" s="751"/>
      <c r="OJF127" s="751"/>
      <c r="OJG127" s="751"/>
      <c r="OJH127" s="751"/>
      <c r="OJI127" s="751"/>
      <c r="OJJ127" s="751"/>
      <c r="OJK127" s="751"/>
      <c r="OJL127" s="751"/>
      <c r="OJM127" s="751"/>
      <c r="OJN127" s="751"/>
      <c r="OJO127" s="751"/>
      <c r="OJP127" s="751"/>
      <c r="OJQ127" s="751"/>
      <c r="OJR127" s="751"/>
      <c r="OJS127" s="751"/>
      <c r="OJT127" s="751"/>
      <c r="OJU127" s="751"/>
      <c r="OJV127" s="751"/>
      <c r="OJW127" s="751"/>
      <c r="OJX127" s="751"/>
      <c r="OJY127" s="751"/>
      <c r="OJZ127" s="751"/>
      <c r="OKA127" s="751"/>
      <c r="OKB127" s="751"/>
      <c r="OKC127" s="751"/>
      <c r="OKD127" s="751"/>
      <c r="OKE127" s="751"/>
      <c r="OKF127" s="751"/>
      <c r="OKG127" s="751"/>
      <c r="OKH127" s="751"/>
      <c r="OKI127" s="751"/>
      <c r="OKJ127" s="751"/>
      <c r="OKK127" s="751"/>
      <c r="OKL127" s="751"/>
      <c r="OKM127" s="751"/>
      <c r="OKN127" s="751"/>
      <c r="OKO127" s="751"/>
      <c r="OKP127" s="751"/>
      <c r="OKQ127" s="751"/>
      <c r="OKR127" s="751"/>
      <c r="OKS127" s="751"/>
      <c r="OKT127" s="751"/>
      <c r="OKU127" s="751"/>
      <c r="OKV127" s="751"/>
      <c r="OKW127" s="751"/>
      <c r="OKX127" s="751"/>
      <c r="OKY127" s="751"/>
      <c r="OKZ127" s="751"/>
      <c r="OLA127" s="751"/>
      <c r="OLB127" s="751"/>
      <c r="OLC127" s="751"/>
      <c r="OLD127" s="751"/>
      <c r="OLE127" s="751"/>
      <c r="OLF127" s="751"/>
      <c r="OLG127" s="751"/>
      <c r="OLH127" s="751"/>
      <c r="OLI127" s="751"/>
      <c r="OLJ127" s="751"/>
      <c r="OLK127" s="751"/>
      <c r="OLL127" s="751"/>
      <c r="OLM127" s="751"/>
      <c r="OLN127" s="751"/>
      <c r="OLO127" s="751"/>
      <c r="OLP127" s="751"/>
      <c r="OLQ127" s="751"/>
      <c r="OLR127" s="751"/>
      <c r="OLS127" s="751"/>
      <c r="OLT127" s="751"/>
      <c r="OLU127" s="751"/>
      <c r="OLV127" s="751"/>
      <c r="OLW127" s="751"/>
      <c r="OLX127" s="751"/>
      <c r="OLY127" s="751"/>
      <c r="OLZ127" s="751"/>
      <c r="OMA127" s="751"/>
      <c r="OMB127" s="751"/>
      <c r="OMC127" s="751"/>
      <c r="OMD127" s="751"/>
      <c r="OME127" s="751"/>
      <c r="OMF127" s="751"/>
      <c r="OMG127" s="751"/>
      <c r="OMH127" s="751"/>
      <c r="OMI127" s="751"/>
      <c r="OMJ127" s="751"/>
      <c r="OMK127" s="751"/>
      <c r="OML127" s="751"/>
      <c r="OMM127" s="751"/>
      <c r="OMN127" s="751"/>
      <c r="OMO127" s="751"/>
      <c r="OMP127" s="751"/>
      <c r="OMQ127" s="751"/>
      <c r="OMR127" s="751"/>
      <c r="OMS127" s="751"/>
      <c r="OMT127" s="751"/>
      <c r="OMU127" s="751"/>
      <c r="OMV127" s="751"/>
      <c r="OMW127" s="751"/>
      <c r="OMX127" s="751"/>
      <c r="OMY127" s="751"/>
      <c r="OMZ127" s="751"/>
      <c r="ONA127" s="751"/>
      <c r="ONB127" s="751"/>
      <c r="ONC127" s="751"/>
      <c r="OND127" s="751"/>
      <c r="ONE127" s="751"/>
      <c r="ONF127" s="751"/>
      <c r="ONG127" s="751"/>
      <c r="ONH127" s="751"/>
      <c r="ONI127" s="751"/>
      <c r="ONJ127" s="751"/>
      <c r="ONK127" s="751"/>
      <c r="ONL127" s="751"/>
      <c r="ONM127" s="751"/>
      <c r="ONN127" s="751"/>
      <c r="ONO127" s="751"/>
      <c r="ONP127" s="751"/>
      <c r="ONQ127" s="751"/>
      <c r="ONR127" s="751"/>
      <c r="ONS127" s="751"/>
      <c r="ONT127" s="751"/>
      <c r="ONU127" s="751"/>
      <c r="ONV127" s="751"/>
      <c r="ONW127" s="751"/>
      <c r="ONX127" s="751"/>
      <c r="ONY127" s="751"/>
      <c r="ONZ127" s="751"/>
      <c r="OOA127" s="751"/>
      <c r="OOB127" s="751"/>
      <c r="OOC127" s="751"/>
      <c r="OOD127" s="751"/>
      <c r="OOE127" s="751"/>
      <c r="OOF127" s="751"/>
      <c r="OOG127" s="751"/>
      <c r="OOH127" s="751"/>
      <c r="OOI127" s="751"/>
      <c r="OOJ127" s="751"/>
      <c r="OOK127" s="751"/>
      <c r="OOL127" s="751"/>
      <c r="OOM127" s="751"/>
      <c r="OON127" s="751"/>
      <c r="OOO127" s="751"/>
      <c r="OOP127" s="751"/>
      <c r="OOQ127" s="751"/>
      <c r="OOR127" s="751"/>
      <c r="OOS127" s="751"/>
      <c r="OOT127" s="751"/>
      <c r="OOU127" s="751"/>
      <c r="OOV127" s="751"/>
      <c r="OOW127" s="751"/>
      <c r="OOX127" s="751"/>
      <c r="OOY127" s="751"/>
      <c r="OOZ127" s="751"/>
      <c r="OPA127" s="751"/>
      <c r="OPB127" s="751"/>
      <c r="OPC127" s="751"/>
      <c r="OPD127" s="751"/>
      <c r="OPE127" s="751"/>
      <c r="OPF127" s="751"/>
      <c r="OPG127" s="751"/>
      <c r="OPH127" s="751"/>
      <c r="OPI127" s="751"/>
      <c r="OPJ127" s="751"/>
      <c r="OPK127" s="751"/>
      <c r="OPL127" s="751"/>
      <c r="OPM127" s="751"/>
      <c r="OPN127" s="751"/>
      <c r="OPO127" s="751"/>
      <c r="OPP127" s="751"/>
      <c r="OPQ127" s="751"/>
      <c r="OPR127" s="751"/>
      <c r="OPS127" s="751"/>
      <c r="OPT127" s="751"/>
      <c r="OPU127" s="751"/>
      <c r="OPV127" s="751"/>
      <c r="OPW127" s="751"/>
      <c r="OPX127" s="751"/>
      <c r="OPY127" s="751"/>
      <c r="OPZ127" s="751"/>
      <c r="OQA127" s="751"/>
      <c r="OQB127" s="751"/>
      <c r="OQC127" s="751"/>
      <c r="OQD127" s="751"/>
      <c r="OQE127" s="751"/>
      <c r="OQF127" s="751"/>
      <c r="OQG127" s="751"/>
      <c r="OQH127" s="751"/>
      <c r="OQI127" s="751"/>
      <c r="OQJ127" s="751"/>
      <c r="OQK127" s="751"/>
      <c r="OQL127" s="751"/>
      <c r="OQM127" s="751"/>
      <c r="OQN127" s="751"/>
      <c r="OQO127" s="751"/>
      <c r="OQP127" s="751"/>
      <c r="OQQ127" s="751"/>
      <c r="OQR127" s="751"/>
      <c r="OQS127" s="751"/>
      <c r="OQT127" s="751"/>
      <c r="OQU127" s="751"/>
      <c r="OQV127" s="751"/>
      <c r="OQW127" s="751"/>
      <c r="OQX127" s="751"/>
      <c r="OQY127" s="751"/>
      <c r="OQZ127" s="751"/>
      <c r="ORA127" s="751"/>
      <c r="ORB127" s="751"/>
      <c r="ORC127" s="751"/>
      <c r="ORD127" s="751"/>
      <c r="ORE127" s="751"/>
      <c r="ORF127" s="751"/>
      <c r="ORG127" s="751"/>
      <c r="ORH127" s="751"/>
      <c r="ORI127" s="751"/>
      <c r="ORJ127" s="751"/>
      <c r="ORK127" s="751"/>
      <c r="ORL127" s="751"/>
      <c r="ORM127" s="751"/>
      <c r="ORN127" s="751"/>
      <c r="ORO127" s="751"/>
      <c r="ORP127" s="751"/>
      <c r="ORQ127" s="751"/>
      <c r="ORR127" s="751"/>
      <c r="ORS127" s="751"/>
      <c r="ORT127" s="751"/>
      <c r="ORU127" s="751"/>
      <c r="ORV127" s="751"/>
      <c r="ORW127" s="751"/>
      <c r="ORX127" s="751"/>
      <c r="ORY127" s="751"/>
      <c r="ORZ127" s="751"/>
      <c r="OSA127" s="751"/>
      <c r="OSB127" s="751"/>
      <c r="OSC127" s="751"/>
      <c r="OSD127" s="751"/>
      <c r="OSE127" s="751"/>
      <c r="OSF127" s="751"/>
      <c r="OSG127" s="751"/>
      <c r="OSH127" s="751"/>
      <c r="OSI127" s="751"/>
      <c r="OSJ127" s="751"/>
      <c r="OSK127" s="751"/>
      <c r="OSL127" s="751"/>
      <c r="OSM127" s="751"/>
      <c r="OSN127" s="751"/>
      <c r="OSO127" s="751"/>
      <c r="OSP127" s="751"/>
      <c r="OSQ127" s="751"/>
      <c r="OSR127" s="751"/>
      <c r="OSS127" s="751"/>
      <c r="OST127" s="751"/>
      <c r="OSU127" s="751"/>
      <c r="OSV127" s="751"/>
      <c r="OSW127" s="751"/>
      <c r="OSX127" s="751"/>
      <c r="OSY127" s="751"/>
      <c r="OSZ127" s="751"/>
      <c r="OTA127" s="751"/>
      <c r="OTB127" s="751"/>
      <c r="OTC127" s="751"/>
      <c r="OTD127" s="751"/>
      <c r="OTE127" s="751"/>
      <c r="OTF127" s="751"/>
      <c r="OTG127" s="751"/>
      <c r="OTH127" s="751"/>
      <c r="OTI127" s="751"/>
      <c r="OTJ127" s="751"/>
      <c r="OTK127" s="751"/>
      <c r="OTL127" s="751"/>
      <c r="OTM127" s="751"/>
      <c r="OTN127" s="751"/>
      <c r="OTO127" s="751"/>
      <c r="OTP127" s="751"/>
      <c r="OTQ127" s="751"/>
      <c r="OTR127" s="751"/>
      <c r="OTS127" s="751"/>
      <c r="OTT127" s="751"/>
      <c r="OTU127" s="751"/>
      <c r="OTV127" s="751"/>
      <c r="OTW127" s="751"/>
      <c r="OTX127" s="751"/>
      <c r="OTY127" s="751"/>
      <c r="OTZ127" s="751"/>
      <c r="OUA127" s="751"/>
      <c r="OUB127" s="751"/>
      <c r="OUC127" s="751"/>
      <c r="OUD127" s="751"/>
      <c r="OUE127" s="751"/>
      <c r="OUF127" s="751"/>
      <c r="OUG127" s="751"/>
      <c r="OUH127" s="751"/>
      <c r="OUI127" s="751"/>
      <c r="OUJ127" s="751"/>
      <c r="OUK127" s="751"/>
      <c r="OUL127" s="751"/>
      <c r="OUM127" s="751"/>
      <c r="OUN127" s="751"/>
      <c r="OUO127" s="751"/>
      <c r="OUP127" s="751"/>
      <c r="OUQ127" s="751"/>
      <c r="OUR127" s="751"/>
      <c r="OUS127" s="751"/>
      <c r="OUT127" s="751"/>
      <c r="OUU127" s="751"/>
      <c r="OUV127" s="751"/>
      <c r="OUW127" s="751"/>
      <c r="OUX127" s="751"/>
      <c r="OUY127" s="751"/>
      <c r="OUZ127" s="751"/>
      <c r="OVA127" s="751"/>
      <c r="OVB127" s="751"/>
      <c r="OVC127" s="751"/>
      <c r="OVD127" s="751"/>
      <c r="OVE127" s="751"/>
      <c r="OVF127" s="751"/>
      <c r="OVG127" s="751"/>
      <c r="OVH127" s="751"/>
      <c r="OVI127" s="751"/>
      <c r="OVJ127" s="751"/>
      <c r="OVK127" s="751"/>
      <c r="OVL127" s="751"/>
      <c r="OVM127" s="751"/>
      <c r="OVN127" s="751"/>
      <c r="OVO127" s="751"/>
      <c r="OVP127" s="751"/>
      <c r="OVQ127" s="751"/>
      <c r="OVR127" s="751"/>
      <c r="OVS127" s="751"/>
      <c r="OVT127" s="751"/>
      <c r="OVU127" s="751"/>
      <c r="OVV127" s="751"/>
      <c r="OVW127" s="751"/>
      <c r="OVX127" s="751"/>
      <c r="OVY127" s="751"/>
      <c r="OVZ127" s="751"/>
      <c r="OWA127" s="751"/>
      <c r="OWB127" s="751"/>
      <c r="OWC127" s="751"/>
      <c r="OWD127" s="751"/>
      <c r="OWE127" s="751"/>
      <c r="OWF127" s="751"/>
      <c r="OWG127" s="751"/>
      <c r="OWH127" s="751"/>
      <c r="OWI127" s="751"/>
      <c r="OWJ127" s="751"/>
      <c r="OWK127" s="751"/>
      <c r="OWL127" s="751"/>
      <c r="OWM127" s="751"/>
      <c r="OWN127" s="751"/>
      <c r="OWO127" s="751"/>
      <c r="OWP127" s="751"/>
      <c r="OWQ127" s="751"/>
      <c r="OWR127" s="751"/>
      <c r="OWS127" s="751"/>
      <c r="OWT127" s="751"/>
      <c r="OWU127" s="751"/>
      <c r="OWV127" s="751"/>
      <c r="OWW127" s="751"/>
      <c r="OWX127" s="751"/>
      <c r="OWY127" s="751"/>
      <c r="OWZ127" s="751"/>
      <c r="OXA127" s="751"/>
      <c r="OXB127" s="751"/>
      <c r="OXC127" s="751"/>
      <c r="OXD127" s="751"/>
      <c r="OXE127" s="751"/>
      <c r="OXF127" s="751"/>
      <c r="OXG127" s="751"/>
      <c r="OXH127" s="751"/>
      <c r="OXI127" s="751"/>
      <c r="OXJ127" s="751"/>
      <c r="OXK127" s="751"/>
      <c r="OXL127" s="751"/>
      <c r="OXM127" s="751"/>
      <c r="OXN127" s="751"/>
      <c r="OXO127" s="751"/>
      <c r="OXP127" s="751"/>
      <c r="OXQ127" s="751"/>
      <c r="OXR127" s="751"/>
      <c r="OXS127" s="751"/>
      <c r="OXT127" s="751"/>
      <c r="OXU127" s="751"/>
      <c r="OXV127" s="751"/>
      <c r="OXW127" s="751"/>
      <c r="OXX127" s="751"/>
      <c r="OXY127" s="751"/>
      <c r="OXZ127" s="751"/>
      <c r="OYA127" s="751"/>
      <c r="OYB127" s="751"/>
      <c r="OYC127" s="751"/>
      <c r="OYD127" s="751"/>
      <c r="OYE127" s="751"/>
      <c r="OYF127" s="751"/>
      <c r="OYG127" s="751"/>
      <c r="OYH127" s="751"/>
      <c r="OYI127" s="751"/>
      <c r="OYJ127" s="751"/>
      <c r="OYK127" s="751"/>
      <c r="OYL127" s="751"/>
      <c r="OYM127" s="751"/>
      <c r="OYN127" s="751"/>
      <c r="OYO127" s="751"/>
      <c r="OYP127" s="751"/>
      <c r="OYQ127" s="751"/>
      <c r="OYR127" s="751"/>
      <c r="OYS127" s="751"/>
      <c r="OYT127" s="751"/>
      <c r="OYU127" s="751"/>
      <c r="OYV127" s="751"/>
      <c r="OYW127" s="751"/>
      <c r="OYX127" s="751"/>
      <c r="OYY127" s="751"/>
      <c r="OYZ127" s="751"/>
      <c r="OZA127" s="751"/>
      <c r="OZB127" s="751"/>
      <c r="OZC127" s="751"/>
      <c r="OZD127" s="751"/>
      <c r="OZE127" s="751"/>
      <c r="OZF127" s="751"/>
      <c r="OZG127" s="751"/>
      <c r="OZH127" s="751"/>
      <c r="OZI127" s="751"/>
      <c r="OZJ127" s="751"/>
      <c r="OZK127" s="751"/>
      <c r="OZL127" s="751"/>
      <c r="OZM127" s="751"/>
      <c r="OZN127" s="751"/>
      <c r="OZO127" s="751"/>
      <c r="OZP127" s="751"/>
      <c r="OZQ127" s="751"/>
      <c r="OZR127" s="751"/>
      <c r="OZS127" s="751"/>
      <c r="OZT127" s="751"/>
      <c r="OZU127" s="751"/>
      <c r="OZV127" s="751"/>
      <c r="OZW127" s="751"/>
      <c r="OZX127" s="751"/>
      <c r="OZY127" s="751"/>
      <c r="OZZ127" s="751"/>
      <c r="PAA127" s="751"/>
      <c r="PAB127" s="751"/>
      <c r="PAC127" s="751"/>
      <c r="PAD127" s="751"/>
      <c r="PAE127" s="751"/>
      <c r="PAF127" s="751"/>
      <c r="PAG127" s="751"/>
      <c r="PAH127" s="751"/>
      <c r="PAI127" s="751"/>
      <c r="PAJ127" s="751"/>
      <c r="PAK127" s="751"/>
      <c r="PAL127" s="751"/>
      <c r="PAM127" s="751"/>
      <c r="PAN127" s="751"/>
      <c r="PAO127" s="751"/>
      <c r="PAP127" s="751"/>
      <c r="PAQ127" s="751"/>
      <c r="PAR127" s="751"/>
      <c r="PAS127" s="751"/>
      <c r="PAT127" s="751"/>
      <c r="PAU127" s="751"/>
      <c r="PAV127" s="751"/>
      <c r="PAW127" s="751"/>
      <c r="PAX127" s="751"/>
      <c r="PAY127" s="751"/>
      <c r="PAZ127" s="751"/>
      <c r="PBA127" s="751"/>
      <c r="PBB127" s="751"/>
      <c r="PBC127" s="751"/>
      <c r="PBD127" s="751"/>
      <c r="PBE127" s="751"/>
      <c r="PBF127" s="751"/>
      <c r="PBG127" s="751"/>
      <c r="PBH127" s="751"/>
      <c r="PBI127" s="751"/>
      <c r="PBJ127" s="751"/>
      <c r="PBK127" s="751"/>
      <c r="PBL127" s="751"/>
      <c r="PBM127" s="751"/>
      <c r="PBN127" s="751"/>
      <c r="PBO127" s="751"/>
      <c r="PBP127" s="751"/>
      <c r="PBQ127" s="751"/>
      <c r="PBR127" s="751"/>
      <c r="PBS127" s="751"/>
      <c r="PBT127" s="751"/>
      <c r="PBU127" s="751"/>
      <c r="PBV127" s="751"/>
      <c r="PBW127" s="751"/>
      <c r="PBX127" s="751"/>
      <c r="PBY127" s="751"/>
      <c r="PBZ127" s="751"/>
      <c r="PCA127" s="751"/>
      <c r="PCB127" s="751"/>
      <c r="PCC127" s="751"/>
      <c r="PCD127" s="751"/>
      <c r="PCE127" s="751"/>
      <c r="PCF127" s="751"/>
      <c r="PCG127" s="751"/>
      <c r="PCH127" s="751"/>
      <c r="PCI127" s="751"/>
      <c r="PCJ127" s="751"/>
      <c r="PCK127" s="751"/>
      <c r="PCL127" s="751"/>
      <c r="PCM127" s="751"/>
      <c r="PCN127" s="751"/>
      <c r="PCO127" s="751"/>
      <c r="PCP127" s="751"/>
      <c r="PCQ127" s="751"/>
      <c r="PCR127" s="751"/>
      <c r="PCS127" s="751"/>
      <c r="PCT127" s="751"/>
      <c r="PCU127" s="751"/>
      <c r="PCV127" s="751"/>
      <c r="PCW127" s="751"/>
      <c r="PCX127" s="751"/>
      <c r="PCY127" s="751"/>
      <c r="PCZ127" s="751"/>
      <c r="PDA127" s="751"/>
      <c r="PDB127" s="751"/>
      <c r="PDC127" s="751"/>
      <c r="PDD127" s="751"/>
      <c r="PDE127" s="751"/>
      <c r="PDF127" s="751"/>
      <c r="PDG127" s="751"/>
      <c r="PDH127" s="751"/>
      <c r="PDI127" s="751"/>
      <c r="PDJ127" s="751"/>
      <c r="PDK127" s="751"/>
      <c r="PDL127" s="751"/>
      <c r="PDM127" s="751"/>
      <c r="PDN127" s="751"/>
      <c r="PDO127" s="751"/>
      <c r="PDP127" s="751"/>
      <c r="PDQ127" s="751"/>
      <c r="PDR127" s="751"/>
      <c r="PDS127" s="751"/>
      <c r="PDT127" s="751"/>
      <c r="PDU127" s="751"/>
      <c r="PDV127" s="751"/>
      <c r="PDW127" s="751"/>
      <c r="PDX127" s="751"/>
      <c r="PDY127" s="751"/>
      <c r="PDZ127" s="751"/>
      <c r="PEA127" s="751"/>
      <c r="PEB127" s="751"/>
      <c r="PEC127" s="751"/>
      <c r="PED127" s="751"/>
      <c r="PEE127" s="751"/>
      <c r="PEF127" s="751"/>
      <c r="PEG127" s="751"/>
      <c r="PEH127" s="751"/>
      <c r="PEI127" s="751"/>
      <c r="PEJ127" s="751"/>
      <c r="PEK127" s="751"/>
      <c r="PEL127" s="751"/>
      <c r="PEM127" s="751"/>
      <c r="PEN127" s="751"/>
      <c r="PEO127" s="751"/>
      <c r="PEP127" s="751"/>
      <c r="PEQ127" s="751"/>
      <c r="PER127" s="751"/>
      <c r="PES127" s="751"/>
      <c r="PET127" s="751"/>
      <c r="PEU127" s="751"/>
      <c r="PEV127" s="751"/>
      <c r="PEW127" s="751"/>
      <c r="PEX127" s="751"/>
      <c r="PEY127" s="751"/>
      <c r="PEZ127" s="751"/>
      <c r="PFA127" s="751"/>
      <c r="PFB127" s="751"/>
      <c r="PFC127" s="751"/>
      <c r="PFD127" s="751"/>
      <c r="PFE127" s="751"/>
      <c r="PFF127" s="751"/>
      <c r="PFG127" s="751"/>
      <c r="PFH127" s="751"/>
      <c r="PFI127" s="751"/>
      <c r="PFJ127" s="751"/>
      <c r="PFK127" s="751"/>
      <c r="PFL127" s="751"/>
      <c r="PFM127" s="751"/>
      <c r="PFN127" s="751"/>
      <c r="PFO127" s="751"/>
      <c r="PFP127" s="751"/>
      <c r="PFQ127" s="751"/>
      <c r="PFR127" s="751"/>
      <c r="PFS127" s="751"/>
      <c r="PFT127" s="751"/>
      <c r="PFU127" s="751"/>
      <c r="PFV127" s="751"/>
      <c r="PFW127" s="751"/>
      <c r="PFX127" s="751"/>
      <c r="PFY127" s="751"/>
      <c r="PFZ127" s="751"/>
      <c r="PGA127" s="751"/>
      <c r="PGB127" s="751"/>
      <c r="PGC127" s="751"/>
      <c r="PGD127" s="751"/>
      <c r="PGE127" s="751"/>
      <c r="PGF127" s="751"/>
      <c r="PGG127" s="751"/>
      <c r="PGH127" s="751"/>
      <c r="PGI127" s="751"/>
      <c r="PGJ127" s="751"/>
      <c r="PGK127" s="751"/>
      <c r="PGL127" s="751"/>
      <c r="PGM127" s="751"/>
      <c r="PGN127" s="751"/>
      <c r="PGO127" s="751"/>
      <c r="PGP127" s="751"/>
      <c r="PGQ127" s="751"/>
      <c r="PGR127" s="751"/>
      <c r="PGS127" s="751"/>
      <c r="PGT127" s="751"/>
      <c r="PGU127" s="751"/>
      <c r="PGV127" s="751"/>
      <c r="PGW127" s="751"/>
      <c r="PGX127" s="751"/>
      <c r="PGY127" s="751"/>
      <c r="PGZ127" s="751"/>
      <c r="PHA127" s="751"/>
      <c r="PHB127" s="751"/>
      <c r="PHC127" s="751"/>
      <c r="PHD127" s="751"/>
      <c r="PHE127" s="751"/>
      <c r="PHF127" s="751"/>
      <c r="PHG127" s="751"/>
      <c r="PHH127" s="751"/>
      <c r="PHI127" s="751"/>
      <c r="PHJ127" s="751"/>
      <c r="PHK127" s="751"/>
      <c r="PHL127" s="751"/>
      <c r="PHM127" s="751"/>
      <c r="PHN127" s="751"/>
      <c r="PHO127" s="751"/>
      <c r="PHP127" s="751"/>
      <c r="PHQ127" s="751"/>
      <c r="PHR127" s="751"/>
      <c r="PHS127" s="751"/>
      <c r="PHT127" s="751"/>
      <c r="PHU127" s="751"/>
      <c r="PHV127" s="751"/>
      <c r="PHW127" s="751"/>
      <c r="PHX127" s="751"/>
      <c r="PHY127" s="751"/>
      <c r="PHZ127" s="751"/>
      <c r="PIA127" s="751"/>
      <c r="PIB127" s="751"/>
      <c r="PIC127" s="751"/>
      <c r="PID127" s="751"/>
      <c r="PIE127" s="751"/>
      <c r="PIF127" s="751"/>
      <c r="PIG127" s="751"/>
      <c r="PIH127" s="751"/>
      <c r="PII127" s="751"/>
      <c r="PIJ127" s="751"/>
      <c r="PIK127" s="751"/>
      <c r="PIL127" s="751"/>
      <c r="PIM127" s="751"/>
      <c r="PIN127" s="751"/>
      <c r="PIO127" s="751"/>
      <c r="PIP127" s="751"/>
      <c r="PIQ127" s="751"/>
      <c r="PIR127" s="751"/>
      <c r="PIS127" s="751"/>
      <c r="PIT127" s="751"/>
      <c r="PIU127" s="751"/>
      <c r="PIV127" s="751"/>
      <c r="PIW127" s="751"/>
      <c r="PIX127" s="751"/>
      <c r="PIY127" s="751"/>
      <c r="PIZ127" s="751"/>
      <c r="PJA127" s="751"/>
      <c r="PJB127" s="751"/>
      <c r="PJC127" s="751"/>
      <c r="PJD127" s="751"/>
      <c r="PJE127" s="751"/>
      <c r="PJF127" s="751"/>
      <c r="PJG127" s="751"/>
      <c r="PJH127" s="751"/>
      <c r="PJI127" s="751"/>
      <c r="PJJ127" s="751"/>
      <c r="PJK127" s="751"/>
      <c r="PJL127" s="751"/>
      <c r="PJM127" s="751"/>
      <c r="PJN127" s="751"/>
      <c r="PJO127" s="751"/>
      <c r="PJP127" s="751"/>
      <c r="PJQ127" s="751"/>
      <c r="PJR127" s="751"/>
      <c r="PJS127" s="751"/>
      <c r="PJT127" s="751"/>
      <c r="PJU127" s="751"/>
      <c r="PJV127" s="751"/>
      <c r="PJW127" s="751"/>
      <c r="PJX127" s="751"/>
      <c r="PJY127" s="751"/>
      <c r="PJZ127" s="751"/>
      <c r="PKA127" s="751"/>
      <c r="PKB127" s="751"/>
      <c r="PKC127" s="751"/>
      <c r="PKD127" s="751"/>
      <c r="PKE127" s="751"/>
      <c r="PKF127" s="751"/>
      <c r="PKG127" s="751"/>
      <c r="PKH127" s="751"/>
      <c r="PKI127" s="751"/>
      <c r="PKJ127" s="751"/>
      <c r="PKK127" s="751"/>
      <c r="PKL127" s="751"/>
      <c r="PKM127" s="751"/>
      <c r="PKN127" s="751"/>
      <c r="PKO127" s="751"/>
      <c r="PKP127" s="751"/>
      <c r="PKQ127" s="751"/>
      <c r="PKR127" s="751"/>
      <c r="PKS127" s="751"/>
      <c r="PKT127" s="751"/>
      <c r="PKU127" s="751"/>
      <c r="PKV127" s="751"/>
      <c r="PKW127" s="751"/>
      <c r="PKX127" s="751"/>
      <c r="PKY127" s="751"/>
      <c r="PKZ127" s="751"/>
      <c r="PLA127" s="751"/>
      <c r="PLB127" s="751"/>
      <c r="PLC127" s="751"/>
      <c r="PLD127" s="751"/>
      <c r="PLE127" s="751"/>
      <c r="PLF127" s="751"/>
      <c r="PLG127" s="751"/>
      <c r="PLH127" s="751"/>
      <c r="PLI127" s="751"/>
      <c r="PLJ127" s="751"/>
      <c r="PLK127" s="751"/>
      <c r="PLL127" s="751"/>
      <c r="PLM127" s="751"/>
      <c r="PLN127" s="751"/>
      <c r="PLO127" s="751"/>
      <c r="PLP127" s="751"/>
      <c r="PLQ127" s="751"/>
      <c r="PLR127" s="751"/>
      <c r="PLS127" s="751"/>
      <c r="PLT127" s="751"/>
      <c r="PLU127" s="751"/>
      <c r="PLV127" s="751"/>
      <c r="PLW127" s="751"/>
      <c r="PLX127" s="751"/>
      <c r="PLY127" s="751"/>
      <c r="PLZ127" s="751"/>
      <c r="PMA127" s="751"/>
      <c r="PMB127" s="751"/>
      <c r="PMC127" s="751"/>
      <c r="PMD127" s="751"/>
      <c r="PME127" s="751"/>
      <c r="PMF127" s="751"/>
      <c r="PMG127" s="751"/>
      <c r="PMH127" s="751"/>
      <c r="PMI127" s="751"/>
      <c r="PMJ127" s="751"/>
      <c r="PMK127" s="751"/>
      <c r="PML127" s="751"/>
      <c r="PMM127" s="751"/>
      <c r="PMN127" s="751"/>
      <c r="PMO127" s="751"/>
      <c r="PMP127" s="751"/>
      <c r="PMQ127" s="751"/>
      <c r="PMR127" s="751"/>
      <c r="PMS127" s="751"/>
      <c r="PMT127" s="751"/>
      <c r="PMU127" s="751"/>
      <c r="PMV127" s="751"/>
      <c r="PMW127" s="751"/>
      <c r="PMX127" s="751"/>
      <c r="PMY127" s="751"/>
      <c r="PMZ127" s="751"/>
      <c r="PNA127" s="751"/>
      <c r="PNB127" s="751"/>
      <c r="PNC127" s="751"/>
      <c r="PND127" s="751"/>
      <c r="PNE127" s="751"/>
      <c r="PNF127" s="751"/>
      <c r="PNG127" s="751"/>
      <c r="PNH127" s="751"/>
      <c r="PNI127" s="751"/>
      <c r="PNJ127" s="751"/>
      <c r="PNK127" s="751"/>
      <c r="PNL127" s="751"/>
      <c r="PNM127" s="751"/>
      <c r="PNN127" s="751"/>
      <c r="PNO127" s="751"/>
      <c r="PNP127" s="751"/>
      <c r="PNQ127" s="751"/>
      <c r="PNR127" s="751"/>
      <c r="PNS127" s="751"/>
      <c r="PNT127" s="751"/>
      <c r="PNU127" s="751"/>
      <c r="PNV127" s="751"/>
      <c r="PNW127" s="751"/>
      <c r="PNX127" s="751"/>
      <c r="PNY127" s="751"/>
      <c r="PNZ127" s="751"/>
      <c r="POA127" s="751"/>
      <c r="POB127" s="751"/>
      <c r="POC127" s="751"/>
      <c r="POD127" s="751"/>
      <c r="POE127" s="751"/>
      <c r="POF127" s="751"/>
      <c r="POG127" s="751"/>
      <c r="POH127" s="751"/>
      <c r="POI127" s="751"/>
      <c r="POJ127" s="751"/>
      <c r="POK127" s="751"/>
      <c r="POL127" s="751"/>
      <c r="POM127" s="751"/>
      <c r="PON127" s="751"/>
      <c r="POO127" s="751"/>
      <c r="POP127" s="751"/>
      <c r="POQ127" s="751"/>
      <c r="POR127" s="751"/>
      <c r="POS127" s="751"/>
      <c r="POT127" s="751"/>
      <c r="POU127" s="751"/>
      <c r="POV127" s="751"/>
      <c r="POW127" s="751"/>
      <c r="POX127" s="751"/>
      <c r="POY127" s="751"/>
      <c r="POZ127" s="751"/>
      <c r="PPA127" s="751"/>
      <c r="PPB127" s="751"/>
      <c r="PPC127" s="751"/>
      <c r="PPD127" s="751"/>
      <c r="PPE127" s="751"/>
      <c r="PPF127" s="751"/>
      <c r="PPG127" s="751"/>
      <c r="PPH127" s="751"/>
      <c r="PPI127" s="751"/>
      <c r="PPJ127" s="751"/>
      <c r="PPK127" s="751"/>
      <c r="PPL127" s="751"/>
      <c r="PPM127" s="751"/>
      <c r="PPN127" s="751"/>
      <c r="PPO127" s="751"/>
      <c r="PPP127" s="751"/>
      <c r="PPQ127" s="751"/>
      <c r="PPR127" s="751"/>
      <c r="PPS127" s="751"/>
      <c r="PPT127" s="751"/>
      <c r="PPU127" s="751"/>
      <c r="PPV127" s="751"/>
      <c r="PPW127" s="751"/>
      <c r="PPX127" s="751"/>
      <c r="PPY127" s="751"/>
      <c r="PPZ127" s="751"/>
      <c r="PQA127" s="751"/>
      <c r="PQB127" s="751"/>
      <c r="PQC127" s="751"/>
      <c r="PQD127" s="751"/>
      <c r="PQE127" s="751"/>
      <c r="PQF127" s="751"/>
      <c r="PQG127" s="751"/>
      <c r="PQH127" s="751"/>
      <c r="PQI127" s="751"/>
      <c r="PQJ127" s="751"/>
      <c r="PQK127" s="751"/>
      <c r="PQL127" s="751"/>
      <c r="PQM127" s="751"/>
      <c r="PQN127" s="751"/>
      <c r="PQO127" s="751"/>
      <c r="PQP127" s="751"/>
      <c r="PQQ127" s="751"/>
      <c r="PQR127" s="751"/>
      <c r="PQS127" s="751"/>
      <c r="PQT127" s="751"/>
      <c r="PQU127" s="751"/>
      <c r="PQV127" s="751"/>
      <c r="PQW127" s="751"/>
      <c r="PQX127" s="751"/>
      <c r="PQY127" s="751"/>
      <c r="PQZ127" s="751"/>
      <c r="PRA127" s="751"/>
      <c r="PRB127" s="751"/>
      <c r="PRC127" s="751"/>
      <c r="PRD127" s="751"/>
      <c r="PRE127" s="751"/>
      <c r="PRF127" s="751"/>
      <c r="PRG127" s="751"/>
      <c r="PRH127" s="751"/>
      <c r="PRI127" s="751"/>
      <c r="PRJ127" s="751"/>
      <c r="PRK127" s="751"/>
      <c r="PRL127" s="751"/>
      <c r="PRM127" s="751"/>
      <c r="PRN127" s="751"/>
      <c r="PRO127" s="751"/>
      <c r="PRP127" s="751"/>
      <c r="PRQ127" s="751"/>
      <c r="PRR127" s="751"/>
      <c r="PRS127" s="751"/>
      <c r="PRT127" s="751"/>
      <c r="PRU127" s="751"/>
      <c r="PRV127" s="751"/>
      <c r="PRW127" s="751"/>
      <c r="PRX127" s="751"/>
      <c r="PRY127" s="751"/>
      <c r="PRZ127" s="751"/>
      <c r="PSA127" s="751"/>
      <c r="PSB127" s="751"/>
      <c r="PSC127" s="751"/>
      <c r="PSD127" s="751"/>
      <c r="PSE127" s="751"/>
      <c r="PSF127" s="751"/>
      <c r="PSG127" s="751"/>
      <c r="PSH127" s="751"/>
      <c r="PSI127" s="751"/>
      <c r="PSJ127" s="751"/>
      <c r="PSK127" s="751"/>
      <c r="PSL127" s="751"/>
      <c r="PSM127" s="751"/>
      <c r="PSN127" s="751"/>
      <c r="PSO127" s="751"/>
      <c r="PSP127" s="751"/>
      <c r="PSQ127" s="751"/>
      <c r="PSR127" s="751"/>
      <c r="PSS127" s="751"/>
      <c r="PST127" s="751"/>
      <c r="PSU127" s="751"/>
      <c r="PSV127" s="751"/>
      <c r="PSW127" s="751"/>
      <c r="PSX127" s="751"/>
      <c r="PSY127" s="751"/>
      <c r="PSZ127" s="751"/>
      <c r="PTA127" s="751"/>
      <c r="PTB127" s="751"/>
      <c r="PTC127" s="751"/>
      <c r="PTD127" s="751"/>
      <c r="PTE127" s="751"/>
      <c r="PTF127" s="751"/>
      <c r="PTG127" s="751"/>
      <c r="PTH127" s="751"/>
      <c r="PTI127" s="751"/>
      <c r="PTJ127" s="751"/>
      <c r="PTK127" s="751"/>
      <c r="PTL127" s="751"/>
      <c r="PTM127" s="751"/>
      <c r="PTN127" s="751"/>
      <c r="PTO127" s="751"/>
      <c r="PTP127" s="751"/>
      <c r="PTQ127" s="751"/>
      <c r="PTR127" s="751"/>
      <c r="PTS127" s="751"/>
      <c r="PTT127" s="751"/>
      <c r="PTU127" s="751"/>
      <c r="PTV127" s="751"/>
      <c r="PTW127" s="751"/>
      <c r="PTX127" s="751"/>
      <c r="PTY127" s="751"/>
      <c r="PTZ127" s="751"/>
      <c r="PUA127" s="751"/>
      <c r="PUB127" s="751"/>
      <c r="PUC127" s="751"/>
      <c r="PUD127" s="751"/>
      <c r="PUE127" s="751"/>
      <c r="PUF127" s="751"/>
      <c r="PUG127" s="751"/>
      <c r="PUH127" s="751"/>
      <c r="PUI127" s="751"/>
      <c r="PUJ127" s="751"/>
      <c r="PUK127" s="751"/>
      <c r="PUL127" s="751"/>
      <c r="PUM127" s="751"/>
      <c r="PUN127" s="751"/>
      <c r="PUO127" s="751"/>
      <c r="PUP127" s="751"/>
      <c r="PUQ127" s="751"/>
      <c r="PUR127" s="751"/>
      <c r="PUS127" s="751"/>
      <c r="PUT127" s="751"/>
      <c r="PUU127" s="751"/>
      <c r="PUV127" s="751"/>
      <c r="PUW127" s="751"/>
      <c r="PUX127" s="751"/>
      <c r="PUY127" s="751"/>
      <c r="PUZ127" s="751"/>
      <c r="PVA127" s="751"/>
      <c r="PVB127" s="751"/>
      <c r="PVC127" s="751"/>
      <c r="PVD127" s="751"/>
      <c r="PVE127" s="751"/>
      <c r="PVF127" s="751"/>
      <c r="PVG127" s="751"/>
      <c r="PVH127" s="751"/>
      <c r="PVI127" s="751"/>
      <c r="PVJ127" s="751"/>
      <c r="PVK127" s="751"/>
      <c r="PVL127" s="751"/>
      <c r="PVM127" s="751"/>
      <c r="PVN127" s="751"/>
      <c r="PVO127" s="751"/>
      <c r="PVP127" s="751"/>
      <c r="PVQ127" s="751"/>
      <c r="PVR127" s="751"/>
      <c r="PVS127" s="751"/>
      <c r="PVT127" s="751"/>
      <c r="PVU127" s="751"/>
      <c r="PVV127" s="751"/>
      <c r="PVW127" s="751"/>
      <c r="PVX127" s="751"/>
      <c r="PVY127" s="751"/>
      <c r="PVZ127" s="751"/>
      <c r="PWA127" s="751"/>
      <c r="PWB127" s="751"/>
      <c r="PWC127" s="751"/>
      <c r="PWD127" s="751"/>
      <c r="PWE127" s="751"/>
      <c r="PWF127" s="751"/>
      <c r="PWG127" s="751"/>
      <c r="PWH127" s="751"/>
      <c r="PWI127" s="751"/>
      <c r="PWJ127" s="751"/>
      <c r="PWK127" s="751"/>
      <c r="PWL127" s="751"/>
      <c r="PWM127" s="751"/>
      <c r="PWN127" s="751"/>
      <c r="PWO127" s="751"/>
      <c r="PWP127" s="751"/>
      <c r="PWQ127" s="751"/>
      <c r="PWR127" s="751"/>
      <c r="PWS127" s="751"/>
      <c r="PWT127" s="751"/>
      <c r="PWU127" s="751"/>
      <c r="PWV127" s="751"/>
      <c r="PWW127" s="751"/>
      <c r="PWX127" s="751"/>
      <c r="PWY127" s="751"/>
      <c r="PWZ127" s="751"/>
      <c r="PXA127" s="751"/>
      <c r="PXB127" s="751"/>
      <c r="PXC127" s="751"/>
      <c r="PXD127" s="751"/>
      <c r="PXE127" s="751"/>
      <c r="PXF127" s="751"/>
      <c r="PXG127" s="751"/>
      <c r="PXH127" s="751"/>
      <c r="PXI127" s="751"/>
      <c r="PXJ127" s="751"/>
      <c r="PXK127" s="751"/>
      <c r="PXL127" s="751"/>
      <c r="PXM127" s="751"/>
      <c r="PXN127" s="751"/>
      <c r="PXO127" s="751"/>
      <c r="PXP127" s="751"/>
      <c r="PXQ127" s="751"/>
      <c r="PXR127" s="751"/>
      <c r="PXS127" s="751"/>
      <c r="PXT127" s="751"/>
      <c r="PXU127" s="751"/>
      <c r="PXV127" s="751"/>
      <c r="PXW127" s="751"/>
      <c r="PXX127" s="751"/>
      <c r="PXY127" s="751"/>
      <c r="PXZ127" s="751"/>
      <c r="PYA127" s="751"/>
      <c r="PYB127" s="751"/>
      <c r="PYC127" s="751"/>
      <c r="PYD127" s="751"/>
      <c r="PYE127" s="751"/>
      <c r="PYF127" s="751"/>
      <c r="PYG127" s="751"/>
      <c r="PYH127" s="751"/>
      <c r="PYI127" s="751"/>
      <c r="PYJ127" s="751"/>
      <c r="PYK127" s="751"/>
      <c r="PYL127" s="751"/>
      <c r="PYM127" s="751"/>
      <c r="PYN127" s="751"/>
      <c r="PYO127" s="751"/>
      <c r="PYP127" s="751"/>
      <c r="PYQ127" s="751"/>
      <c r="PYR127" s="751"/>
      <c r="PYS127" s="751"/>
      <c r="PYT127" s="751"/>
      <c r="PYU127" s="751"/>
      <c r="PYV127" s="751"/>
      <c r="PYW127" s="751"/>
      <c r="PYX127" s="751"/>
      <c r="PYY127" s="751"/>
      <c r="PYZ127" s="751"/>
      <c r="PZA127" s="751"/>
      <c r="PZB127" s="751"/>
      <c r="PZC127" s="751"/>
      <c r="PZD127" s="751"/>
      <c r="PZE127" s="751"/>
      <c r="PZF127" s="751"/>
      <c r="PZG127" s="751"/>
      <c r="PZH127" s="751"/>
      <c r="PZI127" s="751"/>
      <c r="PZJ127" s="751"/>
      <c r="PZK127" s="751"/>
      <c r="PZL127" s="751"/>
      <c r="PZM127" s="751"/>
      <c r="PZN127" s="751"/>
      <c r="PZO127" s="751"/>
      <c r="PZP127" s="751"/>
      <c r="PZQ127" s="751"/>
      <c r="PZR127" s="751"/>
      <c r="PZS127" s="751"/>
      <c r="PZT127" s="751"/>
      <c r="PZU127" s="751"/>
      <c r="PZV127" s="751"/>
      <c r="PZW127" s="751"/>
      <c r="PZX127" s="751"/>
      <c r="PZY127" s="751"/>
      <c r="PZZ127" s="751"/>
      <c r="QAA127" s="751"/>
      <c r="QAB127" s="751"/>
      <c r="QAC127" s="751"/>
      <c r="QAD127" s="751"/>
      <c r="QAE127" s="751"/>
      <c r="QAF127" s="751"/>
      <c r="QAG127" s="751"/>
      <c r="QAH127" s="751"/>
      <c r="QAI127" s="751"/>
      <c r="QAJ127" s="751"/>
      <c r="QAK127" s="751"/>
      <c r="QAL127" s="751"/>
      <c r="QAM127" s="751"/>
      <c r="QAN127" s="751"/>
      <c r="QAO127" s="751"/>
      <c r="QAP127" s="751"/>
      <c r="QAQ127" s="751"/>
      <c r="QAR127" s="751"/>
      <c r="QAS127" s="751"/>
      <c r="QAT127" s="751"/>
      <c r="QAU127" s="751"/>
      <c r="QAV127" s="751"/>
      <c r="QAW127" s="751"/>
      <c r="QAX127" s="751"/>
      <c r="QAY127" s="751"/>
      <c r="QAZ127" s="751"/>
      <c r="QBA127" s="751"/>
      <c r="QBB127" s="751"/>
      <c r="QBC127" s="751"/>
      <c r="QBD127" s="751"/>
      <c r="QBE127" s="751"/>
      <c r="QBF127" s="751"/>
      <c r="QBG127" s="751"/>
      <c r="QBH127" s="751"/>
      <c r="QBI127" s="751"/>
      <c r="QBJ127" s="751"/>
      <c r="QBK127" s="751"/>
      <c r="QBL127" s="751"/>
      <c r="QBM127" s="751"/>
      <c r="QBN127" s="751"/>
      <c r="QBO127" s="751"/>
      <c r="QBP127" s="751"/>
      <c r="QBQ127" s="751"/>
      <c r="QBR127" s="751"/>
      <c r="QBS127" s="751"/>
      <c r="QBT127" s="751"/>
      <c r="QBU127" s="751"/>
      <c r="QBV127" s="751"/>
      <c r="QBW127" s="751"/>
      <c r="QBX127" s="751"/>
      <c r="QBY127" s="751"/>
      <c r="QBZ127" s="751"/>
      <c r="QCA127" s="751"/>
      <c r="QCB127" s="751"/>
      <c r="QCC127" s="751"/>
      <c r="QCD127" s="751"/>
      <c r="QCE127" s="751"/>
      <c r="QCF127" s="751"/>
      <c r="QCG127" s="751"/>
      <c r="QCH127" s="751"/>
      <c r="QCI127" s="751"/>
      <c r="QCJ127" s="751"/>
      <c r="QCK127" s="751"/>
      <c r="QCL127" s="751"/>
      <c r="QCM127" s="751"/>
      <c r="QCN127" s="751"/>
      <c r="QCO127" s="751"/>
      <c r="QCP127" s="751"/>
      <c r="QCQ127" s="751"/>
      <c r="QCR127" s="751"/>
      <c r="QCS127" s="751"/>
      <c r="QCT127" s="751"/>
      <c r="QCU127" s="751"/>
      <c r="QCV127" s="751"/>
      <c r="QCW127" s="751"/>
      <c r="QCX127" s="751"/>
      <c r="QCY127" s="751"/>
      <c r="QCZ127" s="751"/>
      <c r="QDA127" s="751"/>
      <c r="QDB127" s="751"/>
      <c r="QDC127" s="751"/>
      <c r="QDD127" s="751"/>
      <c r="QDE127" s="751"/>
      <c r="QDF127" s="751"/>
      <c r="QDG127" s="751"/>
      <c r="QDH127" s="751"/>
      <c r="QDI127" s="751"/>
      <c r="QDJ127" s="751"/>
      <c r="QDK127" s="751"/>
      <c r="QDL127" s="751"/>
      <c r="QDM127" s="751"/>
      <c r="QDN127" s="751"/>
      <c r="QDO127" s="751"/>
      <c r="QDP127" s="751"/>
      <c r="QDQ127" s="751"/>
      <c r="QDR127" s="751"/>
      <c r="QDS127" s="751"/>
      <c r="QDT127" s="751"/>
      <c r="QDU127" s="751"/>
      <c r="QDV127" s="751"/>
      <c r="QDW127" s="751"/>
      <c r="QDX127" s="751"/>
      <c r="QDY127" s="751"/>
      <c r="QDZ127" s="751"/>
      <c r="QEA127" s="751"/>
      <c r="QEB127" s="751"/>
      <c r="QEC127" s="751"/>
      <c r="QED127" s="751"/>
      <c r="QEE127" s="751"/>
      <c r="QEF127" s="751"/>
      <c r="QEG127" s="751"/>
      <c r="QEH127" s="751"/>
      <c r="QEI127" s="751"/>
      <c r="QEJ127" s="751"/>
      <c r="QEK127" s="751"/>
      <c r="QEL127" s="751"/>
      <c r="QEM127" s="751"/>
      <c r="QEN127" s="751"/>
      <c r="QEO127" s="751"/>
      <c r="QEP127" s="751"/>
      <c r="QEQ127" s="751"/>
      <c r="QER127" s="751"/>
      <c r="QES127" s="751"/>
      <c r="QET127" s="751"/>
      <c r="QEU127" s="751"/>
      <c r="QEV127" s="751"/>
      <c r="QEW127" s="751"/>
      <c r="QEX127" s="751"/>
      <c r="QEY127" s="751"/>
      <c r="QEZ127" s="751"/>
      <c r="QFA127" s="751"/>
      <c r="QFB127" s="751"/>
      <c r="QFC127" s="751"/>
      <c r="QFD127" s="751"/>
      <c r="QFE127" s="751"/>
      <c r="QFF127" s="751"/>
      <c r="QFG127" s="751"/>
      <c r="QFH127" s="751"/>
      <c r="QFI127" s="751"/>
      <c r="QFJ127" s="751"/>
      <c r="QFK127" s="751"/>
      <c r="QFL127" s="751"/>
      <c r="QFM127" s="751"/>
      <c r="QFN127" s="751"/>
      <c r="QFO127" s="751"/>
      <c r="QFP127" s="751"/>
      <c r="QFQ127" s="751"/>
      <c r="QFR127" s="751"/>
      <c r="QFS127" s="751"/>
      <c r="QFT127" s="751"/>
      <c r="QFU127" s="751"/>
      <c r="QFV127" s="751"/>
      <c r="QFW127" s="751"/>
      <c r="QFX127" s="751"/>
      <c r="QFY127" s="751"/>
      <c r="QFZ127" s="751"/>
      <c r="QGA127" s="751"/>
      <c r="QGB127" s="751"/>
      <c r="QGC127" s="751"/>
      <c r="QGD127" s="751"/>
      <c r="QGE127" s="751"/>
      <c r="QGF127" s="751"/>
      <c r="QGG127" s="751"/>
      <c r="QGH127" s="751"/>
      <c r="QGI127" s="751"/>
      <c r="QGJ127" s="751"/>
      <c r="QGK127" s="751"/>
      <c r="QGL127" s="751"/>
      <c r="QGM127" s="751"/>
      <c r="QGN127" s="751"/>
      <c r="QGO127" s="751"/>
      <c r="QGP127" s="751"/>
      <c r="QGQ127" s="751"/>
      <c r="QGR127" s="751"/>
      <c r="QGS127" s="751"/>
      <c r="QGT127" s="751"/>
      <c r="QGU127" s="751"/>
      <c r="QGV127" s="751"/>
      <c r="QGW127" s="751"/>
      <c r="QGX127" s="751"/>
      <c r="QGY127" s="751"/>
      <c r="QGZ127" s="751"/>
      <c r="QHA127" s="751"/>
      <c r="QHB127" s="751"/>
      <c r="QHC127" s="751"/>
      <c r="QHD127" s="751"/>
      <c r="QHE127" s="751"/>
      <c r="QHF127" s="751"/>
      <c r="QHG127" s="751"/>
      <c r="QHH127" s="751"/>
      <c r="QHI127" s="751"/>
      <c r="QHJ127" s="751"/>
      <c r="QHK127" s="751"/>
      <c r="QHL127" s="751"/>
      <c r="QHM127" s="751"/>
      <c r="QHN127" s="751"/>
      <c r="QHO127" s="751"/>
      <c r="QHP127" s="751"/>
      <c r="QHQ127" s="751"/>
      <c r="QHR127" s="751"/>
      <c r="QHS127" s="751"/>
      <c r="QHT127" s="751"/>
      <c r="QHU127" s="751"/>
      <c r="QHV127" s="751"/>
      <c r="QHW127" s="751"/>
      <c r="QHX127" s="751"/>
      <c r="QHY127" s="751"/>
      <c r="QHZ127" s="751"/>
      <c r="QIA127" s="751"/>
      <c r="QIB127" s="751"/>
      <c r="QIC127" s="751"/>
      <c r="QID127" s="751"/>
      <c r="QIE127" s="751"/>
      <c r="QIF127" s="751"/>
      <c r="QIG127" s="751"/>
      <c r="QIH127" s="751"/>
      <c r="QII127" s="751"/>
      <c r="QIJ127" s="751"/>
      <c r="QIK127" s="751"/>
      <c r="QIL127" s="751"/>
      <c r="QIM127" s="751"/>
      <c r="QIN127" s="751"/>
      <c r="QIO127" s="751"/>
      <c r="QIP127" s="751"/>
      <c r="QIQ127" s="751"/>
      <c r="QIR127" s="751"/>
      <c r="QIS127" s="751"/>
      <c r="QIT127" s="751"/>
      <c r="QIU127" s="751"/>
      <c r="QIV127" s="751"/>
      <c r="QIW127" s="751"/>
      <c r="QIX127" s="751"/>
      <c r="QIY127" s="751"/>
      <c r="QIZ127" s="751"/>
      <c r="QJA127" s="751"/>
      <c r="QJB127" s="751"/>
      <c r="QJC127" s="751"/>
      <c r="QJD127" s="751"/>
      <c r="QJE127" s="751"/>
      <c r="QJF127" s="751"/>
      <c r="QJG127" s="751"/>
      <c r="QJH127" s="751"/>
      <c r="QJI127" s="751"/>
      <c r="QJJ127" s="751"/>
      <c r="QJK127" s="751"/>
      <c r="QJL127" s="751"/>
      <c r="QJM127" s="751"/>
      <c r="QJN127" s="751"/>
      <c r="QJO127" s="751"/>
      <c r="QJP127" s="751"/>
      <c r="QJQ127" s="751"/>
      <c r="QJR127" s="751"/>
      <c r="QJS127" s="751"/>
      <c r="QJT127" s="751"/>
      <c r="QJU127" s="751"/>
      <c r="QJV127" s="751"/>
      <c r="QJW127" s="751"/>
      <c r="QJX127" s="751"/>
      <c r="QJY127" s="751"/>
      <c r="QJZ127" s="751"/>
      <c r="QKA127" s="751"/>
      <c r="QKB127" s="751"/>
      <c r="QKC127" s="751"/>
      <c r="QKD127" s="751"/>
      <c r="QKE127" s="751"/>
      <c r="QKF127" s="751"/>
      <c r="QKG127" s="751"/>
      <c r="QKH127" s="751"/>
      <c r="QKI127" s="751"/>
      <c r="QKJ127" s="751"/>
      <c r="QKK127" s="751"/>
      <c r="QKL127" s="751"/>
      <c r="QKM127" s="751"/>
      <c r="QKN127" s="751"/>
      <c r="QKO127" s="751"/>
      <c r="QKP127" s="751"/>
      <c r="QKQ127" s="751"/>
      <c r="QKR127" s="751"/>
      <c r="QKS127" s="751"/>
      <c r="QKT127" s="751"/>
      <c r="QKU127" s="751"/>
      <c r="QKV127" s="751"/>
      <c r="QKW127" s="751"/>
      <c r="QKX127" s="751"/>
      <c r="QKY127" s="751"/>
      <c r="QKZ127" s="751"/>
      <c r="QLA127" s="751"/>
      <c r="QLB127" s="751"/>
      <c r="QLC127" s="751"/>
      <c r="QLD127" s="751"/>
      <c r="QLE127" s="751"/>
      <c r="QLF127" s="751"/>
      <c r="QLG127" s="751"/>
      <c r="QLH127" s="751"/>
      <c r="QLI127" s="751"/>
      <c r="QLJ127" s="751"/>
      <c r="QLK127" s="751"/>
      <c r="QLL127" s="751"/>
      <c r="QLM127" s="751"/>
      <c r="QLN127" s="751"/>
      <c r="QLO127" s="751"/>
      <c r="QLP127" s="751"/>
      <c r="QLQ127" s="751"/>
      <c r="QLR127" s="751"/>
      <c r="QLS127" s="751"/>
      <c r="QLT127" s="751"/>
      <c r="QLU127" s="751"/>
      <c r="QLV127" s="751"/>
      <c r="QLW127" s="751"/>
      <c r="QLX127" s="751"/>
      <c r="QLY127" s="751"/>
      <c r="QLZ127" s="751"/>
      <c r="QMA127" s="751"/>
      <c r="QMB127" s="751"/>
      <c r="QMC127" s="751"/>
      <c r="QMD127" s="751"/>
      <c r="QME127" s="751"/>
      <c r="QMF127" s="751"/>
      <c r="QMG127" s="751"/>
      <c r="QMH127" s="751"/>
      <c r="QMI127" s="751"/>
      <c r="QMJ127" s="751"/>
      <c r="QMK127" s="751"/>
      <c r="QML127" s="751"/>
      <c r="QMM127" s="751"/>
      <c r="QMN127" s="751"/>
      <c r="QMO127" s="751"/>
      <c r="QMP127" s="751"/>
      <c r="QMQ127" s="751"/>
      <c r="QMR127" s="751"/>
      <c r="QMS127" s="751"/>
      <c r="QMT127" s="751"/>
      <c r="QMU127" s="751"/>
      <c r="QMV127" s="751"/>
      <c r="QMW127" s="751"/>
      <c r="QMX127" s="751"/>
      <c r="QMY127" s="751"/>
      <c r="QMZ127" s="751"/>
      <c r="QNA127" s="751"/>
      <c r="QNB127" s="751"/>
      <c r="QNC127" s="751"/>
      <c r="QND127" s="751"/>
      <c r="QNE127" s="751"/>
      <c r="QNF127" s="751"/>
      <c r="QNG127" s="751"/>
      <c r="QNH127" s="751"/>
      <c r="QNI127" s="751"/>
      <c r="QNJ127" s="751"/>
      <c r="QNK127" s="751"/>
      <c r="QNL127" s="751"/>
      <c r="QNM127" s="751"/>
      <c r="QNN127" s="751"/>
      <c r="QNO127" s="751"/>
      <c r="QNP127" s="751"/>
      <c r="QNQ127" s="751"/>
      <c r="QNR127" s="751"/>
      <c r="QNS127" s="751"/>
      <c r="QNT127" s="751"/>
      <c r="QNU127" s="751"/>
      <c r="QNV127" s="751"/>
      <c r="QNW127" s="751"/>
      <c r="QNX127" s="751"/>
      <c r="QNY127" s="751"/>
      <c r="QNZ127" s="751"/>
      <c r="QOA127" s="751"/>
      <c r="QOB127" s="751"/>
      <c r="QOC127" s="751"/>
      <c r="QOD127" s="751"/>
      <c r="QOE127" s="751"/>
      <c r="QOF127" s="751"/>
      <c r="QOG127" s="751"/>
      <c r="QOH127" s="751"/>
      <c r="QOI127" s="751"/>
      <c r="QOJ127" s="751"/>
      <c r="QOK127" s="751"/>
      <c r="QOL127" s="751"/>
      <c r="QOM127" s="751"/>
      <c r="QON127" s="751"/>
      <c r="QOO127" s="751"/>
      <c r="QOP127" s="751"/>
      <c r="QOQ127" s="751"/>
      <c r="QOR127" s="751"/>
      <c r="QOS127" s="751"/>
      <c r="QOT127" s="751"/>
      <c r="QOU127" s="751"/>
      <c r="QOV127" s="751"/>
      <c r="QOW127" s="751"/>
      <c r="QOX127" s="751"/>
      <c r="QOY127" s="751"/>
      <c r="QOZ127" s="751"/>
      <c r="QPA127" s="751"/>
      <c r="QPB127" s="751"/>
      <c r="QPC127" s="751"/>
      <c r="QPD127" s="751"/>
      <c r="QPE127" s="751"/>
      <c r="QPF127" s="751"/>
      <c r="QPG127" s="751"/>
      <c r="QPH127" s="751"/>
      <c r="QPI127" s="751"/>
      <c r="QPJ127" s="751"/>
      <c r="QPK127" s="751"/>
      <c r="QPL127" s="751"/>
      <c r="QPM127" s="751"/>
      <c r="QPN127" s="751"/>
      <c r="QPO127" s="751"/>
      <c r="QPP127" s="751"/>
      <c r="QPQ127" s="751"/>
      <c r="QPR127" s="751"/>
      <c r="QPS127" s="751"/>
      <c r="QPT127" s="751"/>
      <c r="QPU127" s="751"/>
      <c r="QPV127" s="751"/>
      <c r="QPW127" s="751"/>
      <c r="QPX127" s="751"/>
      <c r="QPY127" s="751"/>
      <c r="QPZ127" s="751"/>
      <c r="QQA127" s="751"/>
      <c r="QQB127" s="751"/>
      <c r="QQC127" s="751"/>
      <c r="QQD127" s="751"/>
      <c r="QQE127" s="751"/>
      <c r="QQF127" s="751"/>
      <c r="QQG127" s="751"/>
      <c r="QQH127" s="751"/>
      <c r="QQI127" s="751"/>
      <c r="QQJ127" s="751"/>
      <c r="QQK127" s="751"/>
      <c r="QQL127" s="751"/>
      <c r="QQM127" s="751"/>
      <c r="QQN127" s="751"/>
      <c r="QQO127" s="751"/>
      <c r="QQP127" s="751"/>
      <c r="QQQ127" s="751"/>
      <c r="QQR127" s="751"/>
      <c r="QQS127" s="751"/>
      <c r="QQT127" s="751"/>
      <c r="QQU127" s="751"/>
      <c r="QQV127" s="751"/>
      <c r="QQW127" s="751"/>
      <c r="QQX127" s="751"/>
      <c r="QQY127" s="751"/>
      <c r="QQZ127" s="751"/>
      <c r="QRA127" s="751"/>
      <c r="QRB127" s="751"/>
      <c r="QRC127" s="751"/>
      <c r="QRD127" s="751"/>
      <c r="QRE127" s="751"/>
      <c r="QRF127" s="751"/>
      <c r="QRG127" s="751"/>
      <c r="QRH127" s="751"/>
      <c r="QRI127" s="751"/>
      <c r="QRJ127" s="751"/>
      <c r="QRK127" s="751"/>
      <c r="QRL127" s="751"/>
      <c r="QRM127" s="751"/>
      <c r="QRN127" s="751"/>
      <c r="QRO127" s="751"/>
      <c r="QRP127" s="751"/>
      <c r="QRQ127" s="751"/>
      <c r="QRR127" s="751"/>
      <c r="QRS127" s="751"/>
      <c r="QRT127" s="751"/>
      <c r="QRU127" s="751"/>
      <c r="QRV127" s="751"/>
      <c r="QRW127" s="751"/>
      <c r="QRX127" s="751"/>
      <c r="QRY127" s="751"/>
      <c r="QRZ127" s="751"/>
      <c r="QSA127" s="751"/>
      <c r="QSB127" s="751"/>
      <c r="QSC127" s="751"/>
      <c r="QSD127" s="751"/>
      <c r="QSE127" s="751"/>
      <c r="QSF127" s="751"/>
      <c r="QSG127" s="751"/>
      <c r="QSH127" s="751"/>
      <c r="QSI127" s="751"/>
      <c r="QSJ127" s="751"/>
      <c r="QSK127" s="751"/>
      <c r="QSL127" s="751"/>
      <c r="QSM127" s="751"/>
      <c r="QSN127" s="751"/>
      <c r="QSO127" s="751"/>
      <c r="QSP127" s="751"/>
      <c r="QSQ127" s="751"/>
      <c r="QSR127" s="751"/>
      <c r="QSS127" s="751"/>
      <c r="QST127" s="751"/>
      <c r="QSU127" s="751"/>
      <c r="QSV127" s="751"/>
      <c r="QSW127" s="751"/>
      <c r="QSX127" s="751"/>
      <c r="QSY127" s="751"/>
      <c r="QSZ127" s="751"/>
      <c r="QTA127" s="751"/>
      <c r="QTB127" s="751"/>
      <c r="QTC127" s="751"/>
      <c r="QTD127" s="751"/>
      <c r="QTE127" s="751"/>
      <c r="QTF127" s="751"/>
      <c r="QTG127" s="751"/>
      <c r="QTH127" s="751"/>
      <c r="QTI127" s="751"/>
      <c r="QTJ127" s="751"/>
      <c r="QTK127" s="751"/>
      <c r="QTL127" s="751"/>
      <c r="QTM127" s="751"/>
      <c r="QTN127" s="751"/>
      <c r="QTO127" s="751"/>
      <c r="QTP127" s="751"/>
      <c r="QTQ127" s="751"/>
      <c r="QTR127" s="751"/>
      <c r="QTS127" s="751"/>
      <c r="QTT127" s="751"/>
      <c r="QTU127" s="751"/>
      <c r="QTV127" s="751"/>
      <c r="QTW127" s="751"/>
      <c r="QTX127" s="751"/>
      <c r="QTY127" s="751"/>
      <c r="QTZ127" s="751"/>
      <c r="QUA127" s="751"/>
      <c r="QUB127" s="751"/>
      <c r="QUC127" s="751"/>
      <c r="QUD127" s="751"/>
      <c r="QUE127" s="751"/>
      <c r="QUF127" s="751"/>
      <c r="QUG127" s="751"/>
      <c r="QUH127" s="751"/>
      <c r="QUI127" s="751"/>
      <c r="QUJ127" s="751"/>
      <c r="QUK127" s="751"/>
      <c r="QUL127" s="751"/>
      <c r="QUM127" s="751"/>
      <c r="QUN127" s="751"/>
      <c r="QUO127" s="751"/>
      <c r="QUP127" s="751"/>
      <c r="QUQ127" s="751"/>
      <c r="QUR127" s="751"/>
      <c r="QUS127" s="751"/>
      <c r="QUT127" s="751"/>
      <c r="QUU127" s="751"/>
      <c r="QUV127" s="751"/>
      <c r="QUW127" s="751"/>
      <c r="QUX127" s="751"/>
      <c r="QUY127" s="751"/>
      <c r="QUZ127" s="751"/>
      <c r="QVA127" s="751"/>
      <c r="QVB127" s="751"/>
      <c r="QVC127" s="751"/>
      <c r="QVD127" s="751"/>
      <c r="QVE127" s="751"/>
      <c r="QVF127" s="751"/>
      <c r="QVG127" s="751"/>
      <c r="QVH127" s="751"/>
      <c r="QVI127" s="751"/>
      <c r="QVJ127" s="751"/>
      <c r="QVK127" s="751"/>
      <c r="QVL127" s="751"/>
      <c r="QVM127" s="751"/>
      <c r="QVN127" s="751"/>
      <c r="QVO127" s="751"/>
      <c r="QVP127" s="751"/>
      <c r="QVQ127" s="751"/>
      <c r="QVR127" s="751"/>
      <c r="QVS127" s="751"/>
      <c r="QVT127" s="751"/>
      <c r="QVU127" s="751"/>
      <c r="QVV127" s="751"/>
      <c r="QVW127" s="751"/>
      <c r="QVX127" s="751"/>
      <c r="QVY127" s="751"/>
      <c r="QVZ127" s="751"/>
      <c r="QWA127" s="751"/>
      <c r="QWB127" s="751"/>
      <c r="QWC127" s="751"/>
      <c r="QWD127" s="751"/>
      <c r="QWE127" s="751"/>
      <c r="QWF127" s="751"/>
      <c r="QWG127" s="751"/>
      <c r="QWH127" s="751"/>
      <c r="QWI127" s="751"/>
      <c r="QWJ127" s="751"/>
      <c r="QWK127" s="751"/>
      <c r="QWL127" s="751"/>
      <c r="QWM127" s="751"/>
      <c r="QWN127" s="751"/>
      <c r="QWO127" s="751"/>
      <c r="QWP127" s="751"/>
      <c r="QWQ127" s="751"/>
      <c r="QWR127" s="751"/>
      <c r="QWS127" s="751"/>
      <c r="QWT127" s="751"/>
      <c r="QWU127" s="751"/>
      <c r="QWV127" s="751"/>
      <c r="QWW127" s="751"/>
      <c r="QWX127" s="751"/>
      <c r="QWY127" s="751"/>
      <c r="QWZ127" s="751"/>
      <c r="QXA127" s="751"/>
      <c r="QXB127" s="751"/>
      <c r="QXC127" s="751"/>
      <c r="QXD127" s="751"/>
      <c r="QXE127" s="751"/>
      <c r="QXF127" s="751"/>
      <c r="QXG127" s="751"/>
      <c r="QXH127" s="751"/>
      <c r="QXI127" s="751"/>
      <c r="QXJ127" s="751"/>
      <c r="QXK127" s="751"/>
      <c r="QXL127" s="751"/>
      <c r="QXM127" s="751"/>
      <c r="QXN127" s="751"/>
      <c r="QXO127" s="751"/>
      <c r="QXP127" s="751"/>
      <c r="QXQ127" s="751"/>
      <c r="QXR127" s="751"/>
      <c r="QXS127" s="751"/>
      <c r="QXT127" s="751"/>
      <c r="QXU127" s="751"/>
      <c r="QXV127" s="751"/>
      <c r="QXW127" s="751"/>
      <c r="QXX127" s="751"/>
      <c r="QXY127" s="751"/>
      <c r="QXZ127" s="751"/>
      <c r="QYA127" s="751"/>
      <c r="QYB127" s="751"/>
      <c r="QYC127" s="751"/>
      <c r="QYD127" s="751"/>
      <c r="QYE127" s="751"/>
      <c r="QYF127" s="751"/>
      <c r="QYG127" s="751"/>
      <c r="QYH127" s="751"/>
      <c r="QYI127" s="751"/>
      <c r="QYJ127" s="751"/>
      <c r="QYK127" s="751"/>
      <c r="QYL127" s="751"/>
      <c r="QYM127" s="751"/>
      <c r="QYN127" s="751"/>
      <c r="QYO127" s="751"/>
      <c r="QYP127" s="751"/>
      <c r="QYQ127" s="751"/>
      <c r="QYR127" s="751"/>
      <c r="QYS127" s="751"/>
      <c r="QYT127" s="751"/>
      <c r="QYU127" s="751"/>
      <c r="QYV127" s="751"/>
      <c r="QYW127" s="751"/>
      <c r="QYX127" s="751"/>
      <c r="QYY127" s="751"/>
      <c r="QYZ127" s="751"/>
      <c r="QZA127" s="751"/>
      <c r="QZB127" s="751"/>
      <c r="QZC127" s="751"/>
      <c r="QZD127" s="751"/>
      <c r="QZE127" s="751"/>
      <c r="QZF127" s="751"/>
      <c r="QZG127" s="751"/>
      <c r="QZH127" s="751"/>
      <c r="QZI127" s="751"/>
      <c r="QZJ127" s="751"/>
      <c r="QZK127" s="751"/>
      <c r="QZL127" s="751"/>
      <c r="QZM127" s="751"/>
      <c r="QZN127" s="751"/>
      <c r="QZO127" s="751"/>
      <c r="QZP127" s="751"/>
      <c r="QZQ127" s="751"/>
      <c r="QZR127" s="751"/>
      <c r="QZS127" s="751"/>
      <c r="QZT127" s="751"/>
      <c r="QZU127" s="751"/>
      <c r="QZV127" s="751"/>
      <c r="QZW127" s="751"/>
      <c r="QZX127" s="751"/>
      <c r="QZY127" s="751"/>
      <c r="QZZ127" s="751"/>
      <c r="RAA127" s="751"/>
      <c r="RAB127" s="751"/>
      <c r="RAC127" s="751"/>
      <c r="RAD127" s="751"/>
      <c r="RAE127" s="751"/>
      <c r="RAF127" s="751"/>
      <c r="RAG127" s="751"/>
      <c r="RAH127" s="751"/>
      <c r="RAI127" s="751"/>
      <c r="RAJ127" s="751"/>
      <c r="RAK127" s="751"/>
      <c r="RAL127" s="751"/>
      <c r="RAM127" s="751"/>
      <c r="RAN127" s="751"/>
      <c r="RAO127" s="751"/>
      <c r="RAP127" s="751"/>
      <c r="RAQ127" s="751"/>
      <c r="RAR127" s="751"/>
      <c r="RAS127" s="751"/>
      <c r="RAT127" s="751"/>
      <c r="RAU127" s="751"/>
      <c r="RAV127" s="751"/>
      <c r="RAW127" s="751"/>
      <c r="RAX127" s="751"/>
      <c r="RAY127" s="751"/>
      <c r="RAZ127" s="751"/>
      <c r="RBA127" s="751"/>
      <c r="RBB127" s="751"/>
      <c r="RBC127" s="751"/>
      <c r="RBD127" s="751"/>
      <c r="RBE127" s="751"/>
      <c r="RBF127" s="751"/>
      <c r="RBG127" s="751"/>
      <c r="RBH127" s="751"/>
      <c r="RBI127" s="751"/>
      <c r="RBJ127" s="751"/>
      <c r="RBK127" s="751"/>
      <c r="RBL127" s="751"/>
      <c r="RBM127" s="751"/>
      <c r="RBN127" s="751"/>
      <c r="RBO127" s="751"/>
      <c r="RBP127" s="751"/>
      <c r="RBQ127" s="751"/>
      <c r="RBR127" s="751"/>
      <c r="RBS127" s="751"/>
      <c r="RBT127" s="751"/>
      <c r="RBU127" s="751"/>
      <c r="RBV127" s="751"/>
      <c r="RBW127" s="751"/>
      <c r="RBX127" s="751"/>
      <c r="RBY127" s="751"/>
      <c r="RBZ127" s="751"/>
      <c r="RCA127" s="751"/>
      <c r="RCB127" s="751"/>
      <c r="RCC127" s="751"/>
      <c r="RCD127" s="751"/>
      <c r="RCE127" s="751"/>
      <c r="RCF127" s="751"/>
      <c r="RCG127" s="751"/>
      <c r="RCH127" s="751"/>
      <c r="RCI127" s="751"/>
      <c r="RCJ127" s="751"/>
      <c r="RCK127" s="751"/>
      <c r="RCL127" s="751"/>
      <c r="RCM127" s="751"/>
      <c r="RCN127" s="751"/>
      <c r="RCO127" s="751"/>
      <c r="RCP127" s="751"/>
      <c r="RCQ127" s="751"/>
      <c r="RCR127" s="751"/>
      <c r="RCS127" s="751"/>
      <c r="RCT127" s="751"/>
      <c r="RCU127" s="751"/>
      <c r="RCV127" s="751"/>
      <c r="RCW127" s="751"/>
      <c r="RCX127" s="751"/>
      <c r="RCY127" s="751"/>
      <c r="RCZ127" s="751"/>
      <c r="RDA127" s="751"/>
      <c r="RDB127" s="751"/>
      <c r="RDC127" s="751"/>
      <c r="RDD127" s="751"/>
      <c r="RDE127" s="751"/>
      <c r="RDF127" s="751"/>
      <c r="RDG127" s="751"/>
      <c r="RDH127" s="751"/>
      <c r="RDI127" s="751"/>
      <c r="RDJ127" s="751"/>
      <c r="RDK127" s="751"/>
      <c r="RDL127" s="751"/>
      <c r="RDM127" s="751"/>
      <c r="RDN127" s="751"/>
      <c r="RDO127" s="751"/>
      <c r="RDP127" s="751"/>
      <c r="RDQ127" s="751"/>
      <c r="RDR127" s="751"/>
      <c r="RDS127" s="751"/>
      <c r="RDT127" s="751"/>
      <c r="RDU127" s="751"/>
      <c r="RDV127" s="751"/>
      <c r="RDW127" s="751"/>
      <c r="RDX127" s="751"/>
      <c r="RDY127" s="751"/>
      <c r="RDZ127" s="751"/>
      <c r="REA127" s="751"/>
      <c r="REB127" s="751"/>
      <c r="REC127" s="751"/>
      <c r="RED127" s="751"/>
      <c r="REE127" s="751"/>
      <c r="REF127" s="751"/>
      <c r="REG127" s="751"/>
      <c r="REH127" s="751"/>
      <c r="REI127" s="751"/>
      <c r="REJ127" s="751"/>
      <c r="REK127" s="751"/>
      <c r="REL127" s="751"/>
      <c r="REM127" s="751"/>
      <c r="REN127" s="751"/>
      <c r="REO127" s="751"/>
      <c r="REP127" s="751"/>
      <c r="REQ127" s="751"/>
      <c r="RER127" s="751"/>
      <c r="RES127" s="751"/>
      <c r="RET127" s="751"/>
      <c r="REU127" s="751"/>
      <c r="REV127" s="751"/>
      <c r="REW127" s="751"/>
      <c r="REX127" s="751"/>
      <c r="REY127" s="751"/>
      <c r="REZ127" s="751"/>
      <c r="RFA127" s="751"/>
      <c r="RFB127" s="751"/>
      <c r="RFC127" s="751"/>
      <c r="RFD127" s="751"/>
      <c r="RFE127" s="751"/>
      <c r="RFF127" s="751"/>
      <c r="RFG127" s="751"/>
      <c r="RFH127" s="751"/>
      <c r="RFI127" s="751"/>
      <c r="RFJ127" s="751"/>
      <c r="RFK127" s="751"/>
      <c r="RFL127" s="751"/>
      <c r="RFM127" s="751"/>
      <c r="RFN127" s="751"/>
      <c r="RFO127" s="751"/>
      <c r="RFP127" s="751"/>
      <c r="RFQ127" s="751"/>
      <c r="RFR127" s="751"/>
      <c r="RFS127" s="751"/>
      <c r="RFT127" s="751"/>
      <c r="RFU127" s="751"/>
      <c r="RFV127" s="751"/>
      <c r="RFW127" s="751"/>
      <c r="RFX127" s="751"/>
      <c r="RFY127" s="751"/>
      <c r="RFZ127" s="751"/>
      <c r="RGA127" s="751"/>
      <c r="RGB127" s="751"/>
      <c r="RGC127" s="751"/>
      <c r="RGD127" s="751"/>
      <c r="RGE127" s="751"/>
      <c r="RGF127" s="751"/>
      <c r="RGG127" s="751"/>
      <c r="RGH127" s="751"/>
      <c r="RGI127" s="751"/>
      <c r="RGJ127" s="751"/>
      <c r="RGK127" s="751"/>
      <c r="RGL127" s="751"/>
      <c r="RGM127" s="751"/>
      <c r="RGN127" s="751"/>
      <c r="RGO127" s="751"/>
      <c r="RGP127" s="751"/>
      <c r="RGQ127" s="751"/>
      <c r="RGR127" s="751"/>
      <c r="RGS127" s="751"/>
      <c r="RGT127" s="751"/>
      <c r="RGU127" s="751"/>
      <c r="RGV127" s="751"/>
      <c r="RGW127" s="751"/>
      <c r="RGX127" s="751"/>
      <c r="RGY127" s="751"/>
      <c r="RGZ127" s="751"/>
      <c r="RHA127" s="751"/>
      <c r="RHB127" s="751"/>
      <c r="RHC127" s="751"/>
      <c r="RHD127" s="751"/>
      <c r="RHE127" s="751"/>
      <c r="RHF127" s="751"/>
      <c r="RHG127" s="751"/>
      <c r="RHH127" s="751"/>
      <c r="RHI127" s="751"/>
      <c r="RHJ127" s="751"/>
      <c r="RHK127" s="751"/>
      <c r="RHL127" s="751"/>
      <c r="RHM127" s="751"/>
      <c r="RHN127" s="751"/>
      <c r="RHO127" s="751"/>
      <c r="RHP127" s="751"/>
      <c r="RHQ127" s="751"/>
      <c r="RHR127" s="751"/>
      <c r="RHS127" s="751"/>
      <c r="RHT127" s="751"/>
      <c r="RHU127" s="751"/>
      <c r="RHV127" s="751"/>
      <c r="RHW127" s="751"/>
      <c r="RHX127" s="751"/>
      <c r="RHY127" s="751"/>
      <c r="RHZ127" s="751"/>
      <c r="RIA127" s="751"/>
      <c r="RIB127" s="751"/>
      <c r="RIC127" s="751"/>
      <c r="RID127" s="751"/>
      <c r="RIE127" s="751"/>
      <c r="RIF127" s="751"/>
      <c r="RIG127" s="751"/>
      <c r="RIH127" s="751"/>
      <c r="RII127" s="751"/>
      <c r="RIJ127" s="751"/>
      <c r="RIK127" s="751"/>
      <c r="RIL127" s="751"/>
      <c r="RIM127" s="751"/>
      <c r="RIN127" s="751"/>
      <c r="RIO127" s="751"/>
      <c r="RIP127" s="751"/>
      <c r="RIQ127" s="751"/>
      <c r="RIR127" s="751"/>
      <c r="RIS127" s="751"/>
      <c r="RIT127" s="751"/>
      <c r="RIU127" s="751"/>
      <c r="RIV127" s="751"/>
      <c r="RIW127" s="751"/>
      <c r="RIX127" s="751"/>
      <c r="RIY127" s="751"/>
      <c r="RIZ127" s="751"/>
      <c r="RJA127" s="751"/>
      <c r="RJB127" s="751"/>
      <c r="RJC127" s="751"/>
      <c r="RJD127" s="751"/>
      <c r="RJE127" s="751"/>
      <c r="RJF127" s="751"/>
      <c r="RJG127" s="751"/>
      <c r="RJH127" s="751"/>
      <c r="RJI127" s="751"/>
      <c r="RJJ127" s="751"/>
      <c r="RJK127" s="751"/>
      <c r="RJL127" s="751"/>
      <c r="RJM127" s="751"/>
      <c r="RJN127" s="751"/>
      <c r="RJO127" s="751"/>
      <c r="RJP127" s="751"/>
      <c r="RJQ127" s="751"/>
      <c r="RJR127" s="751"/>
      <c r="RJS127" s="751"/>
      <c r="RJT127" s="751"/>
      <c r="RJU127" s="751"/>
      <c r="RJV127" s="751"/>
      <c r="RJW127" s="751"/>
      <c r="RJX127" s="751"/>
      <c r="RJY127" s="751"/>
      <c r="RJZ127" s="751"/>
      <c r="RKA127" s="751"/>
      <c r="RKB127" s="751"/>
      <c r="RKC127" s="751"/>
      <c r="RKD127" s="751"/>
      <c r="RKE127" s="751"/>
      <c r="RKF127" s="751"/>
      <c r="RKG127" s="751"/>
      <c r="RKH127" s="751"/>
      <c r="RKI127" s="751"/>
      <c r="RKJ127" s="751"/>
      <c r="RKK127" s="751"/>
      <c r="RKL127" s="751"/>
      <c r="RKM127" s="751"/>
      <c r="RKN127" s="751"/>
      <c r="RKO127" s="751"/>
      <c r="RKP127" s="751"/>
      <c r="RKQ127" s="751"/>
      <c r="RKR127" s="751"/>
      <c r="RKS127" s="751"/>
      <c r="RKT127" s="751"/>
      <c r="RKU127" s="751"/>
      <c r="RKV127" s="751"/>
      <c r="RKW127" s="751"/>
      <c r="RKX127" s="751"/>
      <c r="RKY127" s="751"/>
      <c r="RKZ127" s="751"/>
      <c r="RLA127" s="751"/>
      <c r="RLB127" s="751"/>
      <c r="RLC127" s="751"/>
      <c r="RLD127" s="751"/>
      <c r="RLE127" s="751"/>
      <c r="RLF127" s="751"/>
      <c r="RLG127" s="751"/>
      <c r="RLH127" s="751"/>
      <c r="RLI127" s="751"/>
      <c r="RLJ127" s="751"/>
      <c r="RLK127" s="751"/>
      <c r="RLL127" s="751"/>
      <c r="RLM127" s="751"/>
      <c r="RLN127" s="751"/>
      <c r="RLO127" s="751"/>
      <c r="RLP127" s="751"/>
      <c r="RLQ127" s="751"/>
      <c r="RLR127" s="751"/>
      <c r="RLS127" s="751"/>
      <c r="RLT127" s="751"/>
      <c r="RLU127" s="751"/>
      <c r="RLV127" s="751"/>
      <c r="RLW127" s="751"/>
      <c r="RLX127" s="751"/>
      <c r="RLY127" s="751"/>
      <c r="RLZ127" s="751"/>
      <c r="RMA127" s="751"/>
      <c r="RMB127" s="751"/>
      <c r="RMC127" s="751"/>
      <c r="RMD127" s="751"/>
      <c r="RME127" s="751"/>
      <c r="RMF127" s="751"/>
      <c r="RMG127" s="751"/>
      <c r="RMH127" s="751"/>
      <c r="RMI127" s="751"/>
      <c r="RMJ127" s="751"/>
      <c r="RMK127" s="751"/>
      <c r="RML127" s="751"/>
      <c r="RMM127" s="751"/>
      <c r="RMN127" s="751"/>
      <c r="RMO127" s="751"/>
      <c r="RMP127" s="751"/>
      <c r="RMQ127" s="751"/>
      <c r="RMR127" s="751"/>
      <c r="RMS127" s="751"/>
      <c r="RMT127" s="751"/>
      <c r="RMU127" s="751"/>
      <c r="RMV127" s="751"/>
      <c r="RMW127" s="751"/>
      <c r="RMX127" s="751"/>
      <c r="RMY127" s="751"/>
      <c r="RMZ127" s="751"/>
      <c r="RNA127" s="751"/>
      <c r="RNB127" s="751"/>
      <c r="RNC127" s="751"/>
      <c r="RND127" s="751"/>
      <c r="RNE127" s="751"/>
      <c r="RNF127" s="751"/>
      <c r="RNG127" s="751"/>
      <c r="RNH127" s="751"/>
      <c r="RNI127" s="751"/>
      <c r="RNJ127" s="751"/>
      <c r="RNK127" s="751"/>
      <c r="RNL127" s="751"/>
      <c r="RNM127" s="751"/>
      <c r="RNN127" s="751"/>
      <c r="RNO127" s="751"/>
      <c r="RNP127" s="751"/>
      <c r="RNQ127" s="751"/>
      <c r="RNR127" s="751"/>
      <c r="RNS127" s="751"/>
      <c r="RNT127" s="751"/>
      <c r="RNU127" s="751"/>
      <c r="RNV127" s="751"/>
      <c r="RNW127" s="751"/>
      <c r="RNX127" s="751"/>
      <c r="RNY127" s="751"/>
      <c r="RNZ127" s="751"/>
      <c r="ROA127" s="751"/>
      <c r="ROB127" s="751"/>
      <c r="ROC127" s="751"/>
      <c r="ROD127" s="751"/>
      <c r="ROE127" s="751"/>
      <c r="ROF127" s="751"/>
      <c r="ROG127" s="751"/>
      <c r="ROH127" s="751"/>
      <c r="ROI127" s="751"/>
      <c r="ROJ127" s="751"/>
      <c r="ROK127" s="751"/>
      <c r="ROL127" s="751"/>
      <c r="ROM127" s="751"/>
      <c r="RON127" s="751"/>
      <c r="ROO127" s="751"/>
      <c r="ROP127" s="751"/>
      <c r="ROQ127" s="751"/>
      <c r="ROR127" s="751"/>
      <c r="ROS127" s="751"/>
      <c r="ROT127" s="751"/>
      <c r="ROU127" s="751"/>
      <c r="ROV127" s="751"/>
      <c r="ROW127" s="751"/>
      <c r="ROX127" s="751"/>
      <c r="ROY127" s="751"/>
      <c r="ROZ127" s="751"/>
      <c r="RPA127" s="751"/>
      <c r="RPB127" s="751"/>
      <c r="RPC127" s="751"/>
      <c r="RPD127" s="751"/>
      <c r="RPE127" s="751"/>
      <c r="RPF127" s="751"/>
      <c r="RPG127" s="751"/>
      <c r="RPH127" s="751"/>
      <c r="RPI127" s="751"/>
      <c r="RPJ127" s="751"/>
      <c r="RPK127" s="751"/>
      <c r="RPL127" s="751"/>
      <c r="RPM127" s="751"/>
      <c r="RPN127" s="751"/>
      <c r="RPO127" s="751"/>
      <c r="RPP127" s="751"/>
      <c r="RPQ127" s="751"/>
      <c r="RPR127" s="751"/>
      <c r="RPS127" s="751"/>
      <c r="RPT127" s="751"/>
      <c r="RPU127" s="751"/>
      <c r="RPV127" s="751"/>
      <c r="RPW127" s="751"/>
      <c r="RPX127" s="751"/>
      <c r="RPY127" s="751"/>
      <c r="RPZ127" s="751"/>
      <c r="RQA127" s="751"/>
      <c r="RQB127" s="751"/>
      <c r="RQC127" s="751"/>
      <c r="RQD127" s="751"/>
      <c r="RQE127" s="751"/>
      <c r="RQF127" s="751"/>
      <c r="RQG127" s="751"/>
      <c r="RQH127" s="751"/>
      <c r="RQI127" s="751"/>
      <c r="RQJ127" s="751"/>
      <c r="RQK127" s="751"/>
      <c r="RQL127" s="751"/>
      <c r="RQM127" s="751"/>
      <c r="RQN127" s="751"/>
      <c r="RQO127" s="751"/>
      <c r="RQP127" s="751"/>
      <c r="RQQ127" s="751"/>
      <c r="RQR127" s="751"/>
      <c r="RQS127" s="751"/>
      <c r="RQT127" s="751"/>
      <c r="RQU127" s="751"/>
      <c r="RQV127" s="751"/>
      <c r="RQW127" s="751"/>
      <c r="RQX127" s="751"/>
      <c r="RQY127" s="751"/>
      <c r="RQZ127" s="751"/>
      <c r="RRA127" s="751"/>
      <c r="RRB127" s="751"/>
      <c r="RRC127" s="751"/>
      <c r="RRD127" s="751"/>
      <c r="RRE127" s="751"/>
      <c r="RRF127" s="751"/>
      <c r="RRG127" s="751"/>
      <c r="RRH127" s="751"/>
      <c r="RRI127" s="751"/>
      <c r="RRJ127" s="751"/>
      <c r="RRK127" s="751"/>
      <c r="RRL127" s="751"/>
      <c r="RRM127" s="751"/>
      <c r="RRN127" s="751"/>
      <c r="RRO127" s="751"/>
      <c r="RRP127" s="751"/>
      <c r="RRQ127" s="751"/>
      <c r="RRR127" s="751"/>
      <c r="RRS127" s="751"/>
      <c r="RRT127" s="751"/>
      <c r="RRU127" s="751"/>
      <c r="RRV127" s="751"/>
      <c r="RRW127" s="751"/>
      <c r="RRX127" s="751"/>
      <c r="RRY127" s="751"/>
      <c r="RRZ127" s="751"/>
      <c r="RSA127" s="751"/>
      <c r="RSB127" s="751"/>
      <c r="RSC127" s="751"/>
      <c r="RSD127" s="751"/>
      <c r="RSE127" s="751"/>
      <c r="RSF127" s="751"/>
      <c r="RSG127" s="751"/>
      <c r="RSH127" s="751"/>
      <c r="RSI127" s="751"/>
      <c r="RSJ127" s="751"/>
      <c r="RSK127" s="751"/>
      <c r="RSL127" s="751"/>
      <c r="RSM127" s="751"/>
      <c r="RSN127" s="751"/>
      <c r="RSO127" s="751"/>
      <c r="RSP127" s="751"/>
      <c r="RSQ127" s="751"/>
      <c r="RSR127" s="751"/>
      <c r="RSS127" s="751"/>
      <c r="RST127" s="751"/>
      <c r="RSU127" s="751"/>
      <c r="RSV127" s="751"/>
      <c r="RSW127" s="751"/>
      <c r="RSX127" s="751"/>
      <c r="RSY127" s="751"/>
      <c r="RSZ127" s="751"/>
      <c r="RTA127" s="751"/>
      <c r="RTB127" s="751"/>
      <c r="RTC127" s="751"/>
      <c r="RTD127" s="751"/>
      <c r="RTE127" s="751"/>
      <c r="RTF127" s="751"/>
      <c r="RTG127" s="751"/>
      <c r="RTH127" s="751"/>
      <c r="RTI127" s="751"/>
      <c r="RTJ127" s="751"/>
      <c r="RTK127" s="751"/>
      <c r="RTL127" s="751"/>
      <c r="RTM127" s="751"/>
      <c r="RTN127" s="751"/>
      <c r="RTO127" s="751"/>
      <c r="RTP127" s="751"/>
      <c r="RTQ127" s="751"/>
      <c r="RTR127" s="751"/>
      <c r="RTS127" s="751"/>
      <c r="RTT127" s="751"/>
      <c r="RTU127" s="751"/>
      <c r="RTV127" s="751"/>
      <c r="RTW127" s="751"/>
      <c r="RTX127" s="751"/>
      <c r="RTY127" s="751"/>
      <c r="RTZ127" s="751"/>
      <c r="RUA127" s="751"/>
      <c r="RUB127" s="751"/>
      <c r="RUC127" s="751"/>
      <c r="RUD127" s="751"/>
      <c r="RUE127" s="751"/>
      <c r="RUF127" s="751"/>
      <c r="RUG127" s="751"/>
      <c r="RUH127" s="751"/>
      <c r="RUI127" s="751"/>
      <c r="RUJ127" s="751"/>
      <c r="RUK127" s="751"/>
      <c r="RUL127" s="751"/>
      <c r="RUM127" s="751"/>
      <c r="RUN127" s="751"/>
      <c r="RUO127" s="751"/>
      <c r="RUP127" s="751"/>
      <c r="RUQ127" s="751"/>
      <c r="RUR127" s="751"/>
      <c r="RUS127" s="751"/>
      <c r="RUT127" s="751"/>
      <c r="RUU127" s="751"/>
      <c r="RUV127" s="751"/>
      <c r="RUW127" s="751"/>
      <c r="RUX127" s="751"/>
      <c r="RUY127" s="751"/>
      <c r="RUZ127" s="751"/>
      <c r="RVA127" s="751"/>
      <c r="RVB127" s="751"/>
      <c r="RVC127" s="751"/>
      <c r="RVD127" s="751"/>
      <c r="RVE127" s="751"/>
      <c r="RVF127" s="751"/>
      <c r="RVG127" s="751"/>
      <c r="RVH127" s="751"/>
      <c r="RVI127" s="751"/>
      <c r="RVJ127" s="751"/>
      <c r="RVK127" s="751"/>
      <c r="RVL127" s="751"/>
      <c r="RVM127" s="751"/>
      <c r="RVN127" s="751"/>
      <c r="RVO127" s="751"/>
      <c r="RVP127" s="751"/>
      <c r="RVQ127" s="751"/>
      <c r="RVR127" s="751"/>
      <c r="RVS127" s="751"/>
      <c r="RVT127" s="751"/>
      <c r="RVU127" s="751"/>
      <c r="RVV127" s="751"/>
      <c r="RVW127" s="751"/>
      <c r="RVX127" s="751"/>
      <c r="RVY127" s="751"/>
      <c r="RVZ127" s="751"/>
      <c r="RWA127" s="751"/>
      <c r="RWB127" s="751"/>
      <c r="RWC127" s="751"/>
      <c r="RWD127" s="751"/>
      <c r="RWE127" s="751"/>
      <c r="RWF127" s="751"/>
      <c r="RWG127" s="751"/>
      <c r="RWH127" s="751"/>
      <c r="RWI127" s="751"/>
      <c r="RWJ127" s="751"/>
      <c r="RWK127" s="751"/>
      <c r="RWL127" s="751"/>
      <c r="RWM127" s="751"/>
      <c r="RWN127" s="751"/>
      <c r="RWO127" s="751"/>
      <c r="RWP127" s="751"/>
      <c r="RWQ127" s="751"/>
      <c r="RWR127" s="751"/>
      <c r="RWS127" s="751"/>
      <c r="RWT127" s="751"/>
      <c r="RWU127" s="751"/>
      <c r="RWV127" s="751"/>
      <c r="RWW127" s="751"/>
      <c r="RWX127" s="751"/>
      <c r="RWY127" s="751"/>
      <c r="RWZ127" s="751"/>
      <c r="RXA127" s="751"/>
      <c r="RXB127" s="751"/>
      <c r="RXC127" s="751"/>
      <c r="RXD127" s="751"/>
      <c r="RXE127" s="751"/>
      <c r="RXF127" s="751"/>
      <c r="RXG127" s="751"/>
      <c r="RXH127" s="751"/>
      <c r="RXI127" s="751"/>
      <c r="RXJ127" s="751"/>
      <c r="RXK127" s="751"/>
      <c r="RXL127" s="751"/>
      <c r="RXM127" s="751"/>
      <c r="RXN127" s="751"/>
      <c r="RXO127" s="751"/>
      <c r="RXP127" s="751"/>
      <c r="RXQ127" s="751"/>
      <c r="RXR127" s="751"/>
      <c r="RXS127" s="751"/>
      <c r="RXT127" s="751"/>
      <c r="RXU127" s="751"/>
      <c r="RXV127" s="751"/>
      <c r="RXW127" s="751"/>
      <c r="RXX127" s="751"/>
      <c r="RXY127" s="751"/>
      <c r="RXZ127" s="751"/>
      <c r="RYA127" s="751"/>
      <c r="RYB127" s="751"/>
      <c r="RYC127" s="751"/>
      <c r="RYD127" s="751"/>
      <c r="RYE127" s="751"/>
      <c r="RYF127" s="751"/>
      <c r="RYG127" s="751"/>
      <c r="RYH127" s="751"/>
      <c r="RYI127" s="751"/>
      <c r="RYJ127" s="751"/>
      <c r="RYK127" s="751"/>
      <c r="RYL127" s="751"/>
      <c r="RYM127" s="751"/>
      <c r="RYN127" s="751"/>
      <c r="RYO127" s="751"/>
      <c r="RYP127" s="751"/>
      <c r="RYQ127" s="751"/>
      <c r="RYR127" s="751"/>
      <c r="RYS127" s="751"/>
      <c r="RYT127" s="751"/>
      <c r="RYU127" s="751"/>
      <c r="RYV127" s="751"/>
      <c r="RYW127" s="751"/>
      <c r="RYX127" s="751"/>
      <c r="RYY127" s="751"/>
      <c r="RYZ127" s="751"/>
      <c r="RZA127" s="751"/>
      <c r="RZB127" s="751"/>
      <c r="RZC127" s="751"/>
      <c r="RZD127" s="751"/>
      <c r="RZE127" s="751"/>
      <c r="RZF127" s="751"/>
      <c r="RZG127" s="751"/>
      <c r="RZH127" s="751"/>
      <c r="RZI127" s="751"/>
      <c r="RZJ127" s="751"/>
      <c r="RZK127" s="751"/>
      <c r="RZL127" s="751"/>
      <c r="RZM127" s="751"/>
      <c r="RZN127" s="751"/>
      <c r="RZO127" s="751"/>
      <c r="RZP127" s="751"/>
      <c r="RZQ127" s="751"/>
      <c r="RZR127" s="751"/>
      <c r="RZS127" s="751"/>
      <c r="RZT127" s="751"/>
      <c r="RZU127" s="751"/>
      <c r="RZV127" s="751"/>
      <c r="RZW127" s="751"/>
      <c r="RZX127" s="751"/>
      <c r="RZY127" s="751"/>
      <c r="RZZ127" s="751"/>
      <c r="SAA127" s="751"/>
      <c r="SAB127" s="751"/>
      <c r="SAC127" s="751"/>
      <c r="SAD127" s="751"/>
      <c r="SAE127" s="751"/>
      <c r="SAF127" s="751"/>
      <c r="SAG127" s="751"/>
      <c r="SAH127" s="751"/>
      <c r="SAI127" s="751"/>
      <c r="SAJ127" s="751"/>
      <c r="SAK127" s="751"/>
      <c r="SAL127" s="751"/>
      <c r="SAM127" s="751"/>
      <c r="SAN127" s="751"/>
      <c r="SAO127" s="751"/>
      <c r="SAP127" s="751"/>
      <c r="SAQ127" s="751"/>
      <c r="SAR127" s="751"/>
      <c r="SAS127" s="751"/>
      <c r="SAT127" s="751"/>
      <c r="SAU127" s="751"/>
      <c r="SAV127" s="751"/>
      <c r="SAW127" s="751"/>
      <c r="SAX127" s="751"/>
      <c r="SAY127" s="751"/>
      <c r="SAZ127" s="751"/>
      <c r="SBA127" s="751"/>
      <c r="SBB127" s="751"/>
      <c r="SBC127" s="751"/>
      <c r="SBD127" s="751"/>
      <c r="SBE127" s="751"/>
      <c r="SBF127" s="751"/>
      <c r="SBG127" s="751"/>
      <c r="SBH127" s="751"/>
      <c r="SBI127" s="751"/>
      <c r="SBJ127" s="751"/>
      <c r="SBK127" s="751"/>
      <c r="SBL127" s="751"/>
      <c r="SBM127" s="751"/>
      <c r="SBN127" s="751"/>
      <c r="SBO127" s="751"/>
      <c r="SBP127" s="751"/>
      <c r="SBQ127" s="751"/>
      <c r="SBR127" s="751"/>
      <c r="SBS127" s="751"/>
      <c r="SBT127" s="751"/>
      <c r="SBU127" s="751"/>
      <c r="SBV127" s="751"/>
      <c r="SBW127" s="751"/>
      <c r="SBX127" s="751"/>
      <c r="SBY127" s="751"/>
      <c r="SBZ127" s="751"/>
      <c r="SCA127" s="751"/>
      <c r="SCB127" s="751"/>
      <c r="SCC127" s="751"/>
      <c r="SCD127" s="751"/>
      <c r="SCE127" s="751"/>
      <c r="SCF127" s="751"/>
      <c r="SCG127" s="751"/>
      <c r="SCH127" s="751"/>
      <c r="SCI127" s="751"/>
      <c r="SCJ127" s="751"/>
      <c r="SCK127" s="751"/>
      <c r="SCL127" s="751"/>
      <c r="SCM127" s="751"/>
      <c r="SCN127" s="751"/>
      <c r="SCO127" s="751"/>
      <c r="SCP127" s="751"/>
      <c r="SCQ127" s="751"/>
      <c r="SCR127" s="751"/>
      <c r="SCS127" s="751"/>
      <c r="SCT127" s="751"/>
      <c r="SCU127" s="751"/>
      <c r="SCV127" s="751"/>
      <c r="SCW127" s="751"/>
      <c r="SCX127" s="751"/>
      <c r="SCY127" s="751"/>
      <c r="SCZ127" s="751"/>
      <c r="SDA127" s="751"/>
      <c r="SDB127" s="751"/>
      <c r="SDC127" s="751"/>
      <c r="SDD127" s="751"/>
      <c r="SDE127" s="751"/>
      <c r="SDF127" s="751"/>
      <c r="SDG127" s="751"/>
      <c r="SDH127" s="751"/>
      <c r="SDI127" s="751"/>
      <c r="SDJ127" s="751"/>
      <c r="SDK127" s="751"/>
      <c r="SDL127" s="751"/>
      <c r="SDM127" s="751"/>
      <c r="SDN127" s="751"/>
      <c r="SDO127" s="751"/>
      <c r="SDP127" s="751"/>
      <c r="SDQ127" s="751"/>
      <c r="SDR127" s="751"/>
      <c r="SDS127" s="751"/>
      <c r="SDT127" s="751"/>
      <c r="SDU127" s="751"/>
      <c r="SDV127" s="751"/>
      <c r="SDW127" s="751"/>
      <c r="SDX127" s="751"/>
      <c r="SDY127" s="751"/>
      <c r="SDZ127" s="751"/>
      <c r="SEA127" s="751"/>
      <c r="SEB127" s="751"/>
      <c r="SEC127" s="751"/>
      <c r="SED127" s="751"/>
      <c r="SEE127" s="751"/>
      <c r="SEF127" s="751"/>
      <c r="SEG127" s="751"/>
      <c r="SEH127" s="751"/>
      <c r="SEI127" s="751"/>
      <c r="SEJ127" s="751"/>
      <c r="SEK127" s="751"/>
      <c r="SEL127" s="751"/>
      <c r="SEM127" s="751"/>
      <c r="SEN127" s="751"/>
      <c r="SEO127" s="751"/>
      <c r="SEP127" s="751"/>
      <c r="SEQ127" s="751"/>
      <c r="SER127" s="751"/>
      <c r="SES127" s="751"/>
      <c r="SET127" s="751"/>
      <c r="SEU127" s="751"/>
      <c r="SEV127" s="751"/>
      <c r="SEW127" s="751"/>
      <c r="SEX127" s="751"/>
      <c r="SEY127" s="751"/>
      <c r="SEZ127" s="751"/>
      <c r="SFA127" s="751"/>
      <c r="SFB127" s="751"/>
      <c r="SFC127" s="751"/>
      <c r="SFD127" s="751"/>
      <c r="SFE127" s="751"/>
      <c r="SFF127" s="751"/>
      <c r="SFG127" s="751"/>
      <c r="SFH127" s="751"/>
      <c r="SFI127" s="751"/>
      <c r="SFJ127" s="751"/>
      <c r="SFK127" s="751"/>
      <c r="SFL127" s="751"/>
      <c r="SFM127" s="751"/>
      <c r="SFN127" s="751"/>
      <c r="SFO127" s="751"/>
      <c r="SFP127" s="751"/>
      <c r="SFQ127" s="751"/>
      <c r="SFR127" s="751"/>
      <c r="SFS127" s="751"/>
      <c r="SFT127" s="751"/>
      <c r="SFU127" s="751"/>
      <c r="SFV127" s="751"/>
      <c r="SFW127" s="751"/>
      <c r="SFX127" s="751"/>
      <c r="SFY127" s="751"/>
      <c r="SFZ127" s="751"/>
      <c r="SGA127" s="751"/>
      <c r="SGB127" s="751"/>
      <c r="SGC127" s="751"/>
      <c r="SGD127" s="751"/>
      <c r="SGE127" s="751"/>
      <c r="SGF127" s="751"/>
      <c r="SGG127" s="751"/>
      <c r="SGH127" s="751"/>
      <c r="SGI127" s="751"/>
      <c r="SGJ127" s="751"/>
      <c r="SGK127" s="751"/>
      <c r="SGL127" s="751"/>
      <c r="SGM127" s="751"/>
      <c r="SGN127" s="751"/>
      <c r="SGO127" s="751"/>
      <c r="SGP127" s="751"/>
      <c r="SGQ127" s="751"/>
      <c r="SGR127" s="751"/>
      <c r="SGS127" s="751"/>
      <c r="SGT127" s="751"/>
      <c r="SGU127" s="751"/>
      <c r="SGV127" s="751"/>
      <c r="SGW127" s="751"/>
      <c r="SGX127" s="751"/>
      <c r="SGY127" s="751"/>
      <c r="SGZ127" s="751"/>
      <c r="SHA127" s="751"/>
      <c r="SHB127" s="751"/>
      <c r="SHC127" s="751"/>
      <c r="SHD127" s="751"/>
      <c r="SHE127" s="751"/>
      <c r="SHF127" s="751"/>
      <c r="SHG127" s="751"/>
      <c r="SHH127" s="751"/>
      <c r="SHI127" s="751"/>
      <c r="SHJ127" s="751"/>
      <c r="SHK127" s="751"/>
      <c r="SHL127" s="751"/>
      <c r="SHM127" s="751"/>
      <c r="SHN127" s="751"/>
      <c r="SHO127" s="751"/>
      <c r="SHP127" s="751"/>
      <c r="SHQ127" s="751"/>
      <c r="SHR127" s="751"/>
      <c r="SHS127" s="751"/>
      <c r="SHT127" s="751"/>
      <c r="SHU127" s="751"/>
      <c r="SHV127" s="751"/>
      <c r="SHW127" s="751"/>
      <c r="SHX127" s="751"/>
      <c r="SHY127" s="751"/>
      <c r="SHZ127" s="751"/>
      <c r="SIA127" s="751"/>
      <c r="SIB127" s="751"/>
      <c r="SIC127" s="751"/>
      <c r="SID127" s="751"/>
      <c r="SIE127" s="751"/>
      <c r="SIF127" s="751"/>
      <c r="SIG127" s="751"/>
      <c r="SIH127" s="751"/>
      <c r="SII127" s="751"/>
      <c r="SIJ127" s="751"/>
      <c r="SIK127" s="751"/>
      <c r="SIL127" s="751"/>
      <c r="SIM127" s="751"/>
      <c r="SIN127" s="751"/>
      <c r="SIO127" s="751"/>
      <c r="SIP127" s="751"/>
      <c r="SIQ127" s="751"/>
      <c r="SIR127" s="751"/>
      <c r="SIS127" s="751"/>
      <c r="SIT127" s="751"/>
      <c r="SIU127" s="751"/>
      <c r="SIV127" s="751"/>
      <c r="SIW127" s="751"/>
      <c r="SIX127" s="751"/>
      <c r="SIY127" s="751"/>
      <c r="SIZ127" s="751"/>
      <c r="SJA127" s="751"/>
      <c r="SJB127" s="751"/>
      <c r="SJC127" s="751"/>
      <c r="SJD127" s="751"/>
      <c r="SJE127" s="751"/>
      <c r="SJF127" s="751"/>
      <c r="SJG127" s="751"/>
      <c r="SJH127" s="751"/>
      <c r="SJI127" s="751"/>
      <c r="SJJ127" s="751"/>
      <c r="SJK127" s="751"/>
      <c r="SJL127" s="751"/>
      <c r="SJM127" s="751"/>
      <c r="SJN127" s="751"/>
      <c r="SJO127" s="751"/>
      <c r="SJP127" s="751"/>
      <c r="SJQ127" s="751"/>
      <c r="SJR127" s="751"/>
      <c r="SJS127" s="751"/>
      <c r="SJT127" s="751"/>
      <c r="SJU127" s="751"/>
      <c r="SJV127" s="751"/>
      <c r="SJW127" s="751"/>
      <c r="SJX127" s="751"/>
      <c r="SJY127" s="751"/>
      <c r="SJZ127" s="751"/>
      <c r="SKA127" s="751"/>
      <c r="SKB127" s="751"/>
      <c r="SKC127" s="751"/>
      <c r="SKD127" s="751"/>
      <c r="SKE127" s="751"/>
      <c r="SKF127" s="751"/>
      <c r="SKG127" s="751"/>
      <c r="SKH127" s="751"/>
      <c r="SKI127" s="751"/>
      <c r="SKJ127" s="751"/>
      <c r="SKK127" s="751"/>
      <c r="SKL127" s="751"/>
      <c r="SKM127" s="751"/>
      <c r="SKN127" s="751"/>
      <c r="SKO127" s="751"/>
      <c r="SKP127" s="751"/>
      <c r="SKQ127" s="751"/>
      <c r="SKR127" s="751"/>
      <c r="SKS127" s="751"/>
      <c r="SKT127" s="751"/>
      <c r="SKU127" s="751"/>
      <c r="SKV127" s="751"/>
      <c r="SKW127" s="751"/>
      <c r="SKX127" s="751"/>
      <c r="SKY127" s="751"/>
      <c r="SKZ127" s="751"/>
      <c r="SLA127" s="751"/>
      <c r="SLB127" s="751"/>
      <c r="SLC127" s="751"/>
      <c r="SLD127" s="751"/>
      <c r="SLE127" s="751"/>
      <c r="SLF127" s="751"/>
      <c r="SLG127" s="751"/>
      <c r="SLH127" s="751"/>
      <c r="SLI127" s="751"/>
      <c r="SLJ127" s="751"/>
      <c r="SLK127" s="751"/>
      <c r="SLL127" s="751"/>
      <c r="SLM127" s="751"/>
      <c r="SLN127" s="751"/>
      <c r="SLO127" s="751"/>
      <c r="SLP127" s="751"/>
      <c r="SLQ127" s="751"/>
      <c r="SLR127" s="751"/>
      <c r="SLS127" s="751"/>
      <c r="SLT127" s="751"/>
      <c r="SLU127" s="751"/>
      <c r="SLV127" s="751"/>
      <c r="SLW127" s="751"/>
      <c r="SLX127" s="751"/>
      <c r="SLY127" s="751"/>
      <c r="SLZ127" s="751"/>
      <c r="SMA127" s="751"/>
      <c r="SMB127" s="751"/>
      <c r="SMC127" s="751"/>
      <c r="SMD127" s="751"/>
      <c r="SME127" s="751"/>
      <c r="SMF127" s="751"/>
      <c r="SMG127" s="751"/>
      <c r="SMH127" s="751"/>
      <c r="SMI127" s="751"/>
      <c r="SMJ127" s="751"/>
      <c r="SMK127" s="751"/>
      <c r="SML127" s="751"/>
      <c r="SMM127" s="751"/>
      <c r="SMN127" s="751"/>
      <c r="SMO127" s="751"/>
      <c r="SMP127" s="751"/>
      <c r="SMQ127" s="751"/>
      <c r="SMR127" s="751"/>
      <c r="SMS127" s="751"/>
      <c r="SMT127" s="751"/>
      <c r="SMU127" s="751"/>
      <c r="SMV127" s="751"/>
      <c r="SMW127" s="751"/>
      <c r="SMX127" s="751"/>
      <c r="SMY127" s="751"/>
      <c r="SMZ127" s="751"/>
      <c r="SNA127" s="751"/>
      <c r="SNB127" s="751"/>
      <c r="SNC127" s="751"/>
      <c r="SND127" s="751"/>
      <c r="SNE127" s="751"/>
      <c r="SNF127" s="751"/>
      <c r="SNG127" s="751"/>
      <c r="SNH127" s="751"/>
      <c r="SNI127" s="751"/>
      <c r="SNJ127" s="751"/>
      <c r="SNK127" s="751"/>
      <c r="SNL127" s="751"/>
      <c r="SNM127" s="751"/>
      <c r="SNN127" s="751"/>
      <c r="SNO127" s="751"/>
      <c r="SNP127" s="751"/>
      <c r="SNQ127" s="751"/>
      <c r="SNR127" s="751"/>
      <c r="SNS127" s="751"/>
      <c r="SNT127" s="751"/>
      <c r="SNU127" s="751"/>
      <c r="SNV127" s="751"/>
      <c r="SNW127" s="751"/>
      <c r="SNX127" s="751"/>
      <c r="SNY127" s="751"/>
      <c r="SNZ127" s="751"/>
      <c r="SOA127" s="751"/>
      <c r="SOB127" s="751"/>
      <c r="SOC127" s="751"/>
      <c r="SOD127" s="751"/>
      <c r="SOE127" s="751"/>
      <c r="SOF127" s="751"/>
      <c r="SOG127" s="751"/>
      <c r="SOH127" s="751"/>
      <c r="SOI127" s="751"/>
      <c r="SOJ127" s="751"/>
      <c r="SOK127" s="751"/>
      <c r="SOL127" s="751"/>
      <c r="SOM127" s="751"/>
      <c r="SON127" s="751"/>
      <c r="SOO127" s="751"/>
      <c r="SOP127" s="751"/>
      <c r="SOQ127" s="751"/>
      <c r="SOR127" s="751"/>
      <c r="SOS127" s="751"/>
      <c r="SOT127" s="751"/>
      <c r="SOU127" s="751"/>
      <c r="SOV127" s="751"/>
      <c r="SOW127" s="751"/>
      <c r="SOX127" s="751"/>
      <c r="SOY127" s="751"/>
      <c r="SOZ127" s="751"/>
      <c r="SPA127" s="751"/>
      <c r="SPB127" s="751"/>
      <c r="SPC127" s="751"/>
      <c r="SPD127" s="751"/>
      <c r="SPE127" s="751"/>
      <c r="SPF127" s="751"/>
      <c r="SPG127" s="751"/>
      <c r="SPH127" s="751"/>
      <c r="SPI127" s="751"/>
      <c r="SPJ127" s="751"/>
      <c r="SPK127" s="751"/>
      <c r="SPL127" s="751"/>
      <c r="SPM127" s="751"/>
      <c r="SPN127" s="751"/>
      <c r="SPO127" s="751"/>
      <c r="SPP127" s="751"/>
      <c r="SPQ127" s="751"/>
      <c r="SPR127" s="751"/>
      <c r="SPS127" s="751"/>
      <c r="SPT127" s="751"/>
      <c r="SPU127" s="751"/>
      <c r="SPV127" s="751"/>
      <c r="SPW127" s="751"/>
      <c r="SPX127" s="751"/>
      <c r="SPY127" s="751"/>
      <c r="SPZ127" s="751"/>
      <c r="SQA127" s="751"/>
      <c r="SQB127" s="751"/>
      <c r="SQC127" s="751"/>
      <c r="SQD127" s="751"/>
      <c r="SQE127" s="751"/>
      <c r="SQF127" s="751"/>
      <c r="SQG127" s="751"/>
      <c r="SQH127" s="751"/>
      <c r="SQI127" s="751"/>
      <c r="SQJ127" s="751"/>
      <c r="SQK127" s="751"/>
      <c r="SQL127" s="751"/>
      <c r="SQM127" s="751"/>
      <c r="SQN127" s="751"/>
      <c r="SQO127" s="751"/>
      <c r="SQP127" s="751"/>
      <c r="SQQ127" s="751"/>
      <c r="SQR127" s="751"/>
      <c r="SQS127" s="751"/>
      <c r="SQT127" s="751"/>
      <c r="SQU127" s="751"/>
      <c r="SQV127" s="751"/>
      <c r="SQW127" s="751"/>
      <c r="SQX127" s="751"/>
      <c r="SQY127" s="751"/>
      <c r="SQZ127" s="751"/>
      <c r="SRA127" s="751"/>
      <c r="SRB127" s="751"/>
      <c r="SRC127" s="751"/>
      <c r="SRD127" s="751"/>
      <c r="SRE127" s="751"/>
      <c r="SRF127" s="751"/>
      <c r="SRG127" s="751"/>
      <c r="SRH127" s="751"/>
      <c r="SRI127" s="751"/>
      <c r="SRJ127" s="751"/>
      <c r="SRK127" s="751"/>
      <c r="SRL127" s="751"/>
      <c r="SRM127" s="751"/>
      <c r="SRN127" s="751"/>
      <c r="SRO127" s="751"/>
      <c r="SRP127" s="751"/>
      <c r="SRQ127" s="751"/>
      <c r="SRR127" s="751"/>
      <c r="SRS127" s="751"/>
      <c r="SRT127" s="751"/>
      <c r="SRU127" s="751"/>
      <c r="SRV127" s="751"/>
      <c r="SRW127" s="751"/>
      <c r="SRX127" s="751"/>
      <c r="SRY127" s="751"/>
      <c r="SRZ127" s="751"/>
      <c r="SSA127" s="751"/>
      <c r="SSB127" s="751"/>
      <c r="SSC127" s="751"/>
      <c r="SSD127" s="751"/>
      <c r="SSE127" s="751"/>
      <c r="SSF127" s="751"/>
      <c r="SSG127" s="751"/>
      <c r="SSH127" s="751"/>
      <c r="SSI127" s="751"/>
      <c r="SSJ127" s="751"/>
      <c r="SSK127" s="751"/>
      <c r="SSL127" s="751"/>
      <c r="SSM127" s="751"/>
      <c r="SSN127" s="751"/>
      <c r="SSO127" s="751"/>
      <c r="SSP127" s="751"/>
      <c r="SSQ127" s="751"/>
      <c r="SSR127" s="751"/>
      <c r="SSS127" s="751"/>
      <c r="SST127" s="751"/>
      <c r="SSU127" s="751"/>
      <c r="SSV127" s="751"/>
      <c r="SSW127" s="751"/>
      <c r="SSX127" s="751"/>
      <c r="SSY127" s="751"/>
      <c r="SSZ127" s="751"/>
      <c r="STA127" s="751"/>
      <c r="STB127" s="751"/>
      <c r="STC127" s="751"/>
      <c r="STD127" s="751"/>
      <c r="STE127" s="751"/>
      <c r="STF127" s="751"/>
      <c r="STG127" s="751"/>
      <c r="STH127" s="751"/>
      <c r="STI127" s="751"/>
      <c r="STJ127" s="751"/>
      <c r="STK127" s="751"/>
      <c r="STL127" s="751"/>
      <c r="STM127" s="751"/>
      <c r="STN127" s="751"/>
      <c r="STO127" s="751"/>
      <c r="STP127" s="751"/>
      <c r="STQ127" s="751"/>
      <c r="STR127" s="751"/>
      <c r="STS127" s="751"/>
      <c r="STT127" s="751"/>
      <c r="STU127" s="751"/>
      <c r="STV127" s="751"/>
      <c r="STW127" s="751"/>
      <c r="STX127" s="751"/>
      <c r="STY127" s="751"/>
      <c r="STZ127" s="751"/>
      <c r="SUA127" s="751"/>
      <c r="SUB127" s="751"/>
      <c r="SUC127" s="751"/>
      <c r="SUD127" s="751"/>
      <c r="SUE127" s="751"/>
      <c r="SUF127" s="751"/>
      <c r="SUG127" s="751"/>
      <c r="SUH127" s="751"/>
      <c r="SUI127" s="751"/>
      <c r="SUJ127" s="751"/>
      <c r="SUK127" s="751"/>
      <c r="SUL127" s="751"/>
      <c r="SUM127" s="751"/>
      <c r="SUN127" s="751"/>
      <c r="SUO127" s="751"/>
      <c r="SUP127" s="751"/>
      <c r="SUQ127" s="751"/>
      <c r="SUR127" s="751"/>
      <c r="SUS127" s="751"/>
      <c r="SUT127" s="751"/>
      <c r="SUU127" s="751"/>
      <c r="SUV127" s="751"/>
      <c r="SUW127" s="751"/>
      <c r="SUX127" s="751"/>
      <c r="SUY127" s="751"/>
      <c r="SUZ127" s="751"/>
      <c r="SVA127" s="751"/>
      <c r="SVB127" s="751"/>
      <c r="SVC127" s="751"/>
      <c r="SVD127" s="751"/>
      <c r="SVE127" s="751"/>
      <c r="SVF127" s="751"/>
      <c r="SVG127" s="751"/>
      <c r="SVH127" s="751"/>
      <c r="SVI127" s="751"/>
      <c r="SVJ127" s="751"/>
      <c r="SVK127" s="751"/>
      <c r="SVL127" s="751"/>
      <c r="SVM127" s="751"/>
      <c r="SVN127" s="751"/>
      <c r="SVO127" s="751"/>
      <c r="SVP127" s="751"/>
      <c r="SVQ127" s="751"/>
      <c r="SVR127" s="751"/>
      <c r="SVS127" s="751"/>
      <c r="SVT127" s="751"/>
      <c r="SVU127" s="751"/>
      <c r="SVV127" s="751"/>
      <c r="SVW127" s="751"/>
      <c r="SVX127" s="751"/>
      <c r="SVY127" s="751"/>
      <c r="SVZ127" s="751"/>
      <c r="SWA127" s="751"/>
      <c r="SWB127" s="751"/>
      <c r="SWC127" s="751"/>
      <c r="SWD127" s="751"/>
      <c r="SWE127" s="751"/>
      <c r="SWF127" s="751"/>
      <c r="SWG127" s="751"/>
      <c r="SWH127" s="751"/>
      <c r="SWI127" s="751"/>
      <c r="SWJ127" s="751"/>
      <c r="SWK127" s="751"/>
      <c r="SWL127" s="751"/>
      <c r="SWM127" s="751"/>
      <c r="SWN127" s="751"/>
      <c r="SWO127" s="751"/>
      <c r="SWP127" s="751"/>
      <c r="SWQ127" s="751"/>
      <c r="SWR127" s="751"/>
      <c r="SWS127" s="751"/>
      <c r="SWT127" s="751"/>
      <c r="SWU127" s="751"/>
      <c r="SWV127" s="751"/>
      <c r="SWW127" s="751"/>
      <c r="SWX127" s="751"/>
      <c r="SWY127" s="751"/>
      <c r="SWZ127" s="751"/>
      <c r="SXA127" s="751"/>
      <c r="SXB127" s="751"/>
      <c r="SXC127" s="751"/>
      <c r="SXD127" s="751"/>
      <c r="SXE127" s="751"/>
      <c r="SXF127" s="751"/>
      <c r="SXG127" s="751"/>
      <c r="SXH127" s="751"/>
      <c r="SXI127" s="751"/>
      <c r="SXJ127" s="751"/>
      <c r="SXK127" s="751"/>
      <c r="SXL127" s="751"/>
      <c r="SXM127" s="751"/>
      <c r="SXN127" s="751"/>
      <c r="SXO127" s="751"/>
      <c r="SXP127" s="751"/>
      <c r="SXQ127" s="751"/>
      <c r="SXR127" s="751"/>
      <c r="SXS127" s="751"/>
      <c r="SXT127" s="751"/>
      <c r="SXU127" s="751"/>
      <c r="SXV127" s="751"/>
      <c r="SXW127" s="751"/>
      <c r="SXX127" s="751"/>
      <c r="SXY127" s="751"/>
      <c r="SXZ127" s="751"/>
      <c r="SYA127" s="751"/>
      <c r="SYB127" s="751"/>
      <c r="SYC127" s="751"/>
      <c r="SYD127" s="751"/>
      <c r="SYE127" s="751"/>
      <c r="SYF127" s="751"/>
      <c r="SYG127" s="751"/>
      <c r="SYH127" s="751"/>
      <c r="SYI127" s="751"/>
      <c r="SYJ127" s="751"/>
      <c r="SYK127" s="751"/>
      <c r="SYL127" s="751"/>
      <c r="SYM127" s="751"/>
      <c r="SYN127" s="751"/>
      <c r="SYO127" s="751"/>
      <c r="SYP127" s="751"/>
      <c r="SYQ127" s="751"/>
      <c r="SYR127" s="751"/>
      <c r="SYS127" s="751"/>
      <c r="SYT127" s="751"/>
      <c r="SYU127" s="751"/>
      <c r="SYV127" s="751"/>
      <c r="SYW127" s="751"/>
      <c r="SYX127" s="751"/>
      <c r="SYY127" s="751"/>
      <c r="SYZ127" s="751"/>
      <c r="SZA127" s="751"/>
      <c r="SZB127" s="751"/>
      <c r="SZC127" s="751"/>
      <c r="SZD127" s="751"/>
      <c r="SZE127" s="751"/>
      <c r="SZF127" s="751"/>
      <c r="SZG127" s="751"/>
      <c r="SZH127" s="751"/>
      <c r="SZI127" s="751"/>
      <c r="SZJ127" s="751"/>
      <c r="SZK127" s="751"/>
      <c r="SZL127" s="751"/>
      <c r="SZM127" s="751"/>
      <c r="SZN127" s="751"/>
      <c r="SZO127" s="751"/>
      <c r="SZP127" s="751"/>
      <c r="SZQ127" s="751"/>
      <c r="SZR127" s="751"/>
      <c r="SZS127" s="751"/>
      <c r="SZT127" s="751"/>
      <c r="SZU127" s="751"/>
      <c r="SZV127" s="751"/>
      <c r="SZW127" s="751"/>
      <c r="SZX127" s="751"/>
      <c r="SZY127" s="751"/>
      <c r="SZZ127" s="751"/>
      <c r="TAA127" s="751"/>
      <c r="TAB127" s="751"/>
      <c r="TAC127" s="751"/>
      <c r="TAD127" s="751"/>
      <c r="TAE127" s="751"/>
      <c r="TAF127" s="751"/>
      <c r="TAG127" s="751"/>
      <c r="TAH127" s="751"/>
      <c r="TAI127" s="751"/>
      <c r="TAJ127" s="751"/>
      <c r="TAK127" s="751"/>
      <c r="TAL127" s="751"/>
      <c r="TAM127" s="751"/>
      <c r="TAN127" s="751"/>
      <c r="TAO127" s="751"/>
      <c r="TAP127" s="751"/>
      <c r="TAQ127" s="751"/>
      <c r="TAR127" s="751"/>
      <c r="TAS127" s="751"/>
      <c r="TAT127" s="751"/>
      <c r="TAU127" s="751"/>
      <c r="TAV127" s="751"/>
      <c r="TAW127" s="751"/>
      <c r="TAX127" s="751"/>
      <c r="TAY127" s="751"/>
      <c r="TAZ127" s="751"/>
      <c r="TBA127" s="751"/>
      <c r="TBB127" s="751"/>
      <c r="TBC127" s="751"/>
      <c r="TBD127" s="751"/>
      <c r="TBE127" s="751"/>
      <c r="TBF127" s="751"/>
      <c r="TBG127" s="751"/>
      <c r="TBH127" s="751"/>
      <c r="TBI127" s="751"/>
      <c r="TBJ127" s="751"/>
      <c r="TBK127" s="751"/>
      <c r="TBL127" s="751"/>
      <c r="TBM127" s="751"/>
      <c r="TBN127" s="751"/>
      <c r="TBO127" s="751"/>
      <c r="TBP127" s="751"/>
      <c r="TBQ127" s="751"/>
      <c r="TBR127" s="751"/>
      <c r="TBS127" s="751"/>
      <c r="TBT127" s="751"/>
      <c r="TBU127" s="751"/>
      <c r="TBV127" s="751"/>
      <c r="TBW127" s="751"/>
      <c r="TBX127" s="751"/>
      <c r="TBY127" s="751"/>
      <c r="TBZ127" s="751"/>
      <c r="TCA127" s="751"/>
      <c r="TCB127" s="751"/>
      <c r="TCC127" s="751"/>
      <c r="TCD127" s="751"/>
      <c r="TCE127" s="751"/>
      <c r="TCF127" s="751"/>
      <c r="TCG127" s="751"/>
      <c r="TCH127" s="751"/>
      <c r="TCI127" s="751"/>
      <c r="TCJ127" s="751"/>
      <c r="TCK127" s="751"/>
      <c r="TCL127" s="751"/>
      <c r="TCM127" s="751"/>
      <c r="TCN127" s="751"/>
      <c r="TCO127" s="751"/>
      <c r="TCP127" s="751"/>
      <c r="TCQ127" s="751"/>
      <c r="TCR127" s="751"/>
      <c r="TCS127" s="751"/>
      <c r="TCT127" s="751"/>
      <c r="TCU127" s="751"/>
      <c r="TCV127" s="751"/>
      <c r="TCW127" s="751"/>
      <c r="TCX127" s="751"/>
      <c r="TCY127" s="751"/>
      <c r="TCZ127" s="751"/>
      <c r="TDA127" s="751"/>
      <c r="TDB127" s="751"/>
      <c r="TDC127" s="751"/>
      <c r="TDD127" s="751"/>
      <c r="TDE127" s="751"/>
      <c r="TDF127" s="751"/>
      <c r="TDG127" s="751"/>
      <c r="TDH127" s="751"/>
      <c r="TDI127" s="751"/>
      <c r="TDJ127" s="751"/>
      <c r="TDK127" s="751"/>
      <c r="TDL127" s="751"/>
      <c r="TDM127" s="751"/>
      <c r="TDN127" s="751"/>
      <c r="TDO127" s="751"/>
      <c r="TDP127" s="751"/>
      <c r="TDQ127" s="751"/>
      <c r="TDR127" s="751"/>
      <c r="TDS127" s="751"/>
      <c r="TDT127" s="751"/>
      <c r="TDU127" s="751"/>
      <c r="TDV127" s="751"/>
      <c r="TDW127" s="751"/>
      <c r="TDX127" s="751"/>
      <c r="TDY127" s="751"/>
      <c r="TDZ127" s="751"/>
      <c r="TEA127" s="751"/>
      <c r="TEB127" s="751"/>
      <c r="TEC127" s="751"/>
      <c r="TED127" s="751"/>
      <c r="TEE127" s="751"/>
      <c r="TEF127" s="751"/>
      <c r="TEG127" s="751"/>
      <c r="TEH127" s="751"/>
      <c r="TEI127" s="751"/>
      <c r="TEJ127" s="751"/>
      <c r="TEK127" s="751"/>
      <c r="TEL127" s="751"/>
      <c r="TEM127" s="751"/>
      <c r="TEN127" s="751"/>
      <c r="TEO127" s="751"/>
      <c r="TEP127" s="751"/>
      <c r="TEQ127" s="751"/>
      <c r="TER127" s="751"/>
      <c r="TES127" s="751"/>
      <c r="TET127" s="751"/>
      <c r="TEU127" s="751"/>
      <c r="TEV127" s="751"/>
      <c r="TEW127" s="751"/>
      <c r="TEX127" s="751"/>
      <c r="TEY127" s="751"/>
      <c r="TEZ127" s="751"/>
      <c r="TFA127" s="751"/>
      <c r="TFB127" s="751"/>
      <c r="TFC127" s="751"/>
      <c r="TFD127" s="751"/>
      <c r="TFE127" s="751"/>
      <c r="TFF127" s="751"/>
      <c r="TFG127" s="751"/>
      <c r="TFH127" s="751"/>
      <c r="TFI127" s="751"/>
      <c r="TFJ127" s="751"/>
      <c r="TFK127" s="751"/>
      <c r="TFL127" s="751"/>
      <c r="TFM127" s="751"/>
      <c r="TFN127" s="751"/>
      <c r="TFO127" s="751"/>
      <c r="TFP127" s="751"/>
      <c r="TFQ127" s="751"/>
      <c r="TFR127" s="751"/>
      <c r="TFS127" s="751"/>
      <c r="TFT127" s="751"/>
      <c r="TFU127" s="751"/>
      <c r="TFV127" s="751"/>
      <c r="TFW127" s="751"/>
      <c r="TFX127" s="751"/>
      <c r="TFY127" s="751"/>
      <c r="TFZ127" s="751"/>
      <c r="TGA127" s="751"/>
      <c r="TGB127" s="751"/>
      <c r="TGC127" s="751"/>
      <c r="TGD127" s="751"/>
      <c r="TGE127" s="751"/>
      <c r="TGF127" s="751"/>
      <c r="TGG127" s="751"/>
      <c r="TGH127" s="751"/>
      <c r="TGI127" s="751"/>
      <c r="TGJ127" s="751"/>
      <c r="TGK127" s="751"/>
      <c r="TGL127" s="751"/>
      <c r="TGM127" s="751"/>
      <c r="TGN127" s="751"/>
      <c r="TGO127" s="751"/>
      <c r="TGP127" s="751"/>
      <c r="TGQ127" s="751"/>
      <c r="TGR127" s="751"/>
      <c r="TGS127" s="751"/>
      <c r="TGT127" s="751"/>
      <c r="TGU127" s="751"/>
      <c r="TGV127" s="751"/>
      <c r="TGW127" s="751"/>
      <c r="TGX127" s="751"/>
      <c r="TGY127" s="751"/>
      <c r="TGZ127" s="751"/>
      <c r="THA127" s="751"/>
      <c r="THB127" s="751"/>
      <c r="THC127" s="751"/>
      <c r="THD127" s="751"/>
      <c r="THE127" s="751"/>
      <c r="THF127" s="751"/>
      <c r="THG127" s="751"/>
      <c r="THH127" s="751"/>
      <c r="THI127" s="751"/>
      <c r="THJ127" s="751"/>
      <c r="THK127" s="751"/>
      <c r="THL127" s="751"/>
      <c r="THM127" s="751"/>
      <c r="THN127" s="751"/>
      <c r="THO127" s="751"/>
      <c r="THP127" s="751"/>
      <c r="THQ127" s="751"/>
      <c r="THR127" s="751"/>
      <c r="THS127" s="751"/>
      <c r="THT127" s="751"/>
      <c r="THU127" s="751"/>
      <c r="THV127" s="751"/>
      <c r="THW127" s="751"/>
      <c r="THX127" s="751"/>
      <c r="THY127" s="751"/>
      <c r="THZ127" s="751"/>
      <c r="TIA127" s="751"/>
      <c r="TIB127" s="751"/>
      <c r="TIC127" s="751"/>
      <c r="TID127" s="751"/>
      <c r="TIE127" s="751"/>
      <c r="TIF127" s="751"/>
      <c r="TIG127" s="751"/>
      <c r="TIH127" s="751"/>
      <c r="TII127" s="751"/>
      <c r="TIJ127" s="751"/>
      <c r="TIK127" s="751"/>
      <c r="TIL127" s="751"/>
      <c r="TIM127" s="751"/>
      <c r="TIN127" s="751"/>
      <c r="TIO127" s="751"/>
      <c r="TIP127" s="751"/>
      <c r="TIQ127" s="751"/>
      <c r="TIR127" s="751"/>
      <c r="TIS127" s="751"/>
      <c r="TIT127" s="751"/>
      <c r="TIU127" s="751"/>
      <c r="TIV127" s="751"/>
      <c r="TIW127" s="751"/>
      <c r="TIX127" s="751"/>
      <c r="TIY127" s="751"/>
      <c r="TIZ127" s="751"/>
      <c r="TJA127" s="751"/>
      <c r="TJB127" s="751"/>
      <c r="TJC127" s="751"/>
      <c r="TJD127" s="751"/>
      <c r="TJE127" s="751"/>
      <c r="TJF127" s="751"/>
      <c r="TJG127" s="751"/>
      <c r="TJH127" s="751"/>
      <c r="TJI127" s="751"/>
      <c r="TJJ127" s="751"/>
      <c r="TJK127" s="751"/>
      <c r="TJL127" s="751"/>
      <c r="TJM127" s="751"/>
      <c r="TJN127" s="751"/>
      <c r="TJO127" s="751"/>
      <c r="TJP127" s="751"/>
      <c r="TJQ127" s="751"/>
      <c r="TJR127" s="751"/>
      <c r="TJS127" s="751"/>
      <c r="TJT127" s="751"/>
      <c r="TJU127" s="751"/>
      <c r="TJV127" s="751"/>
      <c r="TJW127" s="751"/>
      <c r="TJX127" s="751"/>
      <c r="TJY127" s="751"/>
      <c r="TJZ127" s="751"/>
      <c r="TKA127" s="751"/>
      <c r="TKB127" s="751"/>
      <c r="TKC127" s="751"/>
      <c r="TKD127" s="751"/>
      <c r="TKE127" s="751"/>
      <c r="TKF127" s="751"/>
      <c r="TKG127" s="751"/>
      <c r="TKH127" s="751"/>
      <c r="TKI127" s="751"/>
      <c r="TKJ127" s="751"/>
      <c r="TKK127" s="751"/>
      <c r="TKL127" s="751"/>
      <c r="TKM127" s="751"/>
      <c r="TKN127" s="751"/>
      <c r="TKO127" s="751"/>
      <c r="TKP127" s="751"/>
      <c r="TKQ127" s="751"/>
      <c r="TKR127" s="751"/>
      <c r="TKS127" s="751"/>
      <c r="TKT127" s="751"/>
      <c r="TKU127" s="751"/>
      <c r="TKV127" s="751"/>
      <c r="TKW127" s="751"/>
      <c r="TKX127" s="751"/>
      <c r="TKY127" s="751"/>
      <c r="TKZ127" s="751"/>
      <c r="TLA127" s="751"/>
      <c r="TLB127" s="751"/>
      <c r="TLC127" s="751"/>
      <c r="TLD127" s="751"/>
      <c r="TLE127" s="751"/>
      <c r="TLF127" s="751"/>
      <c r="TLG127" s="751"/>
      <c r="TLH127" s="751"/>
      <c r="TLI127" s="751"/>
      <c r="TLJ127" s="751"/>
      <c r="TLK127" s="751"/>
      <c r="TLL127" s="751"/>
      <c r="TLM127" s="751"/>
      <c r="TLN127" s="751"/>
      <c r="TLO127" s="751"/>
      <c r="TLP127" s="751"/>
      <c r="TLQ127" s="751"/>
      <c r="TLR127" s="751"/>
      <c r="TLS127" s="751"/>
      <c r="TLT127" s="751"/>
      <c r="TLU127" s="751"/>
      <c r="TLV127" s="751"/>
      <c r="TLW127" s="751"/>
      <c r="TLX127" s="751"/>
      <c r="TLY127" s="751"/>
      <c r="TLZ127" s="751"/>
      <c r="TMA127" s="751"/>
      <c r="TMB127" s="751"/>
      <c r="TMC127" s="751"/>
      <c r="TMD127" s="751"/>
      <c r="TME127" s="751"/>
      <c r="TMF127" s="751"/>
      <c r="TMG127" s="751"/>
      <c r="TMH127" s="751"/>
      <c r="TMI127" s="751"/>
      <c r="TMJ127" s="751"/>
      <c r="TMK127" s="751"/>
      <c r="TML127" s="751"/>
      <c r="TMM127" s="751"/>
      <c r="TMN127" s="751"/>
      <c r="TMO127" s="751"/>
      <c r="TMP127" s="751"/>
      <c r="TMQ127" s="751"/>
      <c r="TMR127" s="751"/>
      <c r="TMS127" s="751"/>
      <c r="TMT127" s="751"/>
      <c r="TMU127" s="751"/>
      <c r="TMV127" s="751"/>
      <c r="TMW127" s="751"/>
      <c r="TMX127" s="751"/>
      <c r="TMY127" s="751"/>
      <c r="TMZ127" s="751"/>
      <c r="TNA127" s="751"/>
      <c r="TNB127" s="751"/>
      <c r="TNC127" s="751"/>
      <c r="TND127" s="751"/>
      <c r="TNE127" s="751"/>
      <c r="TNF127" s="751"/>
      <c r="TNG127" s="751"/>
      <c r="TNH127" s="751"/>
      <c r="TNI127" s="751"/>
      <c r="TNJ127" s="751"/>
      <c r="TNK127" s="751"/>
      <c r="TNL127" s="751"/>
      <c r="TNM127" s="751"/>
      <c r="TNN127" s="751"/>
      <c r="TNO127" s="751"/>
      <c r="TNP127" s="751"/>
      <c r="TNQ127" s="751"/>
      <c r="TNR127" s="751"/>
      <c r="TNS127" s="751"/>
      <c r="TNT127" s="751"/>
      <c r="TNU127" s="751"/>
      <c r="TNV127" s="751"/>
      <c r="TNW127" s="751"/>
      <c r="TNX127" s="751"/>
      <c r="TNY127" s="751"/>
      <c r="TNZ127" s="751"/>
      <c r="TOA127" s="751"/>
      <c r="TOB127" s="751"/>
      <c r="TOC127" s="751"/>
      <c r="TOD127" s="751"/>
      <c r="TOE127" s="751"/>
      <c r="TOF127" s="751"/>
      <c r="TOG127" s="751"/>
      <c r="TOH127" s="751"/>
      <c r="TOI127" s="751"/>
      <c r="TOJ127" s="751"/>
      <c r="TOK127" s="751"/>
      <c r="TOL127" s="751"/>
      <c r="TOM127" s="751"/>
      <c r="TON127" s="751"/>
      <c r="TOO127" s="751"/>
      <c r="TOP127" s="751"/>
      <c r="TOQ127" s="751"/>
      <c r="TOR127" s="751"/>
      <c r="TOS127" s="751"/>
      <c r="TOT127" s="751"/>
      <c r="TOU127" s="751"/>
      <c r="TOV127" s="751"/>
      <c r="TOW127" s="751"/>
      <c r="TOX127" s="751"/>
      <c r="TOY127" s="751"/>
      <c r="TOZ127" s="751"/>
      <c r="TPA127" s="751"/>
      <c r="TPB127" s="751"/>
      <c r="TPC127" s="751"/>
      <c r="TPD127" s="751"/>
      <c r="TPE127" s="751"/>
      <c r="TPF127" s="751"/>
      <c r="TPG127" s="751"/>
      <c r="TPH127" s="751"/>
      <c r="TPI127" s="751"/>
      <c r="TPJ127" s="751"/>
      <c r="TPK127" s="751"/>
      <c r="TPL127" s="751"/>
      <c r="TPM127" s="751"/>
      <c r="TPN127" s="751"/>
      <c r="TPO127" s="751"/>
      <c r="TPP127" s="751"/>
      <c r="TPQ127" s="751"/>
      <c r="TPR127" s="751"/>
      <c r="TPS127" s="751"/>
      <c r="TPT127" s="751"/>
      <c r="TPU127" s="751"/>
      <c r="TPV127" s="751"/>
      <c r="TPW127" s="751"/>
      <c r="TPX127" s="751"/>
      <c r="TPY127" s="751"/>
      <c r="TPZ127" s="751"/>
      <c r="TQA127" s="751"/>
      <c r="TQB127" s="751"/>
      <c r="TQC127" s="751"/>
      <c r="TQD127" s="751"/>
      <c r="TQE127" s="751"/>
      <c r="TQF127" s="751"/>
      <c r="TQG127" s="751"/>
      <c r="TQH127" s="751"/>
      <c r="TQI127" s="751"/>
      <c r="TQJ127" s="751"/>
      <c r="TQK127" s="751"/>
      <c r="TQL127" s="751"/>
      <c r="TQM127" s="751"/>
      <c r="TQN127" s="751"/>
      <c r="TQO127" s="751"/>
      <c r="TQP127" s="751"/>
      <c r="TQQ127" s="751"/>
      <c r="TQR127" s="751"/>
      <c r="TQS127" s="751"/>
      <c r="TQT127" s="751"/>
      <c r="TQU127" s="751"/>
      <c r="TQV127" s="751"/>
      <c r="TQW127" s="751"/>
      <c r="TQX127" s="751"/>
      <c r="TQY127" s="751"/>
      <c r="TQZ127" s="751"/>
      <c r="TRA127" s="751"/>
      <c r="TRB127" s="751"/>
      <c r="TRC127" s="751"/>
      <c r="TRD127" s="751"/>
      <c r="TRE127" s="751"/>
      <c r="TRF127" s="751"/>
      <c r="TRG127" s="751"/>
      <c r="TRH127" s="751"/>
      <c r="TRI127" s="751"/>
      <c r="TRJ127" s="751"/>
      <c r="TRK127" s="751"/>
      <c r="TRL127" s="751"/>
      <c r="TRM127" s="751"/>
      <c r="TRN127" s="751"/>
      <c r="TRO127" s="751"/>
      <c r="TRP127" s="751"/>
      <c r="TRQ127" s="751"/>
      <c r="TRR127" s="751"/>
      <c r="TRS127" s="751"/>
      <c r="TRT127" s="751"/>
      <c r="TRU127" s="751"/>
      <c r="TRV127" s="751"/>
      <c r="TRW127" s="751"/>
      <c r="TRX127" s="751"/>
      <c r="TRY127" s="751"/>
      <c r="TRZ127" s="751"/>
      <c r="TSA127" s="751"/>
      <c r="TSB127" s="751"/>
      <c r="TSC127" s="751"/>
      <c r="TSD127" s="751"/>
      <c r="TSE127" s="751"/>
      <c r="TSF127" s="751"/>
      <c r="TSG127" s="751"/>
      <c r="TSH127" s="751"/>
      <c r="TSI127" s="751"/>
      <c r="TSJ127" s="751"/>
      <c r="TSK127" s="751"/>
      <c r="TSL127" s="751"/>
      <c r="TSM127" s="751"/>
      <c r="TSN127" s="751"/>
      <c r="TSO127" s="751"/>
      <c r="TSP127" s="751"/>
      <c r="TSQ127" s="751"/>
      <c r="TSR127" s="751"/>
      <c r="TSS127" s="751"/>
      <c r="TST127" s="751"/>
      <c r="TSU127" s="751"/>
      <c r="TSV127" s="751"/>
      <c r="TSW127" s="751"/>
      <c r="TSX127" s="751"/>
      <c r="TSY127" s="751"/>
      <c r="TSZ127" s="751"/>
      <c r="TTA127" s="751"/>
      <c r="TTB127" s="751"/>
      <c r="TTC127" s="751"/>
      <c r="TTD127" s="751"/>
      <c r="TTE127" s="751"/>
      <c r="TTF127" s="751"/>
      <c r="TTG127" s="751"/>
      <c r="TTH127" s="751"/>
      <c r="TTI127" s="751"/>
      <c r="TTJ127" s="751"/>
      <c r="TTK127" s="751"/>
      <c r="TTL127" s="751"/>
      <c r="TTM127" s="751"/>
      <c r="TTN127" s="751"/>
      <c r="TTO127" s="751"/>
      <c r="TTP127" s="751"/>
      <c r="TTQ127" s="751"/>
      <c r="TTR127" s="751"/>
      <c r="TTS127" s="751"/>
      <c r="TTT127" s="751"/>
      <c r="TTU127" s="751"/>
      <c r="TTV127" s="751"/>
      <c r="TTW127" s="751"/>
      <c r="TTX127" s="751"/>
      <c r="TTY127" s="751"/>
      <c r="TTZ127" s="751"/>
      <c r="TUA127" s="751"/>
      <c r="TUB127" s="751"/>
      <c r="TUC127" s="751"/>
      <c r="TUD127" s="751"/>
      <c r="TUE127" s="751"/>
      <c r="TUF127" s="751"/>
      <c r="TUG127" s="751"/>
      <c r="TUH127" s="751"/>
      <c r="TUI127" s="751"/>
      <c r="TUJ127" s="751"/>
      <c r="TUK127" s="751"/>
      <c r="TUL127" s="751"/>
      <c r="TUM127" s="751"/>
      <c r="TUN127" s="751"/>
      <c r="TUO127" s="751"/>
      <c r="TUP127" s="751"/>
      <c r="TUQ127" s="751"/>
      <c r="TUR127" s="751"/>
      <c r="TUS127" s="751"/>
      <c r="TUT127" s="751"/>
      <c r="TUU127" s="751"/>
      <c r="TUV127" s="751"/>
      <c r="TUW127" s="751"/>
      <c r="TUX127" s="751"/>
      <c r="TUY127" s="751"/>
      <c r="TUZ127" s="751"/>
      <c r="TVA127" s="751"/>
      <c r="TVB127" s="751"/>
      <c r="TVC127" s="751"/>
      <c r="TVD127" s="751"/>
      <c r="TVE127" s="751"/>
      <c r="TVF127" s="751"/>
      <c r="TVG127" s="751"/>
      <c r="TVH127" s="751"/>
      <c r="TVI127" s="751"/>
      <c r="TVJ127" s="751"/>
      <c r="TVK127" s="751"/>
      <c r="TVL127" s="751"/>
      <c r="TVM127" s="751"/>
      <c r="TVN127" s="751"/>
      <c r="TVO127" s="751"/>
      <c r="TVP127" s="751"/>
      <c r="TVQ127" s="751"/>
      <c r="TVR127" s="751"/>
      <c r="TVS127" s="751"/>
      <c r="TVT127" s="751"/>
      <c r="TVU127" s="751"/>
      <c r="TVV127" s="751"/>
      <c r="TVW127" s="751"/>
      <c r="TVX127" s="751"/>
      <c r="TVY127" s="751"/>
      <c r="TVZ127" s="751"/>
      <c r="TWA127" s="751"/>
      <c r="TWB127" s="751"/>
      <c r="TWC127" s="751"/>
      <c r="TWD127" s="751"/>
      <c r="TWE127" s="751"/>
      <c r="TWF127" s="751"/>
      <c r="TWG127" s="751"/>
      <c r="TWH127" s="751"/>
      <c r="TWI127" s="751"/>
      <c r="TWJ127" s="751"/>
      <c r="TWK127" s="751"/>
      <c r="TWL127" s="751"/>
      <c r="TWM127" s="751"/>
      <c r="TWN127" s="751"/>
      <c r="TWO127" s="751"/>
      <c r="TWP127" s="751"/>
      <c r="TWQ127" s="751"/>
      <c r="TWR127" s="751"/>
      <c r="TWS127" s="751"/>
      <c r="TWT127" s="751"/>
      <c r="TWU127" s="751"/>
      <c r="TWV127" s="751"/>
      <c r="TWW127" s="751"/>
      <c r="TWX127" s="751"/>
      <c r="TWY127" s="751"/>
      <c r="TWZ127" s="751"/>
      <c r="TXA127" s="751"/>
      <c r="TXB127" s="751"/>
      <c r="TXC127" s="751"/>
      <c r="TXD127" s="751"/>
      <c r="TXE127" s="751"/>
      <c r="TXF127" s="751"/>
      <c r="TXG127" s="751"/>
      <c r="TXH127" s="751"/>
      <c r="TXI127" s="751"/>
      <c r="TXJ127" s="751"/>
      <c r="TXK127" s="751"/>
      <c r="TXL127" s="751"/>
      <c r="TXM127" s="751"/>
      <c r="TXN127" s="751"/>
      <c r="TXO127" s="751"/>
      <c r="TXP127" s="751"/>
      <c r="TXQ127" s="751"/>
      <c r="TXR127" s="751"/>
      <c r="TXS127" s="751"/>
      <c r="TXT127" s="751"/>
      <c r="TXU127" s="751"/>
      <c r="TXV127" s="751"/>
      <c r="TXW127" s="751"/>
      <c r="TXX127" s="751"/>
      <c r="TXY127" s="751"/>
      <c r="TXZ127" s="751"/>
      <c r="TYA127" s="751"/>
      <c r="TYB127" s="751"/>
      <c r="TYC127" s="751"/>
      <c r="TYD127" s="751"/>
      <c r="TYE127" s="751"/>
      <c r="TYF127" s="751"/>
      <c r="TYG127" s="751"/>
      <c r="TYH127" s="751"/>
      <c r="TYI127" s="751"/>
      <c r="TYJ127" s="751"/>
      <c r="TYK127" s="751"/>
      <c r="TYL127" s="751"/>
      <c r="TYM127" s="751"/>
      <c r="TYN127" s="751"/>
      <c r="TYO127" s="751"/>
      <c r="TYP127" s="751"/>
      <c r="TYQ127" s="751"/>
      <c r="TYR127" s="751"/>
      <c r="TYS127" s="751"/>
      <c r="TYT127" s="751"/>
      <c r="TYU127" s="751"/>
      <c r="TYV127" s="751"/>
      <c r="TYW127" s="751"/>
      <c r="TYX127" s="751"/>
      <c r="TYY127" s="751"/>
      <c r="TYZ127" s="751"/>
      <c r="TZA127" s="751"/>
      <c r="TZB127" s="751"/>
      <c r="TZC127" s="751"/>
      <c r="TZD127" s="751"/>
      <c r="TZE127" s="751"/>
      <c r="TZF127" s="751"/>
      <c r="TZG127" s="751"/>
      <c r="TZH127" s="751"/>
      <c r="TZI127" s="751"/>
      <c r="TZJ127" s="751"/>
      <c r="TZK127" s="751"/>
      <c r="TZL127" s="751"/>
      <c r="TZM127" s="751"/>
      <c r="TZN127" s="751"/>
      <c r="TZO127" s="751"/>
      <c r="TZP127" s="751"/>
      <c r="TZQ127" s="751"/>
      <c r="TZR127" s="751"/>
      <c r="TZS127" s="751"/>
      <c r="TZT127" s="751"/>
      <c r="TZU127" s="751"/>
      <c r="TZV127" s="751"/>
      <c r="TZW127" s="751"/>
      <c r="TZX127" s="751"/>
      <c r="TZY127" s="751"/>
      <c r="TZZ127" s="751"/>
      <c r="UAA127" s="751"/>
      <c r="UAB127" s="751"/>
      <c r="UAC127" s="751"/>
      <c r="UAD127" s="751"/>
      <c r="UAE127" s="751"/>
      <c r="UAF127" s="751"/>
      <c r="UAG127" s="751"/>
      <c r="UAH127" s="751"/>
      <c r="UAI127" s="751"/>
      <c r="UAJ127" s="751"/>
      <c r="UAK127" s="751"/>
      <c r="UAL127" s="751"/>
      <c r="UAM127" s="751"/>
      <c r="UAN127" s="751"/>
      <c r="UAO127" s="751"/>
      <c r="UAP127" s="751"/>
      <c r="UAQ127" s="751"/>
      <c r="UAR127" s="751"/>
      <c r="UAS127" s="751"/>
      <c r="UAT127" s="751"/>
      <c r="UAU127" s="751"/>
      <c r="UAV127" s="751"/>
      <c r="UAW127" s="751"/>
      <c r="UAX127" s="751"/>
      <c r="UAY127" s="751"/>
      <c r="UAZ127" s="751"/>
      <c r="UBA127" s="751"/>
      <c r="UBB127" s="751"/>
      <c r="UBC127" s="751"/>
      <c r="UBD127" s="751"/>
      <c r="UBE127" s="751"/>
      <c r="UBF127" s="751"/>
      <c r="UBG127" s="751"/>
      <c r="UBH127" s="751"/>
      <c r="UBI127" s="751"/>
      <c r="UBJ127" s="751"/>
      <c r="UBK127" s="751"/>
      <c r="UBL127" s="751"/>
      <c r="UBM127" s="751"/>
      <c r="UBN127" s="751"/>
      <c r="UBO127" s="751"/>
      <c r="UBP127" s="751"/>
      <c r="UBQ127" s="751"/>
      <c r="UBR127" s="751"/>
      <c r="UBS127" s="751"/>
      <c r="UBT127" s="751"/>
      <c r="UBU127" s="751"/>
      <c r="UBV127" s="751"/>
      <c r="UBW127" s="751"/>
      <c r="UBX127" s="751"/>
      <c r="UBY127" s="751"/>
      <c r="UBZ127" s="751"/>
      <c r="UCA127" s="751"/>
      <c r="UCB127" s="751"/>
      <c r="UCC127" s="751"/>
      <c r="UCD127" s="751"/>
      <c r="UCE127" s="751"/>
      <c r="UCF127" s="751"/>
      <c r="UCG127" s="751"/>
      <c r="UCH127" s="751"/>
      <c r="UCI127" s="751"/>
      <c r="UCJ127" s="751"/>
      <c r="UCK127" s="751"/>
      <c r="UCL127" s="751"/>
      <c r="UCM127" s="751"/>
      <c r="UCN127" s="751"/>
      <c r="UCO127" s="751"/>
      <c r="UCP127" s="751"/>
      <c r="UCQ127" s="751"/>
      <c r="UCR127" s="751"/>
      <c r="UCS127" s="751"/>
      <c r="UCT127" s="751"/>
      <c r="UCU127" s="751"/>
      <c r="UCV127" s="751"/>
      <c r="UCW127" s="751"/>
      <c r="UCX127" s="751"/>
      <c r="UCY127" s="751"/>
      <c r="UCZ127" s="751"/>
      <c r="UDA127" s="751"/>
      <c r="UDB127" s="751"/>
      <c r="UDC127" s="751"/>
      <c r="UDD127" s="751"/>
      <c r="UDE127" s="751"/>
      <c r="UDF127" s="751"/>
      <c r="UDG127" s="751"/>
      <c r="UDH127" s="751"/>
      <c r="UDI127" s="751"/>
      <c r="UDJ127" s="751"/>
      <c r="UDK127" s="751"/>
      <c r="UDL127" s="751"/>
      <c r="UDM127" s="751"/>
      <c r="UDN127" s="751"/>
      <c r="UDO127" s="751"/>
      <c r="UDP127" s="751"/>
      <c r="UDQ127" s="751"/>
      <c r="UDR127" s="751"/>
      <c r="UDS127" s="751"/>
      <c r="UDT127" s="751"/>
      <c r="UDU127" s="751"/>
      <c r="UDV127" s="751"/>
      <c r="UDW127" s="751"/>
      <c r="UDX127" s="751"/>
      <c r="UDY127" s="751"/>
      <c r="UDZ127" s="751"/>
      <c r="UEA127" s="751"/>
      <c r="UEB127" s="751"/>
      <c r="UEC127" s="751"/>
      <c r="UED127" s="751"/>
      <c r="UEE127" s="751"/>
      <c r="UEF127" s="751"/>
      <c r="UEG127" s="751"/>
      <c r="UEH127" s="751"/>
      <c r="UEI127" s="751"/>
      <c r="UEJ127" s="751"/>
      <c r="UEK127" s="751"/>
      <c r="UEL127" s="751"/>
      <c r="UEM127" s="751"/>
      <c r="UEN127" s="751"/>
      <c r="UEO127" s="751"/>
      <c r="UEP127" s="751"/>
      <c r="UEQ127" s="751"/>
      <c r="UER127" s="751"/>
      <c r="UES127" s="751"/>
      <c r="UET127" s="751"/>
      <c r="UEU127" s="751"/>
      <c r="UEV127" s="751"/>
      <c r="UEW127" s="751"/>
      <c r="UEX127" s="751"/>
      <c r="UEY127" s="751"/>
      <c r="UEZ127" s="751"/>
      <c r="UFA127" s="751"/>
      <c r="UFB127" s="751"/>
      <c r="UFC127" s="751"/>
      <c r="UFD127" s="751"/>
      <c r="UFE127" s="751"/>
      <c r="UFF127" s="751"/>
      <c r="UFG127" s="751"/>
      <c r="UFH127" s="751"/>
      <c r="UFI127" s="751"/>
      <c r="UFJ127" s="751"/>
      <c r="UFK127" s="751"/>
      <c r="UFL127" s="751"/>
      <c r="UFM127" s="751"/>
      <c r="UFN127" s="751"/>
      <c r="UFO127" s="751"/>
      <c r="UFP127" s="751"/>
      <c r="UFQ127" s="751"/>
      <c r="UFR127" s="751"/>
      <c r="UFS127" s="751"/>
      <c r="UFT127" s="751"/>
      <c r="UFU127" s="751"/>
      <c r="UFV127" s="751"/>
      <c r="UFW127" s="751"/>
      <c r="UFX127" s="751"/>
      <c r="UFY127" s="751"/>
      <c r="UFZ127" s="751"/>
      <c r="UGA127" s="751"/>
      <c r="UGB127" s="751"/>
      <c r="UGC127" s="751"/>
      <c r="UGD127" s="751"/>
      <c r="UGE127" s="751"/>
      <c r="UGF127" s="751"/>
      <c r="UGG127" s="751"/>
      <c r="UGH127" s="751"/>
      <c r="UGI127" s="751"/>
      <c r="UGJ127" s="751"/>
      <c r="UGK127" s="751"/>
      <c r="UGL127" s="751"/>
      <c r="UGM127" s="751"/>
      <c r="UGN127" s="751"/>
      <c r="UGO127" s="751"/>
      <c r="UGP127" s="751"/>
      <c r="UGQ127" s="751"/>
      <c r="UGR127" s="751"/>
      <c r="UGS127" s="751"/>
      <c r="UGT127" s="751"/>
      <c r="UGU127" s="751"/>
      <c r="UGV127" s="751"/>
      <c r="UGW127" s="751"/>
      <c r="UGX127" s="751"/>
      <c r="UGY127" s="751"/>
      <c r="UGZ127" s="751"/>
      <c r="UHA127" s="751"/>
      <c r="UHB127" s="751"/>
      <c r="UHC127" s="751"/>
      <c r="UHD127" s="751"/>
      <c r="UHE127" s="751"/>
      <c r="UHF127" s="751"/>
      <c r="UHG127" s="751"/>
      <c r="UHH127" s="751"/>
      <c r="UHI127" s="751"/>
      <c r="UHJ127" s="751"/>
      <c r="UHK127" s="751"/>
      <c r="UHL127" s="751"/>
      <c r="UHM127" s="751"/>
      <c r="UHN127" s="751"/>
      <c r="UHO127" s="751"/>
      <c r="UHP127" s="751"/>
      <c r="UHQ127" s="751"/>
      <c r="UHR127" s="751"/>
      <c r="UHS127" s="751"/>
      <c r="UHT127" s="751"/>
      <c r="UHU127" s="751"/>
      <c r="UHV127" s="751"/>
      <c r="UHW127" s="751"/>
      <c r="UHX127" s="751"/>
      <c r="UHY127" s="751"/>
      <c r="UHZ127" s="751"/>
      <c r="UIA127" s="751"/>
      <c r="UIB127" s="751"/>
      <c r="UIC127" s="751"/>
      <c r="UID127" s="751"/>
      <c r="UIE127" s="751"/>
      <c r="UIF127" s="751"/>
      <c r="UIG127" s="751"/>
      <c r="UIH127" s="751"/>
      <c r="UII127" s="751"/>
      <c r="UIJ127" s="751"/>
      <c r="UIK127" s="751"/>
      <c r="UIL127" s="751"/>
      <c r="UIM127" s="751"/>
      <c r="UIN127" s="751"/>
      <c r="UIO127" s="751"/>
      <c r="UIP127" s="751"/>
      <c r="UIQ127" s="751"/>
      <c r="UIR127" s="751"/>
      <c r="UIS127" s="751"/>
      <c r="UIT127" s="751"/>
      <c r="UIU127" s="751"/>
      <c r="UIV127" s="751"/>
      <c r="UIW127" s="751"/>
      <c r="UIX127" s="751"/>
      <c r="UIY127" s="751"/>
      <c r="UIZ127" s="751"/>
      <c r="UJA127" s="751"/>
      <c r="UJB127" s="751"/>
      <c r="UJC127" s="751"/>
      <c r="UJD127" s="751"/>
      <c r="UJE127" s="751"/>
      <c r="UJF127" s="751"/>
      <c r="UJG127" s="751"/>
      <c r="UJH127" s="751"/>
      <c r="UJI127" s="751"/>
      <c r="UJJ127" s="751"/>
      <c r="UJK127" s="751"/>
      <c r="UJL127" s="751"/>
      <c r="UJM127" s="751"/>
      <c r="UJN127" s="751"/>
      <c r="UJO127" s="751"/>
      <c r="UJP127" s="751"/>
      <c r="UJQ127" s="751"/>
      <c r="UJR127" s="751"/>
      <c r="UJS127" s="751"/>
      <c r="UJT127" s="751"/>
      <c r="UJU127" s="751"/>
      <c r="UJV127" s="751"/>
      <c r="UJW127" s="751"/>
      <c r="UJX127" s="751"/>
      <c r="UJY127" s="751"/>
      <c r="UJZ127" s="751"/>
      <c r="UKA127" s="751"/>
      <c r="UKB127" s="751"/>
      <c r="UKC127" s="751"/>
      <c r="UKD127" s="751"/>
      <c r="UKE127" s="751"/>
      <c r="UKF127" s="751"/>
      <c r="UKG127" s="751"/>
      <c r="UKH127" s="751"/>
      <c r="UKI127" s="751"/>
      <c r="UKJ127" s="751"/>
      <c r="UKK127" s="751"/>
      <c r="UKL127" s="751"/>
      <c r="UKM127" s="751"/>
      <c r="UKN127" s="751"/>
      <c r="UKO127" s="751"/>
      <c r="UKP127" s="751"/>
      <c r="UKQ127" s="751"/>
      <c r="UKR127" s="751"/>
      <c r="UKS127" s="751"/>
      <c r="UKT127" s="751"/>
      <c r="UKU127" s="751"/>
      <c r="UKV127" s="751"/>
      <c r="UKW127" s="751"/>
      <c r="UKX127" s="751"/>
      <c r="UKY127" s="751"/>
      <c r="UKZ127" s="751"/>
      <c r="ULA127" s="751"/>
      <c r="ULB127" s="751"/>
      <c r="ULC127" s="751"/>
      <c r="ULD127" s="751"/>
      <c r="ULE127" s="751"/>
      <c r="ULF127" s="751"/>
      <c r="ULG127" s="751"/>
      <c r="ULH127" s="751"/>
      <c r="ULI127" s="751"/>
      <c r="ULJ127" s="751"/>
      <c r="ULK127" s="751"/>
      <c r="ULL127" s="751"/>
      <c r="ULM127" s="751"/>
      <c r="ULN127" s="751"/>
      <c r="ULO127" s="751"/>
      <c r="ULP127" s="751"/>
      <c r="ULQ127" s="751"/>
      <c r="ULR127" s="751"/>
      <c r="ULS127" s="751"/>
      <c r="ULT127" s="751"/>
      <c r="ULU127" s="751"/>
      <c r="ULV127" s="751"/>
      <c r="ULW127" s="751"/>
      <c r="ULX127" s="751"/>
      <c r="ULY127" s="751"/>
      <c r="ULZ127" s="751"/>
      <c r="UMA127" s="751"/>
      <c r="UMB127" s="751"/>
      <c r="UMC127" s="751"/>
      <c r="UMD127" s="751"/>
      <c r="UME127" s="751"/>
      <c r="UMF127" s="751"/>
      <c r="UMG127" s="751"/>
      <c r="UMH127" s="751"/>
      <c r="UMI127" s="751"/>
      <c r="UMJ127" s="751"/>
      <c r="UMK127" s="751"/>
      <c r="UML127" s="751"/>
      <c r="UMM127" s="751"/>
      <c r="UMN127" s="751"/>
      <c r="UMO127" s="751"/>
      <c r="UMP127" s="751"/>
      <c r="UMQ127" s="751"/>
      <c r="UMR127" s="751"/>
      <c r="UMS127" s="751"/>
      <c r="UMT127" s="751"/>
      <c r="UMU127" s="751"/>
      <c r="UMV127" s="751"/>
      <c r="UMW127" s="751"/>
      <c r="UMX127" s="751"/>
      <c r="UMY127" s="751"/>
      <c r="UMZ127" s="751"/>
      <c r="UNA127" s="751"/>
      <c r="UNB127" s="751"/>
      <c r="UNC127" s="751"/>
      <c r="UND127" s="751"/>
      <c r="UNE127" s="751"/>
      <c r="UNF127" s="751"/>
      <c r="UNG127" s="751"/>
      <c r="UNH127" s="751"/>
      <c r="UNI127" s="751"/>
      <c r="UNJ127" s="751"/>
      <c r="UNK127" s="751"/>
      <c r="UNL127" s="751"/>
      <c r="UNM127" s="751"/>
      <c r="UNN127" s="751"/>
      <c r="UNO127" s="751"/>
      <c r="UNP127" s="751"/>
      <c r="UNQ127" s="751"/>
      <c r="UNR127" s="751"/>
      <c r="UNS127" s="751"/>
      <c r="UNT127" s="751"/>
      <c r="UNU127" s="751"/>
      <c r="UNV127" s="751"/>
      <c r="UNW127" s="751"/>
      <c r="UNX127" s="751"/>
      <c r="UNY127" s="751"/>
      <c r="UNZ127" s="751"/>
      <c r="UOA127" s="751"/>
      <c r="UOB127" s="751"/>
      <c r="UOC127" s="751"/>
      <c r="UOD127" s="751"/>
      <c r="UOE127" s="751"/>
      <c r="UOF127" s="751"/>
      <c r="UOG127" s="751"/>
      <c r="UOH127" s="751"/>
      <c r="UOI127" s="751"/>
      <c r="UOJ127" s="751"/>
      <c r="UOK127" s="751"/>
      <c r="UOL127" s="751"/>
      <c r="UOM127" s="751"/>
      <c r="UON127" s="751"/>
      <c r="UOO127" s="751"/>
      <c r="UOP127" s="751"/>
      <c r="UOQ127" s="751"/>
      <c r="UOR127" s="751"/>
      <c r="UOS127" s="751"/>
      <c r="UOT127" s="751"/>
      <c r="UOU127" s="751"/>
      <c r="UOV127" s="751"/>
      <c r="UOW127" s="751"/>
      <c r="UOX127" s="751"/>
      <c r="UOY127" s="751"/>
      <c r="UOZ127" s="751"/>
      <c r="UPA127" s="751"/>
      <c r="UPB127" s="751"/>
      <c r="UPC127" s="751"/>
      <c r="UPD127" s="751"/>
      <c r="UPE127" s="751"/>
      <c r="UPF127" s="751"/>
      <c r="UPG127" s="751"/>
      <c r="UPH127" s="751"/>
      <c r="UPI127" s="751"/>
      <c r="UPJ127" s="751"/>
      <c r="UPK127" s="751"/>
      <c r="UPL127" s="751"/>
      <c r="UPM127" s="751"/>
      <c r="UPN127" s="751"/>
      <c r="UPO127" s="751"/>
      <c r="UPP127" s="751"/>
      <c r="UPQ127" s="751"/>
      <c r="UPR127" s="751"/>
      <c r="UPS127" s="751"/>
      <c r="UPT127" s="751"/>
      <c r="UPU127" s="751"/>
      <c r="UPV127" s="751"/>
      <c r="UPW127" s="751"/>
      <c r="UPX127" s="751"/>
      <c r="UPY127" s="751"/>
      <c r="UPZ127" s="751"/>
      <c r="UQA127" s="751"/>
      <c r="UQB127" s="751"/>
      <c r="UQC127" s="751"/>
      <c r="UQD127" s="751"/>
      <c r="UQE127" s="751"/>
      <c r="UQF127" s="751"/>
      <c r="UQG127" s="751"/>
      <c r="UQH127" s="751"/>
      <c r="UQI127" s="751"/>
      <c r="UQJ127" s="751"/>
      <c r="UQK127" s="751"/>
      <c r="UQL127" s="751"/>
      <c r="UQM127" s="751"/>
      <c r="UQN127" s="751"/>
      <c r="UQO127" s="751"/>
      <c r="UQP127" s="751"/>
      <c r="UQQ127" s="751"/>
      <c r="UQR127" s="751"/>
      <c r="UQS127" s="751"/>
      <c r="UQT127" s="751"/>
      <c r="UQU127" s="751"/>
      <c r="UQV127" s="751"/>
      <c r="UQW127" s="751"/>
      <c r="UQX127" s="751"/>
      <c r="UQY127" s="751"/>
      <c r="UQZ127" s="751"/>
      <c r="URA127" s="751"/>
      <c r="URB127" s="751"/>
      <c r="URC127" s="751"/>
      <c r="URD127" s="751"/>
      <c r="URE127" s="751"/>
      <c r="URF127" s="751"/>
      <c r="URG127" s="751"/>
      <c r="URH127" s="751"/>
      <c r="URI127" s="751"/>
      <c r="URJ127" s="751"/>
      <c r="URK127" s="751"/>
      <c r="URL127" s="751"/>
      <c r="URM127" s="751"/>
      <c r="URN127" s="751"/>
      <c r="URO127" s="751"/>
      <c r="URP127" s="751"/>
      <c r="URQ127" s="751"/>
      <c r="URR127" s="751"/>
      <c r="URS127" s="751"/>
      <c r="URT127" s="751"/>
      <c r="URU127" s="751"/>
      <c r="URV127" s="751"/>
      <c r="URW127" s="751"/>
      <c r="URX127" s="751"/>
      <c r="URY127" s="751"/>
      <c r="URZ127" s="751"/>
      <c r="USA127" s="751"/>
      <c r="USB127" s="751"/>
      <c r="USC127" s="751"/>
      <c r="USD127" s="751"/>
      <c r="USE127" s="751"/>
      <c r="USF127" s="751"/>
      <c r="USG127" s="751"/>
      <c r="USH127" s="751"/>
      <c r="USI127" s="751"/>
      <c r="USJ127" s="751"/>
      <c r="USK127" s="751"/>
      <c r="USL127" s="751"/>
      <c r="USM127" s="751"/>
      <c r="USN127" s="751"/>
      <c r="USO127" s="751"/>
      <c r="USP127" s="751"/>
      <c r="USQ127" s="751"/>
      <c r="USR127" s="751"/>
      <c r="USS127" s="751"/>
      <c r="UST127" s="751"/>
      <c r="USU127" s="751"/>
      <c r="USV127" s="751"/>
      <c r="USW127" s="751"/>
      <c r="USX127" s="751"/>
      <c r="USY127" s="751"/>
      <c r="USZ127" s="751"/>
      <c r="UTA127" s="751"/>
      <c r="UTB127" s="751"/>
      <c r="UTC127" s="751"/>
      <c r="UTD127" s="751"/>
      <c r="UTE127" s="751"/>
      <c r="UTF127" s="751"/>
      <c r="UTG127" s="751"/>
      <c r="UTH127" s="751"/>
      <c r="UTI127" s="751"/>
      <c r="UTJ127" s="751"/>
      <c r="UTK127" s="751"/>
      <c r="UTL127" s="751"/>
      <c r="UTM127" s="751"/>
      <c r="UTN127" s="751"/>
      <c r="UTO127" s="751"/>
      <c r="UTP127" s="751"/>
      <c r="UTQ127" s="751"/>
      <c r="UTR127" s="751"/>
      <c r="UTS127" s="751"/>
      <c r="UTT127" s="751"/>
      <c r="UTU127" s="751"/>
      <c r="UTV127" s="751"/>
      <c r="UTW127" s="751"/>
      <c r="UTX127" s="751"/>
      <c r="UTY127" s="751"/>
      <c r="UTZ127" s="751"/>
      <c r="UUA127" s="751"/>
      <c r="UUB127" s="751"/>
      <c r="UUC127" s="751"/>
      <c r="UUD127" s="751"/>
      <c r="UUE127" s="751"/>
      <c r="UUF127" s="751"/>
      <c r="UUG127" s="751"/>
      <c r="UUH127" s="751"/>
      <c r="UUI127" s="751"/>
      <c r="UUJ127" s="751"/>
      <c r="UUK127" s="751"/>
      <c r="UUL127" s="751"/>
      <c r="UUM127" s="751"/>
      <c r="UUN127" s="751"/>
      <c r="UUO127" s="751"/>
      <c r="UUP127" s="751"/>
      <c r="UUQ127" s="751"/>
      <c r="UUR127" s="751"/>
      <c r="UUS127" s="751"/>
      <c r="UUT127" s="751"/>
      <c r="UUU127" s="751"/>
      <c r="UUV127" s="751"/>
      <c r="UUW127" s="751"/>
      <c r="UUX127" s="751"/>
      <c r="UUY127" s="751"/>
      <c r="UUZ127" s="751"/>
      <c r="UVA127" s="751"/>
      <c r="UVB127" s="751"/>
      <c r="UVC127" s="751"/>
      <c r="UVD127" s="751"/>
      <c r="UVE127" s="751"/>
      <c r="UVF127" s="751"/>
      <c r="UVG127" s="751"/>
      <c r="UVH127" s="751"/>
      <c r="UVI127" s="751"/>
      <c r="UVJ127" s="751"/>
      <c r="UVK127" s="751"/>
      <c r="UVL127" s="751"/>
      <c r="UVM127" s="751"/>
      <c r="UVN127" s="751"/>
      <c r="UVO127" s="751"/>
      <c r="UVP127" s="751"/>
      <c r="UVQ127" s="751"/>
      <c r="UVR127" s="751"/>
      <c r="UVS127" s="751"/>
      <c r="UVT127" s="751"/>
      <c r="UVU127" s="751"/>
      <c r="UVV127" s="751"/>
      <c r="UVW127" s="751"/>
      <c r="UVX127" s="751"/>
      <c r="UVY127" s="751"/>
      <c r="UVZ127" s="751"/>
      <c r="UWA127" s="751"/>
      <c r="UWB127" s="751"/>
      <c r="UWC127" s="751"/>
      <c r="UWD127" s="751"/>
      <c r="UWE127" s="751"/>
      <c r="UWF127" s="751"/>
      <c r="UWG127" s="751"/>
      <c r="UWH127" s="751"/>
      <c r="UWI127" s="751"/>
      <c r="UWJ127" s="751"/>
      <c r="UWK127" s="751"/>
      <c r="UWL127" s="751"/>
      <c r="UWM127" s="751"/>
      <c r="UWN127" s="751"/>
      <c r="UWO127" s="751"/>
      <c r="UWP127" s="751"/>
      <c r="UWQ127" s="751"/>
      <c r="UWR127" s="751"/>
      <c r="UWS127" s="751"/>
      <c r="UWT127" s="751"/>
      <c r="UWU127" s="751"/>
      <c r="UWV127" s="751"/>
      <c r="UWW127" s="751"/>
      <c r="UWX127" s="751"/>
      <c r="UWY127" s="751"/>
      <c r="UWZ127" s="751"/>
      <c r="UXA127" s="751"/>
      <c r="UXB127" s="751"/>
      <c r="UXC127" s="751"/>
      <c r="UXD127" s="751"/>
      <c r="UXE127" s="751"/>
      <c r="UXF127" s="751"/>
      <c r="UXG127" s="751"/>
      <c r="UXH127" s="751"/>
      <c r="UXI127" s="751"/>
      <c r="UXJ127" s="751"/>
      <c r="UXK127" s="751"/>
      <c r="UXL127" s="751"/>
      <c r="UXM127" s="751"/>
      <c r="UXN127" s="751"/>
      <c r="UXO127" s="751"/>
      <c r="UXP127" s="751"/>
      <c r="UXQ127" s="751"/>
      <c r="UXR127" s="751"/>
      <c r="UXS127" s="751"/>
      <c r="UXT127" s="751"/>
      <c r="UXU127" s="751"/>
      <c r="UXV127" s="751"/>
      <c r="UXW127" s="751"/>
      <c r="UXX127" s="751"/>
      <c r="UXY127" s="751"/>
      <c r="UXZ127" s="751"/>
      <c r="UYA127" s="751"/>
      <c r="UYB127" s="751"/>
      <c r="UYC127" s="751"/>
      <c r="UYD127" s="751"/>
      <c r="UYE127" s="751"/>
      <c r="UYF127" s="751"/>
      <c r="UYG127" s="751"/>
      <c r="UYH127" s="751"/>
      <c r="UYI127" s="751"/>
      <c r="UYJ127" s="751"/>
      <c r="UYK127" s="751"/>
      <c r="UYL127" s="751"/>
      <c r="UYM127" s="751"/>
      <c r="UYN127" s="751"/>
      <c r="UYO127" s="751"/>
      <c r="UYP127" s="751"/>
      <c r="UYQ127" s="751"/>
      <c r="UYR127" s="751"/>
      <c r="UYS127" s="751"/>
      <c r="UYT127" s="751"/>
      <c r="UYU127" s="751"/>
      <c r="UYV127" s="751"/>
      <c r="UYW127" s="751"/>
      <c r="UYX127" s="751"/>
      <c r="UYY127" s="751"/>
      <c r="UYZ127" s="751"/>
      <c r="UZA127" s="751"/>
      <c r="UZB127" s="751"/>
      <c r="UZC127" s="751"/>
      <c r="UZD127" s="751"/>
      <c r="UZE127" s="751"/>
      <c r="UZF127" s="751"/>
      <c r="UZG127" s="751"/>
      <c r="UZH127" s="751"/>
      <c r="UZI127" s="751"/>
      <c r="UZJ127" s="751"/>
      <c r="UZK127" s="751"/>
      <c r="UZL127" s="751"/>
      <c r="UZM127" s="751"/>
      <c r="UZN127" s="751"/>
      <c r="UZO127" s="751"/>
      <c r="UZP127" s="751"/>
      <c r="UZQ127" s="751"/>
      <c r="UZR127" s="751"/>
      <c r="UZS127" s="751"/>
      <c r="UZT127" s="751"/>
      <c r="UZU127" s="751"/>
      <c r="UZV127" s="751"/>
      <c r="UZW127" s="751"/>
      <c r="UZX127" s="751"/>
      <c r="UZY127" s="751"/>
      <c r="UZZ127" s="751"/>
      <c r="VAA127" s="751"/>
      <c r="VAB127" s="751"/>
      <c r="VAC127" s="751"/>
      <c r="VAD127" s="751"/>
      <c r="VAE127" s="751"/>
      <c r="VAF127" s="751"/>
      <c r="VAG127" s="751"/>
      <c r="VAH127" s="751"/>
      <c r="VAI127" s="751"/>
      <c r="VAJ127" s="751"/>
      <c r="VAK127" s="751"/>
      <c r="VAL127" s="751"/>
      <c r="VAM127" s="751"/>
      <c r="VAN127" s="751"/>
      <c r="VAO127" s="751"/>
      <c r="VAP127" s="751"/>
      <c r="VAQ127" s="751"/>
      <c r="VAR127" s="751"/>
      <c r="VAS127" s="751"/>
      <c r="VAT127" s="751"/>
      <c r="VAU127" s="751"/>
      <c r="VAV127" s="751"/>
      <c r="VAW127" s="751"/>
      <c r="VAX127" s="751"/>
      <c r="VAY127" s="751"/>
      <c r="VAZ127" s="751"/>
      <c r="VBA127" s="751"/>
      <c r="VBB127" s="751"/>
      <c r="VBC127" s="751"/>
      <c r="VBD127" s="751"/>
      <c r="VBE127" s="751"/>
      <c r="VBF127" s="751"/>
      <c r="VBG127" s="751"/>
      <c r="VBH127" s="751"/>
      <c r="VBI127" s="751"/>
      <c r="VBJ127" s="751"/>
      <c r="VBK127" s="751"/>
      <c r="VBL127" s="751"/>
      <c r="VBM127" s="751"/>
      <c r="VBN127" s="751"/>
      <c r="VBO127" s="751"/>
      <c r="VBP127" s="751"/>
      <c r="VBQ127" s="751"/>
      <c r="VBR127" s="751"/>
      <c r="VBS127" s="751"/>
      <c r="VBT127" s="751"/>
      <c r="VBU127" s="751"/>
      <c r="VBV127" s="751"/>
      <c r="VBW127" s="751"/>
      <c r="VBX127" s="751"/>
      <c r="VBY127" s="751"/>
      <c r="VBZ127" s="751"/>
      <c r="VCA127" s="751"/>
      <c r="VCB127" s="751"/>
      <c r="VCC127" s="751"/>
      <c r="VCD127" s="751"/>
      <c r="VCE127" s="751"/>
      <c r="VCF127" s="751"/>
      <c r="VCG127" s="751"/>
      <c r="VCH127" s="751"/>
      <c r="VCI127" s="751"/>
      <c r="VCJ127" s="751"/>
      <c r="VCK127" s="751"/>
      <c r="VCL127" s="751"/>
      <c r="VCM127" s="751"/>
      <c r="VCN127" s="751"/>
      <c r="VCO127" s="751"/>
      <c r="VCP127" s="751"/>
      <c r="VCQ127" s="751"/>
      <c r="VCR127" s="751"/>
      <c r="VCS127" s="751"/>
      <c r="VCT127" s="751"/>
      <c r="VCU127" s="751"/>
      <c r="VCV127" s="751"/>
      <c r="VCW127" s="751"/>
      <c r="VCX127" s="751"/>
      <c r="VCY127" s="751"/>
      <c r="VCZ127" s="751"/>
      <c r="VDA127" s="751"/>
      <c r="VDB127" s="751"/>
      <c r="VDC127" s="751"/>
      <c r="VDD127" s="751"/>
      <c r="VDE127" s="751"/>
      <c r="VDF127" s="751"/>
      <c r="VDG127" s="751"/>
      <c r="VDH127" s="751"/>
      <c r="VDI127" s="751"/>
      <c r="VDJ127" s="751"/>
      <c r="VDK127" s="751"/>
      <c r="VDL127" s="751"/>
      <c r="VDM127" s="751"/>
      <c r="VDN127" s="751"/>
      <c r="VDO127" s="751"/>
      <c r="VDP127" s="751"/>
      <c r="VDQ127" s="751"/>
      <c r="VDR127" s="751"/>
      <c r="VDS127" s="751"/>
      <c r="VDT127" s="751"/>
      <c r="VDU127" s="751"/>
      <c r="VDV127" s="751"/>
      <c r="VDW127" s="751"/>
      <c r="VDX127" s="751"/>
      <c r="VDY127" s="751"/>
      <c r="VDZ127" s="751"/>
      <c r="VEA127" s="751"/>
      <c r="VEB127" s="751"/>
      <c r="VEC127" s="751"/>
      <c r="VED127" s="751"/>
      <c r="VEE127" s="751"/>
      <c r="VEF127" s="751"/>
      <c r="VEG127" s="751"/>
      <c r="VEH127" s="751"/>
      <c r="VEI127" s="751"/>
      <c r="VEJ127" s="751"/>
      <c r="VEK127" s="751"/>
      <c r="VEL127" s="751"/>
      <c r="VEM127" s="751"/>
      <c r="VEN127" s="751"/>
      <c r="VEO127" s="751"/>
      <c r="VEP127" s="751"/>
      <c r="VEQ127" s="751"/>
      <c r="VER127" s="751"/>
      <c r="VES127" s="751"/>
      <c r="VET127" s="751"/>
      <c r="VEU127" s="751"/>
      <c r="VEV127" s="751"/>
      <c r="VEW127" s="751"/>
      <c r="VEX127" s="751"/>
      <c r="VEY127" s="751"/>
      <c r="VEZ127" s="751"/>
      <c r="VFA127" s="751"/>
      <c r="VFB127" s="751"/>
      <c r="VFC127" s="751"/>
      <c r="VFD127" s="751"/>
      <c r="VFE127" s="751"/>
      <c r="VFF127" s="751"/>
      <c r="VFG127" s="751"/>
      <c r="VFH127" s="751"/>
      <c r="VFI127" s="751"/>
      <c r="VFJ127" s="751"/>
      <c r="VFK127" s="751"/>
      <c r="VFL127" s="751"/>
      <c r="VFM127" s="751"/>
      <c r="VFN127" s="751"/>
      <c r="VFO127" s="751"/>
      <c r="VFP127" s="751"/>
      <c r="VFQ127" s="751"/>
      <c r="VFR127" s="751"/>
      <c r="VFS127" s="751"/>
      <c r="VFT127" s="751"/>
      <c r="VFU127" s="751"/>
      <c r="VFV127" s="751"/>
      <c r="VFW127" s="751"/>
      <c r="VFX127" s="751"/>
      <c r="VFY127" s="751"/>
      <c r="VFZ127" s="751"/>
      <c r="VGA127" s="751"/>
      <c r="VGB127" s="751"/>
      <c r="VGC127" s="751"/>
      <c r="VGD127" s="751"/>
      <c r="VGE127" s="751"/>
      <c r="VGF127" s="751"/>
      <c r="VGG127" s="751"/>
      <c r="VGH127" s="751"/>
      <c r="VGI127" s="751"/>
      <c r="VGJ127" s="751"/>
      <c r="VGK127" s="751"/>
      <c r="VGL127" s="751"/>
      <c r="VGM127" s="751"/>
      <c r="VGN127" s="751"/>
      <c r="VGO127" s="751"/>
      <c r="VGP127" s="751"/>
      <c r="VGQ127" s="751"/>
      <c r="VGR127" s="751"/>
      <c r="VGS127" s="751"/>
      <c r="VGT127" s="751"/>
      <c r="VGU127" s="751"/>
      <c r="VGV127" s="751"/>
      <c r="VGW127" s="751"/>
      <c r="VGX127" s="751"/>
      <c r="VGY127" s="751"/>
      <c r="VGZ127" s="751"/>
      <c r="VHA127" s="751"/>
      <c r="VHB127" s="751"/>
      <c r="VHC127" s="751"/>
      <c r="VHD127" s="751"/>
      <c r="VHE127" s="751"/>
      <c r="VHF127" s="751"/>
      <c r="VHG127" s="751"/>
      <c r="VHH127" s="751"/>
      <c r="VHI127" s="751"/>
      <c r="VHJ127" s="751"/>
      <c r="VHK127" s="751"/>
      <c r="VHL127" s="751"/>
      <c r="VHM127" s="751"/>
      <c r="VHN127" s="751"/>
      <c r="VHO127" s="751"/>
      <c r="VHP127" s="751"/>
      <c r="VHQ127" s="751"/>
      <c r="VHR127" s="751"/>
      <c r="VHS127" s="751"/>
      <c r="VHT127" s="751"/>
      <c r="VHU127" s="751"/>
      <c r="VHV127" s="751"/>
      <c r="VHW127" s="751"/>
      <c r="VHX127" s="751"/>
      <c r="VHY127" s="751"/>
      <c r="VHZ127" s="751"/>
      <c r="VIA127" s="751"/>
      <c r="VIB127" s="751"/>
      <c r="VIC127" s="751"/>
      <c r="VID127" s="751"/>
      <c r="VIE127" s="751"/>
      <c r="VIF127" s="751"/>
      <c r="VIG127" s="751"/>
      <c r="VIH127" s="751"/>
      <c r="VII127" s="751"/>
      <c r="VIJ127" s="751"/>
      <c r="VIK127" s="751"/>
      <c r="VIL127" s="751"/>
      <c r="VIM127" s="751"/>
      <c r="VIN127" s="751"/>
      <c r="VIO127" s="751"/>
      <c r="VIP127" s="751"/>
      <c r="VIQ127" s="751"/>
      <c r="VIR127" s="751"/>
      <c r="VIS127" s="751"/>
      <c r="VIT127" s="751"/>
      <c r="VIU127" s="751"/>
      <c r="VIV127" s="751"/>
      <c r="VIW127" s="751"/>
      <c r="VIX127" s="751"/>
      <c r="VIY127" s="751"/>
      <c r="VIZ127" s="751"/>
      <c r="VJA127" s="751"/>
      <c r="VJB127" s="751"/>
      <c r="VJC127" s="751"/>
      <c r="VJD127" s="751"/>
      <c r="VJE127" s="751"/>
      <c r="VJF127" s="751"/>
      <c r="VJG127" s="751"/>
      <c r="VJH127" s="751"/>
      <c r="VJI127" s="751"/>
      <c r="VJJ127" s="751"/>
      <c r="VJK127" s="751"/>
      <c r="VJL127" s="751"/>
      <c r="VJM127" s="751"/>
      <c r="VJN127" s="751"/>
      <c r="VJO127" s="751"/>
      <c r="VJP127" s="751"/>
      <c r="VJQ127" s="751"/>
      <c r="VJR127" s="751"/>
      <c r="VJS127" s="751"/>
      <c r="VJT127" s="751"/>
      <c r="VJU127" s="751"/>
      <c r="VJV127" s="751"/>
      <c r="VJW127" s="751"/>
      <c r="VJX127" s="751"/>
      <c r="VJY127" s="751"/>
      <c r="VJZ127" s="751"/>
      <c r="VKA127" s="751"/>
      <c r="VKB127" s="751"/>
      <c r="VKC127" s="751"/>
      <c r="VKD127" s="751"/>
      <c r="VKE127" s="751"/>
      <c r="VKF127" s="751"/>
      <c r="VKG127" s="751"/>
      <c r="VKH127" s="751"/>
      <c r="VKI127" s="751"/>
      <c r="VKJ127" s="751"/>
      <c r="VKK127" s="751"/>
      <c r="VKL127" s="751"/>
      <c r="VKM127" s="751"/>
      <c r="VKN127" s="751"/>
      <c r="VKO127" s="751"/>
      <c r="VKP127" s="751"/>
      <c r="VKQ127" s="751"/>
      <c r="VKR127" s="751"/>
      <c r="VKS127" s="751"/>
      <c r="VKT127" s="751"/>
      <c r="VKU127" s="751"/>
      <c r="VKV127" s="751"/>
      <c r="VKW127" s="751"/>
      <c r="VKX127" s="751"/>
      <c r="VKY127" s="751"/>
      <c r="VKZ127" s="751"/>
      <c r="VLA127" s="751"/>
      <c r="VLB127" s="751"/>
      <c r="VLC127" s="751"/>
      <c r="VLD127" s="751"/>
      <c r="VLE127" s="751"/>
      <c r="VLF127" s="751"/>
      <c r="VLG127" s="751"/>
      <c r="VLH127" s="751"/>
      <c r="VLI127" s="751"/>
      <c r="VLJ127" s="751"/>
      <c r="VLK127" s="751"/>
      <c r="VLL127" s="751"/>
      <c r="VLM127" s="751"/>
      <c r="VLN127" s="751"/>
      <c r="VLO127" s="751"/>
      <c r="VLP127" s="751"/>
      <c r="VLQ127" s="751"/>
      <c r="VLR127" s="751"/>
      <c r="VLS127" s="751"/>
      <c r="VLT127" s="751"/>
      <c r="VLU127" s="751"/>
      <c r="VLV127" s="751"/>
      <c r="VLW127" s="751"/>
      <c r="VLX127" s="751"/>
      <c r="VLY127" s="751"/>
      <c r="VLZ127" s="751"/>
      <c r="VMA127" s="751"/>
      <c r="VMB127" s="751"/>
      <c r="VMC127" s="751"/>
      <c r="VMD127" s="751"/>
      <c r="VME127" s="751"/>
      <c r="VMF127" s="751"/>
      <c r="VMG127" s="751"/>
      <c r="VMH127" s="751"/>
      <c r="VMI127" s="751"/>
      <c r="VMJ127" s="751"/>
      <c r="VMK127" s="751"/>
      <c r="VML127" s="751"/>
      <c r="VMM127" s="751"/>
      <c r="VMN127" s="751"/>
      <c r="VMO127" s="751"/>
      <c r="VMP127" s="751"/>
      <c r="VMQ127" s="751"/>
      <c r="VMR127" s="751"/>
      <c r="VMS127" s="751"/>
      <c r="VMT127" s="751"/>
      <c r="VMU127" s="751"/>
      <c r="VMV127" s="751"/>
      <c r="VMW127" s="751"/>
      <c r="VMX127" s="751"/>
      <c r="VMY127" s="751"/>
      <c r="VMZ127" s="751"/>
      <c r="VNA127" s="751"/>
      <c r="VNB127" s="751"/>
      <c r="VNC127" s="751"/>
      <c r="VND127" s="751"/>
      <c r="VNE127" s="751"/>
      <c r="VNF127" s="751"/>
      <c r="VNG127" s="751"/>
      <c r="VNH127" s="751"/>
      <c r="VNI127" s="751"/>
      <c r="VNJ127" s="751"/>
      <c r="VNK127" s="751"/>
      <c r="VNL127" s="751"/>
      <c r="VNM127" s="751"/>
      <c r="VNN127" s="751"/>
      <c r="VNO127" s="751"/>
      <c r="VNP127" s="751"/>
      <c r="VNQ127" s="751"/>
      <c r="VNR127" s="751"/>
      <c r="VNS127" s="751"/>
      <c r="VNT127" s="751"/>
      <c r="VNU127" s="751"/>
      <c r="VNV127" s="751"/>
      <c r="VNW127" s="751"/>
      <c r="VNX127" s="751"/>
      <c r="VNY127" s="751"/>
      <c r="VNZ127" s="751"/>
      <c r="VOA127" s="751"/>
      <c r="VOB127" s="751"/>
      <c r="VOC127" s="751"/>
      <c r="VOD127" s="751"/>
      <c r="VOE127" s="751"/>
      <c r="VOF127" s="751"/>
      <c r="VOG127" s="751"/>
      <c r="VOH127" s="751"/>
      <c r="VOI127" s="751"/>
      <c r="VOJ127" s="751"/>
      <c r="VOK127" s="751"/>
      <c r="VOL127" s="751"/>
      <c r="VOM127" s="751"/>
      <c r="VON127" s="751"/>
      <c r="VOO127" s="751"/>
      <c r="VOP127" s="751"/>
      <c r="VOQ127" s="751"/>
      <c r="VOR127" s="751"/>
      <c r="VOS127" s="751"/>
      <c r="VOT127" s="751"/>
      <c r="VOU127" s="751"/>
      <c r="VOV127" s="751"/>
      <c r="VOW127" s="751"/>
      <c r="VOX127" s="751"/>
      <c r="VOY127" s="751"/>
      <c r="VOZ127" s="751"/>
      <c r="VPA127" s="751"/>
      <c r="VPB127" s="751"/>
      <c r="VPC127" s="751"/>
      <c r="VPD127" s="751"/>
      <c r="VPE127" s="751"/>
      <c r="VPF127" s="751"/>
      <c r="VPG127" s="751"/>
      <c r="VPH127" s="751"/>
      <c r="VPI127" s="751"/>
      <c r="VPJ127" s="751"/>
      <c r="VPK127" s="751"/>
      <c r="VPL127" s="751"/>
      <c r="VPM127" s="751"/>
      <c r="VPN127" s="751"/>
      <c r="VPO127" s="751"/>
      <c r="VPP127" s="751"/>
      <c r="VPQ127" s="751"/>
      <c r="VPR127" s="751"/>
      <c r="VPS127" s="751"/>
      <c r="VPT127" s="751"/>
      <c r="VPU127" s="751"/>
      <c r="VPV127" s="751"/>
      <c r="VPW127" s="751"/>
      <c r="VPX127" s="751"/>
      <c r="VPY127" s="751"/>
      <c r="VPZ127" s="751"/>
      <c r="VQA127" s="751"/>
      <c r="VQB127" s="751"/>
      <c r="VQC127" s="751"/>
      <c r="VQD127" s="751"/>
      <c r="VQE127" s="751"/>
      <c r="VQF127" s="751"/>
      <c r="VQG127" s="751"/>
      <c r="VQH127" s="751"/>
      <c r="VQI127" s="751"/>
      <c r="VQJ127" s="751"/>
      <c r="VQK127" s="751"/>
      <c r="VQL127" s="751"/>
      <c r="VQM127" s="751"/>
      <c r="VQN127" s="751"/>
      <c r="VQO127" s="751"/>
      <c r="VQP127" s="751"/>
      <c r="VQQ127" s="751"/>
      <c r="VQR127" s="751"/>
      <c r="VQS127" s="751"/>
      <c r="VQT127" s="751"/>
      <c r="VQU127" s="751"/>
      <c r="VQV127" s="751"/>
      <c r="VQW127" s="751"/>
      <c r="VQX127" s="751"/>
      <c r="VQY127" s="751"/>
      <c r="VQZ127" s="751"/>
      <c r="VRA127" s="751"/>
      <c r="VRB127" s="751"/>
      <c r="VRC127" s="751"/>
      <c r="VRD127" s="751"/>
      <c r="VRE127" s="751"/>
      <c r="VRF127" s="751"/>
      <c r="VRG127" s="751"/>
      <c r="VRH127" s="751"/>
      <c r="VRI127" s="751"/>
      <c r="VRJ127" s="751"/>
      <c r="VRK127" s="751"/>
      <c r="VRL127" s="751"/>
      <c r="VRM127" s="751"/>
      <c r="VRN127" s="751"/>
      <c r="VRO127" s="751"/>
      <c r="VRP127" s="751"/>
      <c r="VRQ127" s="751"/>
      <c r="VRR127" s="751"/>
      <c r="VRS127" s="751"/>
      <c r="VRT127" s="751"/>
      <c r="VRU127" s="751"/>
      <c r="VRV127" s="751"/>
      <c r="VRW127" s="751"/>
      <c r="VRX127" s="751"/>
      <c r="VRY127" s="751"/>
      <c r="VRZ127" s="751"/>
      <c r="VSA127" s="751"/>
      <c r="VSB127" s="751"/>
      <c r="VSC127" s="751"/>
      <c r="VSD127" s="751"/>
      <c r="VSE127" s="751"/>
      <c r="VSF127" s="751"/>
      <c r="VSG127" s="751"/>
      <c r="VSH127" s="751"/>
      <c r="VSI127" s="751"/>
      <c r="VSJ127" s="751"/>
      <c r="VSK127" s="751"/>
      <c r="VSL127" s="751"/>
      <c r="VSM127" s="751"/>
      <c r="VSN127" s="751"/>
      <c r="VSO127" s="751"/>
      <c r="VSP127" s="751"/>
      <c r="VSQ127" s="751"/>
      <c r="VSR127" s="751"/>
      <c r="VSS127" s="751"/>
      <c r="VST127" s="751"/>
      <c r="VSU127" s="751"/>
      <c r="VSV127" s="751"/>
      <c r="VSW127" s="751"/>
      <c r="VSX127" s="751"/>
      <c r="VSY127" s="751"/>
      <c r="VSZ127" s="751"/>
      <c r="VTA127" s="751"/>
      <c r="VTB127" s="751"/>
      <c r="VTC127" s="751"/>
      <c r="VTD127" s="751"/>
      <c r="VTE127" s="751"/>
      <c r="VTF127" s="751"/>
      <c r="VTG127" s="751"/>
      <c r="VTH127" s="751"/>
      <c r="VTI127" s="751"/>
      <c r="VTJ127" s="751"/>
      <c r="VTK127" s="751"/>
      <c r="VTL127" s="751"/>
      <c r="VTM127" s="751"/>
      <c r="VTN127" s="751"/>
      <c r="VTO127" s="751"/>
      <c r="VTP127" s="751"/>
      <c r="VTQ127" s="751"/>
      <c r="VTR127" s="751"/>
      <c r="VTS127" s="751"/>
      <c r="VTT127" s="751"/>
      <c r="VTU127" s="751"/>
      <c r="VTV127" s="751"/>
      <c r="VTW127" s="751"/>
      <c r="VTX127" s="751"/>
      <c r="VTY127" s="751"/>
      <c r="VTZ127" s="751"/>
      <c r="VUA127" s="751"/>
      <c r="VUB127" s="751"/>
      <c r="VUC127" s="751"/>
      <c r="VUD127" s="751"/>
      <c r="VUE127" s="751"/>
      <c r="VUF127" s="751"/>
      <c r="VUG127" s="751"/>
      <c r="VUH127" s="751"/>
      <c r="VUI127" s="751"/>
      <c r="VUJ127" s="751"/>
      <c r="VUK127" s="751"/>
      <c r="VUL127" s="751"/>
      <c r="VUM127" s="751"/>
      <c r="VUN127" s="751"/>
      <c r="VUO127" s="751"/>
      <c r="VUP127" s="751"/>
      <c r="VUQ127" s="751"/>
      <c r="VUR127" s="751"/>
      <c r="VUS127" s="751"/>
      <c r="VUT127" s="751"/>
      <c r="VUU127" s="751"/>
      <c r="VUV127" s="751"/>
      <c r="VUW127" s="751"/>
      <c r="VUX127" s="751"/>
      <c r="VUY127" s="751"/>
      <c r="VUZ127" s="751"/>
      <c r="VVA127" s="751"/>
      <c r="VVB127" s="751"/>
      <c r="VVC127" s="751"/>
      <c r="VVD127" s="751"/>
      <c r="VVE127" s="751"/>
      <c r="VVF127" s="751"/>
      <c r="VVG127" s="751"/>
      <c r="VVH127" s="751"/>
      <c r="VVI127" s="751"/>
      <c r="VVJ127" s="751"/>
      <c r="VVK127" s="751"/>
      <c r="VVL127" s="751"/>
      <c r="VVM127" s="751"/>
      <c r="VVN127" s="751"/>
      <c r="VVO127" s="751"/>
      <c r="VVP127" s="751"/>
      <c r="VVQ127" s="751"/>
      <c r="VVR127" s="751"/>
      <c r="VVS127" s="751"/>
      <c r="VVT127" s="751"/>
      <c r="VVU127" s="751"/>
      <c r="VVV127" s="751"/>
      <c r="VVW127" s="751"/>
      <c r="VVX127" s="751"/>
      <c r="VVY127" s="751"/>
      <c r="VVZ127" s="751"/>
      <c r="VWA127" s="751"/>
      <c r="VWB127" s="751"/>
      <c r="VWC127" s="751"/>
      <c r="VWD127" s="751"/>
      <c r="VWE127" s="751"/>
      <c r="VWF127" s="751"/>
      <c r="VWG127" s="751"/>
      <c r="VWH127" s="751"/>
      <c r="VWI127" s="751"/>
      <c r="VWJ127" s="751"/>
      <c r="VWK127" s="751"/>
      <c r="VWL127" s="751"/>
      <c r="VWM127" s="751"/>
      <c r="VWN127" s="751"/>
      <c r="VWO127" s="751"/>
      <c r="VWP127" s="751"/>
      <c r="VWQ127" s="751"/>
      <c r="VWR127" s="751"/>
      <c r="VWS127" s="751"/>
      <c r="VWT127" s="751"/>
      <c r="VWU127" s="751"/>
      <c r="VWV127" s="751"/>
      <c r="VWW127" s="751"/>
      <c r="VWX127" s="751"/>
      <c r="VWY127" s="751"/>
      <c r="VWZ127" s="751"/>
      <c r="VXA127" s="751"/>
      <c r="VXB127" s="751"/>
      <c r="VXC127" s="751"/>
      <c r="VXD127" s="751"/>
      <c r="VXE127" s="751"/>
      <c r="VXF127" s="751"/>
      <c r="VXG127" s="751"/>
      <c r="VXH127" s="751"/>
      <c r="VXI127" s="751"/>
      <c r="VXJ127" s="751"/>
      <c r="VXK127" s="751"/>
      <c r="VXL127" s="751"/>
      <c r="VXM127" s="751"/>
      <c r="VXN127" s="751"/>
      <c r="VXO127" s="751"/>
      <c r="VXP127" s="751"/>
      <c r="VXQ127" s="751"/>
      <c r="VXR127" s="751"/>
      <c r="VXS127" s="751"/>
      <c r="VXT127" s="751"/>
      <c r="VXU127" s="751"/>
      <c r="VXV127" s="751"/>
      <c r="VXW127" s="751"/>
      <c r="VXX127" s="751"/>
      <c r="VXY127" s="751"/>
      <c r="VXZ127" s="751"/>
      <c r="VYA127" s="751"/>
      <c r="VYB127" s="751"/>
      <c r="VYC127" s="751"/>
      <c r="VYD127" s="751"/>
      <c r="VYE127" s="751"/>
      <c r="VYF127" s="751"/>
      <c r="VYG127" s="751"/>
      <c r="VYH127" s="751"/>
      <c r="VYI127" s="751"/>
      <c r="VYJ127" s="751"/>
      <c r="VYK127" s="751"/>
      <c r="VYL127" s="751"/>
      <c r="VYM127" s="751"/>
      <c r="VYN127" s="751"/>
      <c r="VYO127" s="751"/>
      <c r="VYP127" s="751"/>
      <c r="VYQ127" s="751"/>
      <c r="VYR127" s="751"/>
      <c r="VYS127" s="751"/>
      <c r="VYT127" s="751"/>
      <c r="VYU127" s="751"/>
      <c r="VYV127" s="751"/>
      <c r="VYW127" s="751"/>
      <c r="VYX127" s="751"/>
      <c r="VYY127" s="751"/>
      <c r="VYZ127" s="751"/>
      <c r="VZA127" s="751"/>
      <c r="VZB127" s="751"/>
      <c r="VZC127" s="751"/>
      <c r="VZD127" s="751"/>
      <c r="VZE127" s="751"/>
      <c r="VZF127" s="751"/>
      <c r="VZG127" s="751"/>
      <c r="VZH127" s="751"/>
      <c r="VZI127" s="751"/>
      <c r="VZJ127" s="751"/>
      <c r="VZK127" s="751"/>
      <c r="VZL127" s="751"/>
      <c r="VZM127" s="751"/>
      <c r="VZN127" s="751"/>
      <c r="VZO127" s="751"/>
      <c r="VZP127" s="751"/>
      <c r="VZQ127" s="751"/>
      <c r="VZR127" s="751"/>
      <c r="VZS127" s="751"/>
      <c r="VZT127" s="751"/>
      <c r="VZU127" s="751"/>
      <c r="VZV127" s="751"/>
      <c r="VZW127" s="751"/>
      <c r="VZX127" s="751"/>
      <c r="VZY127" s="751"/>
      <c r="VZZ127" s="751"/>
      <c r="WAA127" s="751"/>
      <c r="WAB127" s="751"/>
      <c r="WAC127" s="751"/>
      <c r="WAD127" s="751"/>
      <c r="WAE127" s="751"/>
      <c r="WAF127" s="751"/>
      <c r="WAG127" s="751"/>
      <c r="WAH127" s="751"/>
      <c r="WAI127" s="751"/>
      <c r="WAJ127" s="751"/>
      <c r="WAK127" s="751"/>
      <c r="WAL127" s="751"/>
      <c r="WAM127" s="751"/>
      <c r="WAN127" s="751"/>
      <c r="WAO127" s="751"/>
      <c r="WAP127" s="751"/>
      <c r="WAQ127" s="751"/>
      <c r="WAR127" s="751"/>
      <c r="WAS127" s="751"/>
      <c r="WAT127" s="751"/>
      <c r="WAU127" s="751"/>
      <c r="WAV127" s="751"/>
      <c r="WAW127" s="751"/>
      <c r="WAX127" s="751"/>
      <c r="WAY127" s="751"/>
      <c r="WAZ127" s="751"/>
      <c r="WBA127" s="751"/>
      <c r="WBB127" s="751"/>
      <c r="WBC127" s="751"/>
      <c r="WBD127" s="751"/>
      <c r="WBE127" s="751"/>
      <c r="WBF127" s="751"/>
      <c r="WBG127" s="751"/>
      <c r="WBH127" s="751"/>
      <c r="WBI127" s="751"/>
      <c r="WBJ127" s="751"/>
      <c r="WBK127" s="751"/>
      <c r="WBL127" s="751"/>
      <c r="WBM127" s="751"/>
      <c r="WBN127" s="751"/>
      <c r="WBO127" s="751"/>
      <c r="WBP127" s="751"/>
      <c r="WBQ127" s="751"/>
      <c r="WBR127" s="751"/>
      <c r="WBS127" s="751"/>
      <c r="WBT127" s="751"/>
      <c r="WBU127" s="751"/>
      <c r="WBV127" s="751"/>
      <c r="WBW127" s="751"/>
      <c r="WBX127" s="751"/>
      <c r="WBY127" s="751"/>
      <c r="WBZ127" s="751"/>
      <c r="WCA127" s="751"/>
      <c r="WCB127" s="751"/>
      <c r="WCC127" s="751"/>
      <c r="WCD127" s="751"/>
      <c r="WCE127" s="751"/>
      <c r="WCF127" s="751"/>
      <c r="WCG127" s="751"/>
      <c r="WCH127" s="751"/>
      <c r="WCI127" s="751"/>
      <c r="WCJ127" s="751"/>
      <c r="WCK127" s="751"/>
      <c r="WCL127" s="751"/>
      <c r="WCM127" s="751"/>
      <c r="WCN127" s="751"/>
      <c r="WCO127" s="751"/>
      <c r="WCP127" s="751"/>
      <c r="WCQ127" s="751"/>
      <c r="WCR127" s="751"/>
      <c r="WCS127" s="751"/>
      <c r="WCT127" s="751"/>
      <c r="WCU127" s="751"/>
      <c r="WCV127" s="751"/>
      <c r="WCW127" s="751"/>
      <c r="WCX127" s="751"/>
      <c r="WCY127" s="751"/>
      <c r="WCZ127" s="751"/>
      <c r="WDA127" s="751"/>
      <c r="WDB127" s="751"/>
      <c r="WDC127" s="751"/>
      <c r="WDD127" s="751"/>
      <c r="WDE127" s="751"/>
      <c r="WDF127" s="751"/>
      <c r="WDG127" s="751"/>
      <c r="WDH127" s="751"/>
      <c r="WDI127" s="751"/>
      <c r="WDJ127" s="751"/>
      <c r="WDK127" s="751"/>
      <c r="WDL127" s="751"/>
      <c r="WDM127" s="751"/>
      <c r="WDN127" s="751"/>
      <c r="WDO127" s="751"/>
      <c r="WDP127" s="751"/>
      <c r="WDQ127" s="751"/>
      <c r="WDR127" s="751"/>
      <c r="WDS127" s="751"/>
      <c r="WDT127" s="751"/>
      <c r="WDU127" s="751"/>
      <c r="WDV127" s="751"/>
      <c r="WDW127" s="751"/>
      <c r="WDX127" s="751"/>
      <c r="WDY127" s="751"/>
      <c r="WDZ127" s="751"/>
      <c r="WEA127" s="751"/>
      <c r="WEB127" s="751"/>
      <c r="WEC127" s="751"/>
      <c r="WED127" s="751"/>
      <c r="WEE127" s="751"/>
      <c r="WEF127" s="751"/>
      <c r="WEG127" s="751"/>
      <c r="WEH127" s="751"/>
      <c r="WEI127" s="751"/>
      <c r="WEJ127" s="751"/>
      <c r="WEK127" s="751"/>
      <c r="WEL127" s="751"/>
      <c r="WEM127" s="751"/>
      <c r="WEN127" s="751"/>
      <c r="WEO127" s="751"/>
      <c r="WEP127" s="751"/>
      <c r="WEQ127" s="751"/>
      <c r="WER127" s="751"/>
      <c r="WES127" s="751"/>
      <c r="WET127" s="751"/>
      <c r="WEU127" s="751"/>
      <c r="WEV127" s="751"/>
      <c r="WEW127" s="751"/>
      <c r="WEX127" s="751"/>
      <c r="WEY127" s="751"/>
      <c r="WEZ127" s="751"/>
      <c r="WFA127" s="751"/>
      <c r="WFB127" s="751"/>
      <c r="WFC127" s="751"/>
      <c r="WFD127" s="751"/>
      <c r="WFE127" s="751"/>
      <c r="WFF127" s="751"/>
      <c r="WFG127" s="751"/>
      <c r="WFH127" s="751"/>
      <c r="WFI127" s="751"/>
      <c r="WFJ127" s="751"/>
      <c r="WFK127" s="751"/>
      <c r="WFL127" s="751"/>
      <c r="WFM127" s="751"/>
      <c r="WFN127" s="751"/>
      <c r="WFO127" s="751"/>
      <c r="WFP127" s="751"/>
      <c r="WFQ127" s="751"/>
      <c r="WFR127" s="751"/>
      <c r="WFS127" s="751"/>
      <c r="WFT127" s="751"/>
      <c r="WFU127" s="751"/>
      <c r="WFV127" s="751"/>
      <c r="WFW127" s="751"/>
      <c r="WFX127" s="751"/>
      <c r="WFY127" s="751"/>
      <c r="WFZ127" s="751"/>
      <c r="WGA127" s="751"/>
      <c r="WGB127" s="751"/>
      <c r="WGC127" s="751"/>
      <c r="WGD127" s="751"/>
      <c r="WGE127" s="751"/>
      <c r="WGF127" s="751"/>
      <c r="WGG127" s="751"/>
      <c r="WGH127" s="751"/>
      <c r="WGI127" s="751"/>
      <c r="WGJ127" s="751"/>
      <c r="WGK127" s="751"/>
      <c r="WGL127" s="751"/>
      <c r="WGM127" s="751"/>
      <c r="WGN127" s="751"/>
      <c r="WGO127" s="751"/>
      <c r="WGP127" s="751"/>
      <c r="WGQ127" s="751"/>
      <c r="WGR127" s="751"/>
      <c r="WGS127" s="751"/>
      <c r="WGT127" s="751"/>
      <c r="WGU127" s="751"/>
      <c r="WGV127" s="751"/>
      <c r="WGW127" s="751"/>
      <c r="WGX127" s="751"/>
      <c r="WGY127" s="751"/>
      <c r="WGZ127" s="751"/>
      <c r="WHA127" s="751"/>
      <c r="WHB127" s="751"/>
      <c r="WHC127" s="751"/>
      <c r="WHD127" s="751"/>
      <c r="WHE127" s="751"/>
      <c r="WHF127" s="751"/>
      <c r="WHG127" s="751"/>
      <c r="WHH127" s="751"/>
      <c r="WHI127" s="751"/>
      <c r="WHJ127" s="751"/>
      <c r="WHK127" s="751"/>
      <c r="WHL127" s="751"/>
      <c r="WHM127" s="751"/>
      <c r="WHN127" s="751"/>
      <c r="WHO127" s="751"/>
      <c r="WHP127" s="751"/>
      <c r="WHQ127" s="751"/>
      <c r="WHR127" s="751"/>
      <c r="WHS127" s="751"/>
      <c r="WHT127" s="751"/>
      <c r="WHU127" s="751"/>
      <c r="WHV127" s="751"/>
      <c r="WHW127" s="751"/>
      <c r="WHX127" s="751"/>
      <c r="WHY127" s="751"/>
      <c r="WHZ127" s="751"/>
      <c r="WIA127" s="751"/>
      <c r="WIB127" s="751"/>
      <c r="WIC127" s="751"/>
      <c r="WID127" s="751"/>
      <c r="WIE127" s="751"/>
      <c r="WIF127" s="751"/>
      <c r="WIG127" s="751"/>
      <c r="WIH127" s="751"/>
      <c r="WII127" s="751"/>
      <c r="WIJ127" s="751"/>
      <c r="WIK127" s="751"/>
      <c r="WIL127" s="751"/>
      <c r="WIM127" s="751"/>
      <c r="WIN127" s="751"/>
      <c r="WIO127" s="751"/>
      <c r="WIP127" s="751"/>
      <c r="WIQ127" s="751"/>
      <c r="WIR127" s="751"/>
      <c r="WIS127" s="751"/>
      <c r="WIT127" s="751"/>
      <c r="WIU127" s="751"/>
      <c r="WIV127" s="751"/>
      <c r="WIW127" s="751"/>
      <c r="WIX127" s="751"/>
      <c r="WIY127" s="751"/>
      <c r="WIZ127" s="751"/>
      <c r="WJA127" s="751"/>
      <c r="WJB127" s="751"/>
      <c r="WJC127" s="751"/>
      <c r="WJD127" s="751"/>
      <c r="WJE127" s="751"/>
      <c r="WJF127" s="751"/>
      <c r="WJG127" s="751"/>
      <c r="WJH127" s="751"/>
      <c r="WJI127" s="751"/>
      <c r="WJJ127" s="751"/>
      <c r="WJK127" s="751"/>
      <c r="WJL127" s="751"/>
      <c r="WJM127" s="751"/>
      <c r="WJN127" s="751"/>
      <c r="WJO127" s="751"/>
      <c r="WJP127" s="751"/>
      <c r="WJQ127" s="751"/>
      <c r="WJR127" s="751"/>
      <c r="WJS127" s="751"/>
      <c r="WJT127" s="751"/>
      <c r="WJU127" s="751"/>
      <c r="WJV127" s="751"/>
      <c r="WJW127" s="751"/>
      <c r="WJX127" s="751"/>
      <c r="WJY127" s="751"/>
      <c r="WJZ127" s="751"/>
      <c r="WKA127" s="751"/>
      <c r="WKB127" s="751"/>
      <c r="WKC127" s="751"/>
      <c r="WKD127" s="751"/>
      <c r="WKE127" s="751"/>
      <c r="WKF127" s="751"/>
      <c r="WKG127" s="751"/>
      <c r="WKH127" s="751"/>
      <c r="WKI127" s="751"/>
      <c r="WKJ127" s="751"/>
      <c r="WKK127" s="751"/>
      <c r="WKL127" s="751"/>
      <c r="WKM127" s="751"/>
      <c r="WKN127" s="751"/>
      <c r="WKO127" s="751"/>
      <c r="WKP127" s="751"/>
      <c r="WKQ127" s="751"/>
      <c r="WKR127" s="751"/>
      <c r="WKS127" s="751"/>
      <c r="WKT127" s="751"/>
      <c r="WKU127" s="751"/>
      <c r="WKV127" s="751"/>
      <c r="WKW127" s="751"/>
      <c r="WKX127" s="751"/>
      <c r="WKY127" s="751"/>
      <c r="WKZ127" s="751"/>
      <c r="WLA127" s="751"/>
      <c r="WLB127" s="751"/>
      <c r="WLC127" s="751"/>
      <c r="WLD127" s="751"/>
      <c r="WLE127" s="751"/>
      <c r="WLF127" s="751"/>
      <c r="WLG127" s="751"/>
      <c r="WLH127" s="751"/>
      <c r="WLI127" s="751"/>
      <c r="WLJ127" s="751"/>
      <c r="WLK127" s="751"/>
      <c r="WLL127" s="751"/>
      <c r="WLM127" s="751"/>
      <c r="WLN127" s="751"/>
      <c r="WLO127" s="751"/>
      <c r="WLP127" s="751"/>
      <c r="WLQ127" s="751"/>
      <c r="WLR127" s="751"/>
      <c r="WLS127" s="751"/>
      <c r="WLT127" s="751"/>
      <c r="WLU127" s="751"/>
      <c r="WLV127" s="751"/>
      <c r="WLW127" s="751"/>
      <c r="WLX127" s="751"/>
      <c r="WLY127" s="751"/>
      <c r="WLZ127" s="751"/>
      <c r="WMA127" s="751"/>
      <c r="WMB127" s="751"/>
      <c r="WMC127" s="751"/>
      <c r="WMD127" s="751"/>
      <c r="WME127" s="751"/>
      <c r="WMF127" s="751"/>
      <c r="WMG127" s="751"/>
      <c r="WMH127" s="751"/>
      <c r="WMI127" s="751"/>
      <c r="WMJ127" s="751"/>
      <c r="WMK127" s="751"/>
      <c r="WML127" s="751"/>
      <c r="WMM127" s="751"/>
      <c r="WMN127" s="751"/>
      <c r="WMO127" s="751"/>
      <c r="WMP127" s="751"/>
      <c r="WMQ127" s="751"/>
      <c r="WMR127" s="751"/>
      <c r="WMS127" s="751"/>
      <c r="WMT127" s="751"/>
      <c r="WMU127" s="751"/>
      <c r="WMV127" s="751"/>
      <c r="WMW127" s="751"/>
      <c r="WMX127" s="751"/>
      <c r="WMY127" s="751"/>
      <c r="WMZ127" s="751"/>
      <c r="WNA127" s="751"/>
      <c r="WNB127" s="751"/>
      <c r="WNC127" s="751"/>
      <c r="WND127" s="751"/>
      <c r="WNE127" s="751"/>
      <c r="WNF127" s="751"/>
      <c r="WNG127" s="751"/>
      <c r="WNH127" s="751"/>
      <c r="WNI127" s="751"/>
      <c r="WNJ127" s="751"/>
      <c r="WNK127" s="751"/>
      <c r="WNL127" s="751"/>
      <c r="WNM127" s="751"/>
      <c r="WNN127" s="751"/>
      <c r="WNO127" s="751"/>
      <c r="WNP127" s="751"/>
      <c r="WNQ127" s="751"/>
      <c r="WNR127" s="751"/>
      <c r="WNS127" s="751"/>
      <c r="WNT127" s="751"/>
      <c r="WNU127" s="751"/>
      <c r="WNV127" s="751"/>
      <c r="WNW127" s="751"/>
      <c r="WNX127" s="751"/>
      <c r="WNY127" s="751"/>
      <c r="WNZ127" s="751"/>
      <c r="WOA127" s="751"/>
      <c r="WOB127" s="751"/>
      <c r="WOC127" s="751"/>
      <c r="WOD127" s="751"/>
      <c r="WOE127" s="751"/>
      <c r="WOF127" s="751"/>
      <c r="WOG127" s="751"/>
      <c r="WOH127" s="751"/>
      <c r="WOI127" s="751"/>
      <c r="WOJ127" s="751"/>
      <c r="WOK127" s="751"/>
      <c r="WOL127" s="751"/>
      <c r="WOM127" s="751"/>
      <c r="WON127" s="751"/>
      <c r="WOO127" s="751"/>
      <c r="WOP127" s="751"/>
      <c r="WOQ127" s="751"/>
      <c r="WOR127" s="751"/>
      <c r="WOS127" s="751"/>
      <c r="WOT127" s="751"/>
      <c r="WOU127" s="751"/>
      <c r="WOV127" s="751"/>
      <c r="WOW127" s="751"/>
      <c r="WOX127" s="751"/>
      <c r="WOY127" s="751"/>
      <c r="WOZ127" s="751"/>
      <c r="WPA127" s="751"/>
      <c r="WPB127" s="751"/>
      <c r="WPC127" s="751"/>
      <c r="WPD127" s="751"/>
      <c r="WPE127" s="751"/>
      <c r="WPF127" s="751"/>
      <c r="WPG127" s="751"/>
      <c r="WPH127" s="751"/>
      <c r="WPI127" s="751"/>
      <c r="WPJ127" s="751"/>
      <c r="WPK127" s="751"/>
      <c r="WPL127" s="751"/>
      <c r="WPM127" s="751"/>
      <c r="WPN127" s="751"/>
      <c r="WPO127" s="751"/>
      <c r="WPP127" s="751"/>
      <c r="WPQ127" s="751"/>
      <c r="WPR127" s="751"/>
      <c r="WPS127" s="751"/>
      <c r="WPT127" s="751"/>
      <c r="WPU127" s="751"/>
      <c r="WPV127" s="751"/>
      <c r="WPW127" s="751"/>
      <c r="WPX127" s="751"/>
      <c r="WPY127" s="751"/>
      <c r="WPZ127" s="751"/>
      <c r="WQA127" s="751"/>
      <c r="WQB127" s="751"/>
      <c r="WQC127" s="751"/>
      <c r="WQD127" s="751"/>
      <c r="WQE127" s="751"/>
      <c r="WQF127" s="751"/>
      <c r="WQG127" s="751"/>
      <c r="WQH127" s="751"/>
      <c r="WQI127" s="751"/>
      <c r="WQJ127" s="751"/>
      <c r="WQK127" s="751"/>
      <c r="WQL127" s="751"/>
      <c r="WQM127" s="751"/>
      <c r="WQN127" s="751"/>
      <c r="WQO127" s="751"/>
      <c r="WQP127" s="751"/>
      <c r="WQQ127" s="751"/>
      <c r="WQR127" s="751"/>
      <c r="WQS127" s="751"/>
      <c r="WQT127" s="751"/>
      <c r="WQU127" s="751"/>
      <c r="WQV127" s="751"/>
      <c r="WQW127" s="751"/>
      <c r="WQX127" s="751"/>
      <c r="WQY127" s="751"/>
      <c r="WQZ127" s="751"/>
      <c r="WRA127" s="751"/>
      <c r="WRB127" s="751"/>
      <c r="WRC127" s="751"/>
      <c r="WRD127" s="751"/>
      <c r="WRE127" s="751"/>
      <c r="WRF127" s="751"/>
      <c r="WRG127" s="751"/>
      <c r="WRH127" s="751"/>
      <c r="WRI127" s="751"/>
      <c r="WRJ127" s="751"/>
      <c r="WRK127" s="751"/>
      <c r="WRL127" s="751"/>
      <c r="WRM127" s="751"/>
      <c r="WRN127" s="751"/>
      <c r="WRO127" s="751"/>
      <c r="WRP127" s="751"/>
      <c r="WRQ127" s="751"/>
      <c r="WRR127" s="751"/>
      <c r="WRS127" s="751"/>
      <c r="WRT127" s="751"/>
      <c r="WRU127" s="751"/>
      <c r="WRV127" s="751"/>
      <c r="WRW127" s="751"/>
      <c r="WRX127" s="751"/>
      <c r="WRY127" s="751"/>
      <c r="WRZ127" s="751"/>
      <c r="WSA127" s="751"/>
      <c r="WSB127" s="751"/>
      <c r="WSC127" s="751"/>
      <c r="WSD127" s="751"/>
      <c r="WSE127" s="751"/>
      <c r="WSF127" s="751"/>
      <c r="WSG127" s="751"/>
      <c r="WSH127" s="751"/>
      <c r="WSI127" s="751"/>
      <c r="WSJ127" s="751"/>
      <c r="WSK127" s="751"/>
      <c r="WSL127" s="751"/>
      <c r="WSM127" s="751"/>
      <c r="WSN127" s="751"/>
      <c r="WSO127" s="751"/>
      <c r="WSP127" s="751"/>
      <c r="WSQ127" s="751"/>
      <c r="WSR127" s="751"/>
      <c r="WSS127" s="751"/>
      <c r="WST127" s="751"/>
      <c r="WSU127" s="751"/>
      <c r="WSV127" s="751"/>
      <c r="WSW127" s="751"/>
      <c r="WSX127" s="751"/>
      <c r="WSY127" s="751"/>
      <c r="WSZ127" s="751"/>
      <c r="WTA127" s="751"/>
      <c r="WTB127" s="751"/>
      <c r="WTC127" s="751"/>
      <c r="WTD127" s="751"/>
      <c r="WTE127" s="751"/>
      <c r="WTF127" s="751"/>
      <c r="WTG127" s="751"/>
      <c r="WTH127" s="751"/>
      <c r="WTI127" s="751"/>
      <c r="WTJ127" s="751"/>
      <c r="WTK127" s="751"/>
      <c r="WTL127" s="751"/>
      <c r="WTM127" s="751"/>
      <c r="WTN127" s="751"/>
      <c r="WTO127" s="751"/>
      <c r="WTP127" s="751"/>
      <c r="WTQ127" s="751"/>
      <c r="WTR127" s="751"/>
      <c r="WTS127" s="751"/>
      <c r="WTT127" s="751"/>
      <c r="WTU127" s="751"/>
      <c r="WTV127" s="751"/>
      <c r="WTW127" s="751"/>
      <c r="WTX127" s="751"/>
      <c r="WTY127" s="751"/>
      <c r="WTZ127" s="751"/>
      <c r="WUA127" s="751"/>
      <c r="WUB127" s="751"/>
      <c r="WUC127" s="751"/>
      <c r="WUD127" s="751"/>
      <c r="WUE127" s="751"/>
      <c r="WUF127" s="751"/>
      <c r="WUG127" s="751"/>
      <c r="WUH127" s="751"/>
      <c r="WUI127" s="751"/>
      <c r="WUJ127" s="751"/>
      <c r="WUK127" s="751"/>
      <c r="WUL127" s="751"/>
      <c r="WUM127" s="751"/>
      <c r="WUN127" s="751"/>
      <c r="WUO127" s="751"/>
      <c r="WUP127" s="751"/>
      <c r="WUQ127" s="751"/>
      <c r="WUR127" s="751"/>
      <c r="WUS127" s="751"/>
      <c r="WUT127" s="751"/>
      <c r="WUU127" s="751"/>
      <c r="WUV127" s="751"/>
      <c r="WUW127" s="751"/>
      <c r="WUX127" s="751"/>
      <c r="WUY127" s="751"/>
      <c r="WUZ127" s="751"/>
      <c r="WVA127" s="751"/>
      <c r="WVB127" s="751"/>
      <c r="WVC127" s="751"/>
      <c r="WVD127" s="751"/>
      <c r="WVE127" s="751"/>
      <c r="WVF127" s="751"/>
      <c r="WVG127" s="751"/>
      <c r="WVH127" s="751"/>
      <c r="WVI127" s="751"/>
      <c r="WVJ127" s="751"/>
      <c r="WVK127" s="751"/>
      <c r="WVL127" s="751"/>
      <c r="WVM127" s="751"/>
      <c r="WVN127" s="751"/>
      <c r="WVO127" s="751"/>
      <c r="WVP127" s="751"/>
      <c r="WVQ127" s="751"/>
      <c r="WVR127" s="751"/>
      <c r="WVS127" s="751"/>
    </row>
    <row r="128" spans="1:16139">
      <c r="A128" s="751" t="s">
        <v>1099</v>
      </c>
      <c r="B128" s="751" t="s">
        <v>1109</v>
      </c>
      <c r="C128" s="751" t="s">
        <v>1110</v>
      </c>
      <c r="D128" s="751" t="s">
        <v>1102</v>
      </c>
      <c r="E128" s="751" t="s">
        <v>792</v>
      </c>
      <c r="F128" s="751" t="s">
        <v>793</v>
      </c>
      <c r="G128" s="751" t="s">
        <v>1103</v>
      </c>
      <c r="H128" s="751">
        <v>51673</v>
      </c>
      <c r="I128" s="751" t="s">
        <v>1111</v>
      </c>
      <c r="J128" s="751">
        <v>18</v>
      </c>
      <c r="K128" s="751"/>
      <c r="L128" s="751"/>
      <c r="M128" s="751"/>
      <c r="N128" s="751"/>
      <c r="O128" s="751"/>
      <c r="P128" s="751"/>
      <c r="Q128" s="751"/>
      <c r="R128" s="751"/>
      <c r="S128" s="751"/>
      <c r="T128" s="751"/>
      <c r="U128" s="751"/>
      <c r="V128" s="751"/>
      <c r="W128" s="751"/>
      <c r="X128" s="751"/>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c r="BJ128" s="751"/>
      <c r="BK128" s="751"/>
      <c r="BL128" s="751"/>
      <c r="BM128" s="751"/>
      <c r="BN128" s="751"/>
      <c r="BO128" s="751"/>
      <c r="BP128" s="751"/>
      <c r="BQ128" s="751"/>
      <c r="BR128" s="751"/>
      <c r="BS128" s="751"/>
      <c r="BT128" s="751"/>
      <c r="BU128" s="751"/>
      <c r="BV128" s="751"/>
      <c r="BW128" s="751"/>
      <c r="BX128" s="751"/>
      <c r="BY128" s="751"/>
      <c r="BZ128" s="751"/>
      <c r="CA128" s="751"/>
      <c r="CB128" s="751"/>
      <c r="CC128" s="751"/>
      <c r="CD128" s="751"/>
      <c r="CE128" s="751"/>
      <c r="CF128" s="751"/>
      <c r="CG128" s="751"/>
      <c r="CH128" s="751"/>
      <c r="CI128" s="751"/>
      <c r="CJ128" s="751"/>
      <c r="CK128" s="751"/>
      <c r="CL128" s="751"/>
      <c r="CM128" s="751"/>
      <c r="CN128" s="751"/>
      <c r="CO128" s="751"/>
      <c r="CP128" s="751"/>
      <c r="CQ128" s="751"/>
      <c r="CR128" s="751"/>
      <c r="CS128" s="751"/>
      <c r="CT128" s="751"/>
      <c r="CU128" s="751"/>
      <c r="CV128" s="751"/>
      <c r="CW128" s="751"/>
      <c r="CX128" s="751"/>
      <c r="CY128" s="751"/>
      <c r="CZ128" s="751"/>
      <c r="DA128" s="751"/>
      <c r="DB128" s="751"/>
      <c r="DC128" s="751"/>
      <c r="DD128" s="751"/>
      <c r="DE128" s="751"/>
      <c r="DF128" s="751"/>
      <c r="DG128" s="751"/>
      <c r="DH128" s="751"/>
      <c r="DI128" s="751"/>
      <c r="DJ128" s="751"/>
      <c r="DK128" s="751"/>
      <c r="DL128" s="751"/>
      <c r="DM128" s="751"/>
      <c r="DN128" s="751"/>
      <c r="DO128" s="751"/>
      <c r="DP128" s="751"/>
      <c r="DQ128" s="751"/>
      <c r="DR128" s="751"/>
      <c r="DS128" s="751"/>
      <c r="DT128" s="751"/>
      <c r="DU128" s="751"/>
      <c r="DV128" s="751"/>
      <c r="DW128" s="751"/>
      <c r="DX128" s="751"/>
      <c r="DY128" s="751"/>
      <c r="DZ128" s="751"/>
      <c r="EA128" s="751"/>
      <c r="EB128" s="751"/>
      <c r="EC128" s="751"/>
      <c r="ED128" s="751"/>
      <c r="EE128" s="751"/>
      <c r="EF128" s="751"/>
      <c r="EG128" s="751"/>
      <c r="EH128" s="751"/>
      <c r="EI128" s="751"/>
      <c r="EJ128" s="751"/>
      <c r="EK128" s="751"/>
      <c r="EL128" s="751"/>
      <c r="EM128" s="751"/>
      <c r="EN128" s="751"/>
      <c r="EO128" s="751"/>
      <c r="EP128" s="751"/>
      <c r="EQ128" s="751"/>
      <c r="ER128" s="751"/>
      <c r="ES128" s="751"/>
      <c r="ET128" s="751"/>
      <c r="EU128" s="751"/>
      <c r="EV128" s="751"/>
      <c r="EW128" s="751"/>
      <c r="EX128" s="751"/>
      <c r="EY128" s="751"/>
      <c r="EZ128" s="751"/>
      <c r="FA128" s="751"/>
      <c r="FB128" s="751"/>
      <c r="FC128" s="751"/>
      <c r="FD128" s="751"/>
      <c r="FE128" s="751"/>
      <c r="FF128" s="751"/>
      <c r="FG128" s="751"/>
      <c r="FH128" s="751"/>
      <c r="FI128" s="751"/>
      <c r="FJ128" s="751"/>
      <c r="FK128" s="751"/>
      <c r="FL128" s="751"/>
      <c r="FM128" s="751"/>
      <c r="FN128" s="751"/>
      <c r="FO128" s="751"/>
      <c r="FP128" s="751"/>
      <c r="FQ128" s="751"/>
      <c r="FR128" s="751"/>
      <c r="FS128" s="751"/>
      <c r="FT128" s="751"/>
      <c r="FU128" s="751"/>
      <c r="FV128" s="751"/>
      <c r="FW128" s="751"/>
      <c r="FX128" s="751"/>
      <c r="FY128" s="751"/>
      <c r="FZ128" s="751"/>
      <c r="GA128" s="751"/>
      <c r="GB128" s="751"/>
      <c r="GC128" s="751"/>
      <c r="GD128" s="751"/>
      <c r="GE128" s="751"/>
      <c r="GF128" s="751"/>
      <c r="GG128" s="751"/>
      <c r="GH128" s="751"/>
      <c r="GI128" s="751"/>
      <c r="GJ128" s="751"/>
      <c r="GK128" s="751"/>
      <c r="GL128" s="751"/>
      <c r="GM128" s="751"/>
      <c r="GN128" s="751"/>
      <c r="GO128" s="751"/>
      <c r="GP128" s="751"/>
      <c r="GQ128" s="751"/>
      <c r="GR128" s="751"/>
      <c r="GS128" s="751"/>
      <c r="GT128" s="751"/>
      <c r="GU128" s="751"/>
      <c r="GV128" s="751"/>
      <c r="GW128" s="751"/>
      <c r="GX128" s="751"/>
      <c r="GY128" s="751"/>
      <c r="GZ128" s="751"/>
      <c r="HA128" s="751"/>
      <c r="HB128" s="751"/>
      <c r="HC128" s="751"/>
      <c r="HD128" s="751"/>
      <c r="HE128" s="751"/>
      <c r="HF128" s="751"/>
      <c r="HG128" s="751"/>
      <c r="HH128" s="751"/>
      <c r="HI128" s="751"/>
      <c r="HJ128" s="751"/>
      <c r="HK128" s="751"/>
      <c r="HL128" s="751"/>
      <c r="HM128" s="751"/>
      <c r="HN128" s="751"/>
      <c r="HO128" s="751"/>
      <c r="HP128" s="751"/>
      <c r="HQ128" s="751"/>
      <c r="HR128" s="751"/>
      <c r="HS128" s="751"/>
      <c r="HT128" s="751"/>
      <c r="HU128" s="751"/>
      <c r="HV128" s="751"/>
      <c r="HW128" s="751"/>
      <c r="HX128" s="751"/>
      <c r="HY128" s="751"/>
      <c r="HZ128" s="751"/>
      <c r="IA128" s="751"/>
      <c r="IB128" s="751"/>
      <c r="IC128" s="751"/>
      <c r="ID128" s="751"/>
      <c r="IE128" s="751"/>
      <c r="IF128" s="751"/>
      <c r="IG128" s="751"/>
      <c r="IH128" s="751"/>
      <c r="II128" s="751"/>
      <c r="IJ128" s="751"/>
      <c r="IK128" s="751"/>
      <c r="IL128" s="751"/>
      <c r="IM128" s="751"/>
      <c r="IN128" s="751"/>
      <c r="IO128" s="751"/>
      <c r="IP128" s="751"/>
      <c r="IQ128" s="751"/>
      <c r="IR128" s="751"/>
      <c r="IS128" s="751"/>
      <c r="IT128" s="751"/>
      <c r="IU128" s="751"/>
      <c r="IV128" s="751"/>
      <c r="IW128" s="751"/>
      <c r="IX128" s="751"/>
      <c r="IY128" s="751"/>
      <c r="IZ128" s="751"/>
      <c r="JA128" s="751"/>
      <c r="JB128" s="751"/>
      <c r="JC128" s="751"/>
      <c r="JD128" s="751"/>
      <c r="JE128" s="751"/>
      <c r="JF128" s="751"/>
      <c r="JG128" s="751"/>
      <c r="JH128" s="751"/>
      <c r="JI128" s="751"/>
      <c r="JJ128" s="751"/>
      <c r="JK128" s="751"/>
      <c r="JL128" s="751"/>
      <c r="JM128" s="751"/>
      <c r="JN128" s="751"/>
      <c r="JO128" s="751"/>
      <c r="JP128" s="751"/>
      <c r="JQ128" s="751"/>
      <c r="JR128" s="751"/>
      <c r="JS128" s="751"/>
      <c r="JT128" s="751"/>
      <c r="JU128" s="751"/>
      <c r="JV128" s="751"/>
      <c r="JW128" s="751"/>
      <c r="JX128" s="751"/>
      <c r="JY128" s="751"/>
      <c r="JZ128" s="751"/>
      <c r="KA128" s="751"/>
      <c r="KB128" s="751"/>
      <c r="KC128" s="751"/>
      <c r="KD128" s="751"/>
      <c r="KE128" s="751"/>
      <c r="KF128" s="751"/>
      <c r="KG128" s="751"/>
      <c r="KH128" s="751"/>
      <c r="KI128" s="751"/>
      <c r="KJ128" s="751"/>
      <c r="KK128" s="751"/>
      <c r="KL128" s="751"/>
      <c r="KM128" s="751"/>
      <c r="KN128" s="751"/>
      <c r="KO128" s="751"/>
      <c r="KP128" s="751"/>
      <c r="KQ128" s="751"/>
      <c r="KR128" s="751"/>
      <c r="KS128" s="751"/>
      <c r="KT128" s="751"/>
      <c r="KU128" s="751"/>
      <c r="KV128" s="751"/>
      <c r="KW128" s="751"/>
      <c r="KX128" s="751"/>
      <c r="KY128" s="751"/>
      <c r="KZ128" s="751"/>
      <c r="LA128" s="751"/>
      <c r="LB128" s="751"/>
      <c r="LC128" s="751"/>
      <c r="LD128" s="751"/>
      <c r="LE128" s="751"/>
      <c r="LF128" s="751"/>
      <c r="LG128" s="751"/>
      <c r="LH128" s="751"/>
      <c r="LI128" s="751"/>
      <c r="LJ128" s="751"/>
      <c r="LK128" s="751"/>
      <c r="LL128" s="751"/>
      <c r="LM128" s="751"/>
      <c r="LN128" s="751"/>
      <c r="LO128" s="751"/>
      <c r="LP128" s="751"/>
      <c r="LQ128" s="751"/>
      <c r="LR128" s="751"/>
      <c r="LS128" s="751"/>
      <c r="LT128" s="751"/>
      <c r="LU128" s="751"/>
      <c r="LV128" s="751"/>
      <c r="LW128" s="751"/>
      <c r="LX128" s="751"/>
      <c r="LY128" s="751"/>
      <c r="LZ128" s="751"/>
      <c r="MA128" s="751"/>
      <c r="MB128" s="751"/>
      <c r="MC128" s="751"/>
      <c r="MD128" s="751"/>
      <c r="ME128" s="751"/>
      <c r="MF128" s="751"/>
      <c r="MG128" s="751"/>
      <c r="MH128" s="751"/>
      <c r="MI128" s="751"/>
      <c r="MJ128" s="751"/>
      <c r="MK128" s="751"/>
      <c r="ML128" s="751"/>
      <c r="MM128" s="751"/>
      <c r="MN128" s="751"/>
      <c r="MO128" s="751"/>
      <c r="MP128" s="751"/>
      <c r="MQ128" s="751"/>
      <c r="MR128" s="751"/>
      <c r="MS128" s="751"/>
      <c r="MT128" s="751"/>
      <c r="MU128" s="751"/>
      <c r="MV128" s="751"/>
      <c r="MW128" s="751"/>
      <c r="MX128" s="751"/>
      <c r="MY128" s="751"/>
      <c r="MZ128" s="751"/>
      <c r="NA128" s="751"/>
      <c r="NB128" s="751"/>
      <c r="NC128" s="751"/>
      <c r="ND128" s="751"/>
      <c r="NE128" s="751"/>
      <c r="NF128" s="751"/>
      <c r="NG128" s="751"/>
      <c r="NH128" s="751"/>
      <c r="NI128" s="751"/>
      <c r="NJ128" s="751"/>
      <c r="NK128" s="751"/>
      <c r="NL128" s="751"/>
      <c r="NM128" s="751"/>
      <c r="NN128" s="751"/>
      <c r="NO128" s="751"/>
      <c r="NP128" s="751"/>
      <c r="NQ128" s="751"/>
      <c r="NR128" s="751"/>
      <c r="NS128" s="751"/>
      <c r="NT128" s="751"/>
      <c r="NU128" s="751"/>
      <c r="NV128" s="751"/>
      <c r="NW128" s="751"/>
      <c r="NX128" s="751"/>
      <c r="NY128" s="751"/>
      <c r="NZ128" s="751"/>
      <c r="OA128" s="751"/>
      <c r="OB128" s="751"/>
      <c r="OC128" s="751"/>
      <c r="OD128" s="751"/>
      <c r="OE128" s="751"/>
      <c r="OF128" s="751"/>
      <c r="OG128" s="751"/>
      <c r="OH128" s="751"/>
      <c r="OI128" s="751"/>
      <c r="OJ128" s="751"/>
      <c r="OK128" s="751"/>
      <c r="OL128" s="751"/>
      <c r="OM128" s="751"/>
      <c r="ON128" s="751"/>
      <c r="OO128" s="751"/>
      <c r="OP128" s="751"/>
      <c r="OQ128" s="751"/>
      <c r="OR128" s="751"/>
      <c r="OS128" s="751"/>
      <c r="OT128" s="751"/>
      <c r="OU128" s="751"/>
      <c r="OV128" s="751"/>
      <c r="OW128" s="751"/>
      <c r="OX128" s="751"/>
      <c r="OY128" s="751"/>
      <c r="OZ128" s="751"/>
      <c r="PA128" s="751"/>
      <c r="PB128" s="751"/>
      <c r="PC128" s="751"/>
      <c r="PD128" s="751"/>
      <c r="PE128" s="751"/>
      <c r="PF128" s="751"/>
      <c r="PG128" s="751"/>
      <c r="PH128" s="751"/>
      <c r="PI128" s="751"/>
      <c r="PJ128" s="751"/>
      <c r="PK128" s="751"/>
      <c r="PL128" s="751"/>
      <c r="PM128" s="751"/>
      <c r="PN128" s="751"/>
      <c r="PO128" s="751"/>
      <c r="PP128" s="751"/>
      <c r="PQ128" s="751"/>
      <c r="PR128" s="751"/>
      <c r="PS128" s="751"/>
      <c r="PT128" s="751"/>
      <c r="PU128" s="751"/>
      <c r="PV128" s="751"/>
      <c r="PW128" s="751"/>
      <c r="PX128" s="751"/>
      <c r="PY128" s="751"/>
      <c r="PZ128" s="751"/>
      <c r="QA128" s="751"/>
      <c r="QB128" s="751"/>
      <c r="QC128" s="751"/>
      <c r="QD128" s="751"/>
      <c r="QE128" s="751"/>
      <c r="QF128" s="751"/>
      <c r="QG128" s="751"/>
      <c r="QH128" s="751"/>
      <c r="QI128" s="751"/>
      <c r="QJ128" s="751"/>
      <c r="QK128" s="751"/>
      <c r="QL128" s="751"/>
      <c r="QM128" s="751"/>
      <c r="QN128" s="751"/>
      <c r="QO128" s="751"/>
      <c r="QP128" s="751"/>
      <c r="QQ128" s="751"/>
      <c r="QR128" s="751"/>
      <c r="QS128" s="751"/>
      <c r="QT128" s="751"/>
      <c r="QU128" s="751"/>
      <c r="QV128" s="751"/>
      <c r="QW128" s="751"/>
      <c r="QX128" s="751"/>
      <c r="QY128" s="751"/>
      <c r="QZ128" s="751"/>
      <c r="RA128" s="751"/>
      <c r="RB128" s="751"/>
      <c r="RC128" s="751"/>
      <c r="RD128" s="751"/>
      <c r="RE128" s="751"/>
      <c r="RF128" s="751"/>
      <c r="RG128" s="751"/>
      <c r="RH128" s="751"/>
      <c r="RI128" s="751"/>
      <c r="RJ128" s="751"/>
      <c r="RK128" s="751"/>
      <c r="RL128" s="751"/>
      <c r="RM128" s="751"/>
      <c r="RN128" s="751"/>
      <c r="RO128" s="751"/>
      <c r="RP128" s="751"/>
      <c r="RQ128" s="751"/>
      <c r="RR128" s="751"/>
      <c r="RS128" s="751"/>
      <c r="RT128" s="751"/>
      <c r="RU128" s="751"/>
      <c r="RV128" s="751"/>
      <c r="RW128" s="751"/>
      <c r="RX128" s="751"/>
      <c r="RY128" s="751"/>
      <c r="RZ128" s="751"/>
      <c r="SA128" s="751"/>
      <c r="SB128" s="751"/>
      <c r="SC128" s="751"/>
      <c r="SD128" s="751"/>
      <c r="SE128" s="751"/>
      <c r="SF128" s="751"/>
      <c r="SG128" s="751"/>
      <c r="SH128" s="751"/>
      <c r="SI128" s="751"/>
      <c r="SJ128" s="751"/>
      <c r="SK128" s="751"/>
      <c r="SL128" s="751"/>
      <c r="SM128" s="751"/>
      <c r="SN128" s="751"/>
      <c r="SO128" s="751"/>
      <c r="SP128" s="751"/>
      <c r="SQ128" s="751"/>
      <c r="SR128" s="751"/>
      <c r="SS128" s="751"/>
      <c r="ST128" s="751"/>
      <c r="SU128" s="751"/>
      <c r="SV128" s="751"/>
      <c r="SW128" s="751"/>
      <c r="SX128" s="751"/>
      <c r="SY128" s="751"/>
      <c r="SZ128" s="751"/>
      <c r="TA128" s="751"/>
      <c r="TB128" s="751"/>
      <c r="TC128" s="751"/>
      <c r="TD128" s="751"/>
      <c r="TE128" s="751"/>
      <c r="TF128" s="751"/>
      <c r="TG128" s="751"/>
      <c r="TH128" s="751"/>
      <c r="TI128" s="751"/>
      <c r="TJ128" s="751"/>
      <c r="TK128" s="751"/>
      <c r="TL128" s="751"/>
      <c r="TM128" s="751"/>
      <c r="TN128" s="751"/>
      <c r="TO128" s="751"/>
      <c r="TP128" s="751"/>
      <c r="TQ128" s="751"/>
      <c r="TR128" s="751"/>
      <c r="TS128" s="751"/>
      <c r="TT128" s="751"/>
      <c r="TU128" s="751"/>
      <c r="TV128" s="751"/>
      <c r="TW128" s="751"/>
      <c r="TX128" s="751"/>
      <c r="TY128" s="751"/>
      <c r="TZ128" s="751"/>
      <c r="UA128" s="751"/>
      <c r="UB128" s="751"/>
      <c r="UC128" s="751"/>
      <c r="UD128" s="751"/>
      <c r="UE128" s="751"/>
      <c r="UF128" s="751"/>
      <c r="UG128" s="751"/>
      <c r="UH128" s="751"/>
      <c r="UI128" s="751"/>
      <c r="UJ128" s="751"/>
      <c r="UK128" s="751"/>
      <c r="UL128" s="751"/>
      <c r="UM128" s="751"/>
      <c r="UN128" s="751"/>
      <c r="UO128" s="751"/>
      <c r="UP128" s="751"/>
      <c r="UQ128" s="751"/>
      <c r="UR128" s="751"/>
      <c r="US128" s="751"/>
      <c r="UT128" s="751"/>
      <c r="UU128" s="751"/>
      <c r="UV128" s="751"/>
      <c r="UW128" s="751"/>
      <c r="UX128" s="751"/>
      <c r="UY128" s="751"/>
      <c r="UZ128" s="751"/>
      <c r="VA128" s="751"/>
      <c r="VB128" s="751"/>
      <c r="VC128" s="751"/>
      <c r="VD128" s="751"/>
      <c r="VE128" s="751"/>
      <c r="VF128" s="751"/>
      <c r="VG128" s="751"/>
      <c r="VH128" s="751"/>
      <c r="VI128" s="751"/>
      <c r="VJ128" s="751"/>
      <c r="VK128" s="751"/>
      <c r="VL128" s="751"/>
      <c r="VM128" s="751"/>
      <c r="VN128" s="751"/>
      <c r="VO128" s="751"/>
      <c r="VP128" s="751"/>
      <c r="VQ128" s="751"/>
      <c r="VR128" s="751"/>
      <c r="VS128" s="751"/>
      <c r="VT128" s="751"/>
      <c r="VU128" s="751"/>
      <c r="VV128" s="751"/>
      <c r="VW128" s="751"/>
      <c r="VX128" s="751"/>
      <c r="VY128" s="751"/>
      <c r="VZ128" s="751"/>
      <c r="WA128" s="751"/>
      <c r="WB128" s="751"/>
      <c r="WC128" s="751"/>
      <c r="WD128" s="751"/>
      <c r="WE128" s="751"/>
      <c r="WF128" s="751"/>
      <c r="WG128" s="751"/>
      <c r="WH128" s="751"/>
      <c r="WI128" s="751"/>
      <c r="WJ128" s="751"/>
      <c r="WK128" s="751"/>
      <c r="WL128" s="751"/>
      <c r="WM128" s="751"/>
      <c r="WN128" s="751"/>
      <c r="WO128" s="751"/>
      <c r="WP128" s="751"/>
      <c r="WQ128" s="751"/>
      <c r="WR128" s="751"/>
      <c r="WS128" s="751"/>
      <c r="WT128" s="751"/>
      <c r="WU128" s="751"/>
      <c r="WV128" s="751"/>
      <c r="WW128" s="751"/>
      <c r="WX128" s="751"/>
      <c r="WY128" s="751"/>
      <c r="WZ128" s="751"/>
      <c r="XA128" s="751"/>
      <c r="XB128" s="751"/>
      <c r="XC128" s="751"/>
      <c r="XD128" s="751"/>
      <c r="XE128" s="751"/>
      <c r="XF128" s="751"/>
      <c r="XG128" s="751"/>
      <c r="XH128" s="751"/>
      <c r="XI128" s="751"/>
      <c r="XJ128" s="751"/>
      <c r="XK128" s="751"/>
      <c r="XL128" s="751"/>
      <c r="XM128" s="751"/>
      <c r="XN128" s="751"/>
      <c r="XO128" s="751"/>
      <c r="XP128" s="751"/>
      <c r="XQ128" s="751"/>
      <c r="XR128" s="751"/>
      <c r="XS128" s="751"/>
      <c r="XT128" s="751"/>
      <c r="XU128" s="751"/>
      <c r="XV128" s="751"/>
      <c r="XW128" s="751"/>
      <c r="XX128" s="751"/>
      <c r="XY128" s="751"/>
      <c r="XZ128" s="751"/>
      <c r="YA128" s="751"/>
      <c r="YB128" s="751"/>
      <c r="YC128" s="751"/>
      <c r="YD128" s="751"/>
      <c r="YE128" s="751"/>
      <c r="YF128" s="751"/>
      <c r="YG128" s="751"/>
      <c r="YH128" s="751"/>
      <c r="YI128" s="751"/>
      <c r="YJ128" s="751"/>
      <c r="YK128" s="751"/>
      <c r="YL128" s="751"/>
      <c r="YM128" s="751"/>
      <c r="YN128" s="751"/>
      <c r="YO128" s="751"/>
      <c r="YP128" s="751"/>
      <c r="YQ128" s="751"/>
      <c r="YR128" s="751"/>
      <c r="YS128" s="751"/>
      <c r="YT128" s="751"/>
      <c r="YU128" s="751"/>
      <c r="YV128" s="751"/>
      <c r="YW128" s="751"/>
      <c r="YX128" s="751"/>
      <c r="YY128" s="751"/>
      <c r="YZ128" s="751"/>
      <c r="ZA128" s="751"/>
      <c r="ZB128" s="751"/>
      <c r="ZC128" s="751"/>
      <c r="ZD128" s="751"/>
      <c r="ZE128" s="751"/>
      <c r="ZF128" s="751"/>
      <c r="ZG128" s="751"/>
      <c r="ZH128" s="751"/>
      <c r="ZI128" s="751"/>
      <c r="ZJ128" s="751"/>
      <c r="ZK128" s="751"/>
      <c r="ZL128" s="751"/>
      <c r="ZM128" s="751"/>
      <c r="ZN128" s="751"/>
      <c r="ZO128" s="751"/>
      <c r="ZP128" s="751"/>
      <c r="ZQ128" s="751"/>
      <c r="ZR128" s="751"/>
      <c r="ZS128" s="751"/>
      <c r="ZT128" s="751"/>
      <c r="ZU128" s="751"/>
      <c r="ZV128" s="751"/>
      <c r="ZW128" s="751"/>
      <c r="ZX128" s="751"/>
      <c r="ZY128" s="751"/>
      <c r="ZZ128" s="751"/>
      <c r="AAA128" s="751"/>
      <c r="AAB128" s="751"/>
      <c r="AAC128" s="751"/>
      <c r="AAD128" s="751"/>
      <c r="AAE128" s="751"/>
      <c r="AAF128" s="751"/>
      <c r="AAG128" s="751"/>
      <c r="AAH128" s="751"/>
      <c r="AAI128" s="751"/>
      <c r="AAJ128" s="751"/>
      <c r="AAK128" s="751"/>
      <c r="AAL128" s="751"/>
      <c r="AAM128" s="751"/>
      <c r="AAN128" s="751"/>
      <c r="AAO128" s="751"/>
      <c r="AAP128" s="751"/>
      <c r="AAQ128" s="751"/>
      <c r="AAR128" s="751"/>
      <c r="AAS128" s="751"/>
      <c r="AAT128" s="751"/>
      <c r="AAU128" s="751"/>
      <c r="AAV128" s="751"/>
      <c r="AAW128" s="751"/>
      <c r="AAX128" s="751"/>
      <c r="AAY128" s="751"/>
      <c r="AAZ128" s="751"/>
      <c r="ABA128" s="751"/>
      <c r="ABB128" s="751"/>
      <c r="ABC128" s="751"/>
      <c r="ABD128" s="751"/>
      <c r="ABE128" s="751"/>
      <c r="ABF128" s="751"/>
      <c r="ABG128" s="751"/>
      <c r="ABH128" s="751"/>
      <c r="ABI128" s="751"/>
      <c r="ABJ128" s="751"/>
      <c r="ABK128" s="751"/>
      <c r="ABL128" s="751"/>
      <c r="ABM128" s="751"/>
      <c r="ABN128" s="751"/>
      <c r="ABO128" s="751"/>
      <c r="ABP128" s="751"/>
      <c r="ABQ128" s="751"/>
      <c r="ABR128" s="751"/>
      <c r="ABS128" s="751"/>
      <c r="ABT128" s="751"/>
      <c r="ABU128" s="751"/>
      <c r="ABV128" s="751"/>
      <c r="ABW128" s="751"/>
      <c r="ABX128" s="751"/>
      <c r="ABY128" s="751"/>
      <c r="ABZ128" s="751"/>
      <c r="ACA128" s="751"/>
      <c r="ACB128" s="751"/>
      <c r="ACC128" s="751"/>
      <c r="ACD128" s="751"/>
      <c r="ACE128" s="751"/>
      <c r="ACF128" s="751"/>
      <c r="ACG128" s="751"/>
      <c r="ACH128" s="751"/>
      <c r="ACI128" s="751"/>
      <c r="ACJ128" s="751"/>
      <c r="ACK128" s="751"/>
      <c r="ACL128" s="751"/>
      <c r="ACM128" s="751"/>
      <c r="ACN128" s="751"/>
      <c r="ACO128" s="751"/>
      <c r="ACP128" s="751"/>
      <c r="ACQ128" s="751"/>
      <c r="ACR128" s="751"/>
      <c r="ACS128" s="751"/>
      <c r="ACT128" s="751"/>
      <c r="ACU128" s="751"/>
      <c r="ACV128" s="751"/>
      <c r="ACW128" s="751"/>
      <c r="ACX128" s="751"/>
      <c r="ACY128" s="751"/>
      <c r="ACZ128" s="751"/>
      <c r="ADA128" s="751"/>
      <c r="ADB128" s="751"/>
      <c r="ADC128" s="751"/>
      <c r="ADD128" s="751"/>
      <c r="ADE128" s="751"/>
      <c r="ADF128" s="751"/>
      <c r="ADG128" s="751"/>
      <c r="ADH128" s="751"/>
      <c r="ADI128" s="751"/>
      <c r="ADJ128" s="751"/>
      <c r="ADK128" s="751"/>
      <c r="ADL128" s="751"/>
      <c r="ADM128" s="751"/>
      <c r="ADN128" s="751"/>
      <c r="ADO128" s="751"/>
      <c r="ADP128" s="751"/>
      <c r="ADQ128" s="751"/>
      <c r="ADR128" s="751"/>
      <c r="ADS128" s="751"/>
      <c r="ADT128" s="751"/>
      <c r="ADU128" s="751"/>
      <c r="ADV128" s="751"/>
      <c r="ADW128" s="751"/>
      <c r="ADX128" s="751"/>
      <c r="ADY128" s="751"/>
      <c r="ADZ128" s="751"/>
      <c r="AEA128" s="751"/>
      <c r="AEB128" s="751"/>
      <c r="AEC128" s="751"/>
      <c r="AED128" s="751"/>
      <c r="AEE128" s="751"/>
      <c r="AEF128" s="751"/>
      <c r="AEG128" s="751"/>
      <c r="AEH128" s="751"/>
      <c r="AEI128" s="751"/>
      <c r="AEJ128" s="751"/>
      <c r="AEK128" s="751"/>
      <c r="AEL128" s="751"/>
      <c r="AEM128" s="751"/>
      <c r="AEN128" s="751"/>
      <c r="AEO128" s="751"/>
      <c r="AEP128" s="751"/>
      <c r="AEQ128" s="751"/>
      <c r="AER128" s="751"/>
      <c r="AES128" s="751"/>
      <c r="AET128" s="751"/>
      <c r="AEU128" s="751"/>
      <c r="AEV128" s="751"/>
      <c r="AEW128" s="751"/>
      <c r="AEX128" s="751"/>
      <c r="AEY128" s="751"/>
      <c r="AEZ128" s="751"/>
      <c r="AFA128" s="751"/>
      <c r="AFB128" s="751"/>
      <c r="AFC128" s="751"/>
      <c r="AFD128" s="751"/>
      <c r="AFE128" s="751"/>
      <c r="AFF128" s="751"/>
      <c r="AFG128" s="751"/>
      <c r="AFH128" s="751"/>
      <c r="AFI128" s="751"/>
      <c r="AFJ128" s="751"/>
      <c r="AFK128" s="751"/>
      <c r="AFL128" s="751"/>
      <c r="AFM128" s="751"/>
      <c r="AFN128" s="751"/>
      <c r="AFO128" s="751"/>
      <c r="AFP128" s="751"/>
      <c r="AFQ128" s="751"/>
      <c r="AFR128" s="751"/>
      <c r="AFS128" s="751"/>
      <c r="AFT128" s="751"/>
      <c r="AFU128" s="751"/>
      <c r="AFV128" s="751"/>
      <c r="AFW128" s="751"/>
      <c r="AFX128" s="751"/>
      <c r="AFY128" s="751"/>
      <c r="AFZ128" s="751"/>
      <c r="AGA128" s="751"/>
      <c r="AGB128" s="751"/>
      <c r="AGC128" s="751"/>
      <c r="AGD128" s="751"/>
      <c r="AGE128" s="751"/>
      <c r="AGF128" s="751"/>
      <c r="AGG128" s="751"/>
      <c r="AGH128" s="751"/>
      <c r="AGI128" s="751"/>
      <c r="AGJ128" s="751"/>
      <c r="AGK128" s="751"/>
      <c r="AGL128" s="751"/>
      <c r="AGM128" s="751"/>
      <c r="AGN128" s="751"/>
      <c r="AGO128" s="751"/>
      <c r="AGP128" s="751"/>
      <c r="AGQ128" s="751"/>
      <c r="AGR128" s="751"/>
      <c r="AGS128" s="751"/>
      <c r="AGT128" s="751"/>
      <c r="AGU128" s="751"/>
      <c r="AGV128" s="751"/>
      <c r="AGW128" s="751"/>
      <c r="AGX128" s="751"/>
      <c r="AGY128" s="751"/>
      <c r="AGZ128" s="751"/>
      <c r="AHA128" s="751"/>
      <c r="AHB128" s="751"/>
      <c r="AHC128" s="751"/>
      <c r="AHD128" s="751"/>
      <c r="AHE128" s="751"/>
      <c r="AHF128" s="751"/>
      <c r="AHG128" s="751"/>
      <c r="AHH128" s="751"/>
      <c r="AHI128" s="751"/>
      <c r="AHJ128" s="751"/>
      <c r="AHK128" s="751"/>
      <c r="AHL128" s="751"/>
      <c r="AHM128" s="751"/>
      <c r="AHN128" s="751"/>
      <c r="AHO128" s="751"/>
      <c r="AHP128" s="751"/>
      <c r="AHQ128" s="751"/>
      <c r="AHR128" s="751"/>
      <c r="AHS128" s="751"/>
      <c r="AHT128" s="751"/>
      <c r="AHU128" s="751"/>
      <c r="AHV128" s="751"/>
      <c r="AHW128" s="751"/>
      <c r="AHX128" s="751"/>
      <c r="AHY128" s="751"/>
      <c r="AHZ128" s="751"/>
      <c r="AIA128" s="751"/>
      <c r="AIB128" s="751"/>
      <c r="AIC128" s="751"/>
      <c r="AID128" s="751"/>
      <c r="AIE128" s="751"/>
      <c r="AIF128" s="751"/>
      <c r="AIG128" s="751"/>
      <c r="AIH128" s="751"/>
      <c r="AII128" s="751"/>
      <c r="AIJ128" s="751"/>
      <c r="AIK128" s="751"/>
      <c r="AIL128" s="751"/>
      <c r="AIM128" s="751"/>
      <c r="AIN128" s="751"/>
      <c r="AIO128" s="751"/>
      <c r="AIP128" s="751"/>
      <c r="AIQ128" s="751"/>
      <c r="AIR128" s="751"/>
      <c r="AIS128" s="751"/>
      <c r="AIT128" s="751"/>
      <c r="AIU128" s="751"/>
      <c r="AIV128" s="751"/>
      <c r="AIW128" s="751"/>
      <c r="AIX128" s="751"/>
      <c r="AIY128" s="751"/>
      <c r="AIZ128" s="751"/>
      <c r="AJA128" s="751"/>
      <c r="AJB128" s="751"/>
      <c r="AJC128" s="751"/>
      <c r="AJD128" s="751"/>
      <c r="AJE128" s="751"/>
      <c r="AJF128" s="751"/>
      <c r="AJG128" s="751"/>
      <c r="AJH128" s="751"/>
      <c r="AJI128" s="751"/>
      <c r="AJJ128" s="751"/>
      <c r="AJK128" s="751"/>
      <c r="AJL128" s="751"/>
      <c r="AJM128" s="751"/>
      <c r="AJN128" s="751"/>
      <c r="AJO128" s="751"/>
      <c r="AJP128" s="751"/>
      <c r="AJQ128" s="751"/>
      <c r="AJR128" s="751"/>
      <c r="AJS128" s="751"/>
      <c r="AJT128" s="751"/>
      <c r="AJU128" s="751"/>
      <c r="AJV128" s="751"/>
      <c r="AJW128" s="751"/>
      <c r="AJX128" s="751"/>
      <c r="AJY128" s="751"/>
      <c r="AJZ128" s="751"/>
      <c r="AKA128" s="751"/>
      <c r="AKB128" s="751"/>
      <c r="AKC128" s="751"/>
      <c r="AKD128" s="751"/>
      <c r="AKE128" s="751"/>
      <c r="AKF128" s="751"/>
      <c r="AKG128" s="751"/>
      <c r="AKH128" s="751"/>
      <c r="AKI128" s="751"/>
      <c r="AKJ128" s="751"/>
      <c r="AKK128" s="751"/>
      <c r="AKL128" s="751"/>
      <c r="AKM128" s="751"/>
      <c r="AKN128" s="751"/>
      <c r="AKO128" s="751"/>
      <c r="AKP128" s="751"/>
      <c r="AKQ128" s="751"/>
      <c r="AKR128" s="751"/>
      <c r="AKS128" s="751"/>
      <c r="AKT128" s="751"/>
      <c r="AKU128" s="751"/>
      <c r="AKV128" s="751"/>
      <c r="AKW128" s="751"/>
      <c r="AKX128" s="751"/>
      <c r="AKY128" s="751"/>
      <c r="AKZ128" s="751"/>
      <c r="ALA128" s="751"/>
      <c r="ALB128" s="751"/>
      <c r="ALC128" s="751"/>
      <c r="ALD128" s="751"/>
      <c r="ALE128" s="751"/>
      <c r="ALF128" s="751"/>
      <c r="ALG128" s="751"/>
      <c r="ALH128" s="751"/>
      <c r="ALI128" s="751"/>
      <c r="ALJ128" s="751"/>
      <c r="ALK128" s="751"/>
      <c r="ALL128" s="751"/>
      <c r="ALM128" s="751"/>
      <c r="ALN128" s="751"/>
      <c r="ALO128" s="751"/>
      <c r="ALP128" s="751"/>
      <c r="ALQ128" s="751"/>
      <c r="ALR128" s="751"/>
      <c r="ALS128" s="751"/>
      <c r="ALT128" s="751"/>
      <c r="ALU128" s="751"/>
      <c r="ALV128" s="751"/>
      <c r="ALW128" s="751"/>
      <c r="ALX128" s="751"/>
      <c r="ALY128" s="751"/>
      <c r="ALZ128" s="751"/>
      <c r="AMA128" s="751"/>
      <c r="AMB128" s="751"/>
      <c r="AMC128" s="751"/>
      <c r="AMD128" s="751"/>
      <c r="AME128" s="751"/>
      <c r="AMF128" s="751"/>
      <c r="AMG128" s="751"/>
      <c r="AMH128" s="751"/>
      <c r="AMI128" s="751"/>
      <c r="AMJ128" s="751"/>
      <c r="AMK128" s="751"/>
      <c r="AML128" s="751"/>
      <c r="AMM128" s="751"/>
      <c r="AMN128" s="751"/>
      <c r="AMO128" s="751"/>
      <c r="AMP128" s="751"/>
      <c r="AMQ128" s="751"/>
      <c r="AMR128" s="751"/>
      <c r="AMS128" s="751"/>
      <c r="AMT128" s="751"/>
      <c r="AMU128" s="751"/>
      <c r="AMV128" s="751"/>
      <c r="AMW128" s="751"/>
      <c r="AMX128" s="751"/>
      <c r="AMY128" s="751"/>
      <c r="AMZ128" s="751"/>
      <c r="ANA128" s="751"/>
      <c r="ANB128" s="751"/>
      <c r="ANC128" s="751"/>
      <c r="AND128" s="751"/>
      <c r="ANE128" s="751"/>
      <c r="ANF128" s="751"/>
      <c r="ANG128" s="751"/>
      <c r="ANH128" s="751"/>
      <c r="ANI128" s="751"/>
      <c r="ANJ128" s="751"/>
      <c r="ANK128" s="751"/>
      <c r="ANL128" s="751"/>
      <c r="ANM128" s="751"/>
      <c r="ANN128" s="751"/>
      <c r="ANO128" s="751"/>
      <c r="ANP128" s="751"/>
      <c r="ANQ128" s="751"/>
      <c r="ANR128" s="751"/>
      <c r="ANS128" s="751"/>
      <c r="ANT128" s="751"/>
      <c r="ANU128" s="751"/>
      <c r="ANV128" s="751"/>
      <c r="ANW128" s="751"/>
      <c r="ANX128" s="751"/>
      <c r="ANY128" s="751"/>
      <c r="ANZ128" s="751"/>
      <c r="AOA128" s="751"/>
      <c r="AOB128" s="751"/>
      <c r="AOC128" s="751"/>
      <c r="AOD128" s="751"/>
      <c r="AOE128" s="751"/>
      <c r="AOF128" s="751"/>
      <c r="AOG128" s="751"/>
      <c r="AOH128" s="751"/>
      <c r="AOI128" s="751"/>
      <c r="AOJ128" s="751"/>
      <c r="AOK128" s="751"/>
      <c r="AOL128" s="751"/>
      <c r="AOM128" s="751"/>
      <c r="AON128" s="751"/>
      <c r="AOO128" s="751"/>
      <c r="AOP128" s="751"/>
      <c r="AOQ128" s="751"/>
      <c r="AOR128" s="751"/>
      <c r="AOS128" s="751"/>
      <c r="AOT128" s="751"/>
      <c r="AOU128" s="751"/>
      <c r="AOV128" s="751"/>
      <c r="AOW128" s="751"/>
      <c r="AOX128" s="751"/>
      <c r="AOY128" s="751"/>
      <c r="AOZ128" s="751"/>
      <c r="APA128" s="751"/>
      <c r="APB128" s="751"/>
      <c r="APC128" s="751"/>
      <c r="APD128" s="751"/>
      <c r="APE128" s="751"/>
      <c r="APF128" s="751"/>
      <c r="APG128" s="751"/>
      <c r="APH128" s="751"/>
      <c r="API128" s="751"/>
      <c r="APJ128" s="751"/>
      <c r="APK128" s="751"/>
      <c r="APL128" s="751"/>
      <c r="APM128" s="751"/>
      <c r="APN128" s="751"/>
      <c r="APO128" s="751"/>
      <c r="APP128" s="751"/>
      <c r="APQ128" s="751"/>
      <c r="APR128" s="751"/>
      <c r="APS128" s="751"/>
      <c r="APT128" s="751"/>
      <c r="APU128" s="751"/>
      <c r="APV128" s="751"/>
      <c r="APW128" s="751"/>
      <c r="APX128" s="751"/>
      <c r="APY128" s="751"/>
      <c r="APZ128" s="751"/>
      <c r="AQA128" s="751"/>
      <c r="AQB128" s="751"/>
      <c r="AQC128" s="751"/>
      <c r="AQD128" s="751"/>
      <c r="AQE128" s="751"/>
      <c r="AQF128" s="751"/>
      <c r="AQG128" s="751"/>
      <c r="AQH128" s="751"/>
      <c r="AQI128" s="751"/>
      <c r="AQJ128" s="751"/>
      <c r="AQK128" s="751"/>
      <c r="AQL128" s="751"/>
      <c r="AQM128" s="751"/>
      <c r="AQN128" s="751"/>
      <c r="AQO128" s="751"/>
      <c r="AQP128" s="751"/>
      <c r="AQQ128" s="751"/>
      <c r="AQR128" s="751"/>
      <c r="AQS128" s="751"/>
      <c r="AQT128" s="751"/>
      <c r="AQU128" s="751"/>
      <c r="AQV128" s="751"/>
      <c r="AQW128" s="751"/>
      <c r="AQX128" s="751"/>
      <c r="AQY128" s="751"/>
      <c r="AQZ128" s="751"/>
      <c r="ARA128" s="751"/>
      <c r="ARB128" s="751"/>
      <c r="ARC128" s="751"/>
      <c r="ARD128" s="751"/>
      <c r="ARE128" s="751"/>
      <c r="ARF128" s="751"/>
      <c r="ARG128" s="751"/>
      <c r="ARH128" s="751"/>
      <c r="ARI128" s="751"/>
      <c r="ARJ128" s="751"/>
      <c r="ARK128" s="751"/>
      <c r="ARL128" s="751"/>
      <c r="ARM128" s="751"/>
      <c r="ARN128" s="751"/>
      <c r="ARO128" s="751"/>
      <c r="ARP128" s="751"/>
      <c r="ARQ128" s="751"/>
      <c r="ARR128" s="751"/>
      <c r="ARS128" s="751"/>
      <c r="ART128" s="751"/>
      <c r="ARU128" s="751"/>
      <c r="ARV128" s="751"/>
      <c r="ARW128" s="751"/>
      <c r="ARX128" s="751"/>
      <c r="ARY128" s="751"/>
      <c r="ARZ128" s="751"/>
      <c r="ASA128" s="751"/>
      <c r="ASB128" s="751"/>
      <c r="ASC128" s="751"/>
      <c r="ASD128" s="751"/>
      <c r="ASE128" s="751"/>
      <c r="ASF128" s="751"/>
      <c r="ASG128" s="751"/>
      <c r="ASH128" s="751"/>
      <c r="ASI128" s="751"/>
      <c r="ASJ128" s="751"/>
      <c r="ASK128" s="751"/>
      <c r="ASL128" s="751"/>
      <c r="ASM128" s="751"/>
      <c r="ASN128" s="751"/>
      <c r="ASO128" s="751"/>
      <c r="ASP128" s="751"/>
      <c r="ASQ128" s="751"/>
      <c r="ASR128" s="751"/>
      <c r="ASS128" s="751"/>
      <c r="AST128" s="751"/>
      <c r="ASU128" s="751"/>
      <c r="ASV128" s="751"/>
      <c r="ASW128" s="751"/>
      <c r="ASX128" s="751"/>
      <c r="ASY128" s="751"/>
      <c r="ASZ128" s="751"/>
      <c r="ATA128" s="751"/>
      <c r="ATB128" s="751"/>
      <c r="ATC128" s="751"/>
      <c r="ATD128" s="751"/>
      <c r="ATE128" s="751"/>
      <c r="ATF128" s="751"/>
      <c r="ATG128" s="751"/>
      <c r="ATH128" s="751"/>
      <c r="ATI128" s="751"/>
      <c r="ATJ128" s="751"/>
      <c r="ATK128" s="751"/>
      <c r="ATL128" s="751"/>
      <c r="ATM128" s="751"/>
      <c r="ATN128" s="751"/>
      <c r="ATO128" s="751"/>
      <c r="ATP128" s="751"/>
      <c r="ATQ128" s="751"/>
      <c r="ATR128" s="751"/>
      <c r="ATS128" s="751"/>
      <c r="ATT128" s="751"/>
      <c r="ATU128" s="751"/>
      <c r="ATV128" s="751"/>
      <c r="ATW128" s="751"/>
      <c r="ATX128" s="751"/>
      <c r="ATY128" s="751"/>
      <c r="ATZ128" s="751"/>
      <c r="AUA128" s="751"/>
      <c r="AUB128" s="751"/>
      <c r="AUC128" s="751"/>
      <c r="AUD128" s="751"/>
      <c r="AUE128" s="751"/>
      <c r="AUF128" s="751"/>
      <c r="AUG128" s="751"/>
      <c r="AUH128" s="751"/>
      <c r="AUI128" s="751"/>
      <c r="AUJ128" s="751"/>
      <c r="AUK128" s="751"/>
      <c r="AUL128" s="751"/>
      <c r="AUM128" s="751"/>
      <c r="AUN128" s="751"/>
      <c r="AUO128" s="751"/>
      <c r="AUP128" s="751"/>
      <c r="AUQ128" s="751"/>
      <c r="AUR128" s="751"/>
      <c r="AUS128" s="751"/>
      <c r="AUT128" s="751"/>
      <c r="AUU128" s="751"/>
      <c r="AUV128" s="751"/>
      <c r="AUW128" s="751"/>
      <c r="AUX128" s="751"/>
      <c r="AUY128" s="751"/>
      <c r="AUZ128" s="751"/>
      <c r="AVA128" s="751"/>
      <c r="AVB128" s="751"/>
      <c r="AVC128" s="751"/>
      <c r="AVD128" s="751"/>
      <c r="AVE128" s="751"/>
      <c r="AVF128" s="751"/>
      <c r="AVG128" s="751"/>
      <c r="AVH128" s="751"/>
      <c r="AVI128" s="751"/>
      <c r="AVJ128" s="751"/>
      <c r="AVK128" s="751"/>
      <c r="AVL128" s="751"/>
      <c r="AVM128" s="751"/>
      <c r="AVN128" s="751"/>
      <c r="AVO128" s="751"/>
      <c r="AVP128" s="751"/>
      <c r="AVQ128" s="751"/>
      <c r="AVR128" s="751"/>
      <c r="AVS128" s="751"/>
      <c r="AVT128" s="751"/>
      <c r="AVU128" s="751"/>
      <c r="AVV128" s="751"/>
      <c r="AVW128" s="751"/>
      <c r="AVX128" s="751"/>
      <c r="AVY128" s="751"/>
      <c r="AVZ128" s="751"/>
      <c r="AWA128" s="751"/>
      <c r="AWB128" s="751"/>
      <c r="AWC128" s="751"/>
      <c r="AWD128" s="751"/>
      <c r="AWE128" s="751"/>
      <c r="AWF128" s="751"/>
      <c r="AWG128" s="751"/>
      <c r="AWH128" s="751"/>
      <c r="AWI128" s="751"/>
      <c r="AWJ128" s="751"/>
      <c r="AWK128" s="751"/>
      <c r="AWL128" s="751"/>
      <c r="AWM128" s="751"/>
      <c r="AWN128" s="751"/>
      <c r="AWO128" s="751"/>
      <c r="AWP128" s="751"/>
      <c r="AWQ128" s="751"/>
      <c r="AWR128" s="751"/>
      <c r="AWS128" s="751"/>
      <c r="AWT128" s="751"/>
      <c r="AWU128" s="751"/>
      <c r="AWV128" s="751"/>
      <c r="AWW128" s="751"/>
      <c r="AWX128" s="751"/>
      <c r="AWY128" s="751"/>
      <c r="AWZ128" s="751"/>
      <c r="AXA128" s="751"/>
      <c r="AXB128" s="751"/>
      <c r="AXC128" s="751"/>
      <c r="AXD128" s="751"/>
      <c r="AXE128" s="751"/>
      <c r="AXF128" s="751"/>
      <c r="AXG128" s="751"/>
      <c r="AXH128" s="751"/>
      <c r="AXI128" s="751"/>
      <c r="AXJ128" s="751"/>
      <c r="AXK128" s="751"/>
      <c r="AXL128" s="751"/>
      <c r="AXM128" s="751"/>
      <c r="AXN128" s="751"/>
      <c r="AXO128" s="751"/>
      <c r="AXP128" s="751"/>
      <c r="AXQ128" s="751"/>
      <c r="AXR128" s="751"/>
      <c r="AXS128" s="751"/>
      <c r="AXT128" s="751"/>
      <c r="AXU128" s="751"/>
      <c r="AXV128" s="751"/>
      <c r="AXW128" s="751"/>
      <c r="AXX128" s="751"/>
      <c r="AXY128" s="751"/>
      <c r="AXZ128" s="751"/>
      <c r="AYA128" s="751"/>
      <c r="AYB128" s="751"/>
      <c r="AYC128" s="751"/>
      <c r="AYD128" s="751"/>
      <c r="AYE128" s="751"/>
      <c r="AYF128" s="751"/>
      <c r="AYG128" s="751"/>
      <c r="AYH128" s="751"/>
      <c r="AYI128" s="751"/>
      <c r="AYJ128" s="751"/>
      <c r="AYK128" s="751"/>
      <c r="AYL128" s="751"/>
      <c r="AYM128" s="751"/>
      <c r="AYN128" s="751"/>
      <c r="AYO128" s="751"/>
      <c r="AYP128" s="751"/>
      <c r="AYQ128" s="751"/>
      <c r="AYR128" s="751"/>
      <c r="AYS128" s="751"/>
      <c r="AYT128" s="751"/>
      <c r="AYU128" s="751"/>
      <c r="AYV128" s="751"/>
      <c r="AYW128" s="751"/>
      <c r="AYX128" s="751"/>
      <c r="AYY128" s="751"/>
      <c r="AYZ128" s="751"/>
      <c r="AZA128" s="751"/>
      <c r="AZB128" s="751"/>
      <c r="AZC128" s="751"/>
      <c r="AZD128" s="751"/>
      <c r="AZE128" s="751"/>
      <c r="AZF128" s="751"/>
      <c r="AZG128" s="751"/>
      <c r="AZH128" s="751"/>
      <c r="AZI128" s="751"/>
      <c r="AZJ128" s="751"/>
      <c r="AZK128" s="751"/>
      <c r="AZL128" s="751"/>
      <c r="AZM128" s="751"/>
      <c r="AZN128" s="751"/>
      <c r="AZO128" s="751"/>
      <c r="AZP128" s="751"/>
      <c r="AZQ128" s="751"/>
      <c r="AZR128" s="751"/>
      <c r="AZS128" s="751"/>
      <c r="AZT128" s="751"/>
      <c r="AZU128" s="751"/>
      <c r="AZV128" s="751"/>
      <c r="AZW128" s="751"/>
      <c r="AZX128" s="751"/>
      <c r="AZY128" s="751"/>
      <c r="AZZ128" s="751"/>
      <c r="BAA128" s="751"/>
      <c r="BAB128" s="751"/>
      <c r="BAC128" s="751"/>
      <c r="BAD128" s="751"/>
      <c r="BAE128" s="751"/>
      <c r="BAF128" s="751"/>
      <c r="BAG128" s="751"/>
      <c r="BAH128" s="751"/>
      <c r="BAI128" s="751"/>
      <c r="BAJ128" s="751"/>
      <c r="BAK128" s="751"/>
      <c r="BAL128" s="751"/>
      <c r="BAM128" s="751"/>
      <c r="BAN128" s="751"/>
      <c r="BAO128" s="751"/>
      <c r="BAP128" s="751"/>
      <c r="BAQ128" s="751"/>
      <c r="BAR128" s="751"/>
      <c r="BAS128" s="751"/>
      <c r="BAT128" s="751"/>
      <c r="BAU128" s="751"/>
      <c r="BAV128" s="751"/>
      <c r="BAW128" s="751"/>
      <c r="BAX128" s="751"/>
      <c r="BAY128" s="751"/>
      <c r="BAZ128" s="751"/>
      <c r="BBA128" s="751"/>
      <c r="BBB128" s="751"/>
      <c r="BBC128" s="751"/>
      <c r="BBD128" s="751"/>
      <c r="BBE128" s="751"/>
      <c r="BBF128" s="751"/>
      <c r="BBG128" s="751"/>
      <c r="BBH128" s="751"/>
      <c r="BBI128" s="751"/>
      <c r="BBJ128" s="751"/>
      <c r="BBK128" s="751"/>
      <c r="BBL128" s="751"/>
      <c r="BBM128" s="751"/>
      <c r="BBN128" s="751"/>
      <c r="BBO128" s="751"/>
      <c r="BBP128" s="751"/>
      <c r="BBQ128" s="751"/>
      <c r="BBR128" s="751"/>
      <c r="BBS128" s="751"/>
      <c r="BBT128" s="751"/>
      <c r="BBU128" s="751"/>
      <c r="BBV128" s="751"/>
      <c r="BBW128" s="751"/>
      <c r="BBX128" s="751"/>
      <c r="BBY128" s="751"/>
      <c r="BBZ128" s="751"/>
      <c r="BCA128" s="751"/>
      <c r="BCB128" s="751"/>
      <c r="BCC128" s="751"/>
      <c r="BCD128" s="751"/>
      <c r="BCE128" s="751"/>
      <c r="BCF128" s="751"/>
      <c r="BCG128" s="751"/>
      <c r="BCH128" s="751"/>
      <c r="BCI128" s="751"/>
      <c r="BCJ128" s="751"/>
      <c r="BCK128" s="751"/>
      <c r="BCL128" s="751"/>
      <c r="BCM128" s="751"/>
      <c r="BCN128" s="751"/>
      <c r="BCO128" s="751"/>
      <c r="BCP128" s="751"/>
      <c r="BCQ128" s="751"/>
      <c r="BCR128" s="751"/>
      <c r="BCS128" s="751"/>
      <c r="BCT128" s="751"/>
      <c r="BCU128" s="751"/>
      <c r="BCV128" s="751"/>
      <c r="BCW128" s="751"/>
      <c r="BCX128" s="751"/>
      <c r="BCY128" s="751"/>
      <c r="BCZ128" s="751"/>
      <c r="BDA128" s="751"/>
      <c r="BDB128" s="751"/>
      <c r="BDC128" s="751"/>
      <c r="BDD128" s="751"/>
      <c r="BDE128" s="751"/>
      <c r="BDF128" s="751"/>
      <c r="BDG128" s="751"/>
      <c r="BDH128" s="751"/>
      <c r="BDI128" s="751"/>
      <c r="BDJ128" s="751"/>
      <c r="BDK128" s="751"/>
      <c r="BDL128" s="751"/>
      <c r="BDM128" s="751"/>
      <c r="BDN128" s="751"/>
      <c r="BDO128" s="751"/>
      <c r="BDP128" s="751"/>
      <c r="BDQ128" s="751"/>
      <c r="BDR128" s="751"/>
      <c r="BDS128" s="751"/>
      <c r="BDT128" s="751"/>
      <c r="BDU128" s="751"/>
      <c r="BDV128" s="751"/>
      <c r="BDW128" s="751"/>
      <c r="BDX128" s="751"/>
      <c r="BDY128" s="751"/>
      <c r="BDZ128" s="751"/>
      <c r="BEA128" s="751"/>
      <c r="BEB128" s="751"/>
      <c r="BEC128" s="751"/>
      <c r="BED128" s="751"/>
      <c r="BEE128" s="751"/>
      <c r="BEF128" s="751"/>
      <c r="BEG128" s="751"/>
      <c r="BEH128" s="751"/>
      <c r="BEI128" s="751"/>
      <c r="BEJ128" s="751"/>
      <c r="BEK128" s="751"/>
      <c r="BEL128" s="751"/>
      <c r="BEM128" s="751"/>
      <c r="BEN128" s="751"/>
      <c r="BEO128" s="751"/>
      <c r="BEP128" s="751"/>
      <c r="BEQ128" s="751"/>
      <c r="BER128" s="751"/>
      <c r="BES128" s="751"/>
      <c r="BET128" s="751"/>
      <c r="BEU128" s="751"/>
      <c r="BEV128" s="751"/>
      <c r="BEW128" s="751"/>
      <c r="BEX128" s="751"/>
      <c r="BEY128" s="751"/>
      <c r="BEZ128" s="751"/>
      <c r="BFA128" s="751"/>
      <c r="BFB128" s="751"/>
      <c r="BFC128" s="751"/>
      <c r="BFD128" s="751"/>
      <c r="BFE128" s="751"/>
      <c r="BFF128" s="751"/>
      <c r="BFG128" s="751"/>
      <c r="BFH128" s="751"/>
      <c r="BFI128" s="751"/>
      <c r="BFJ128" s="751"/>
      <c r="BFK128" s="751"/>
      <c r="BFL128" s="751"/>
      <c r="BFM128" s="751"/>
      <c r="BFN128" s="751"/>
      <c r="BFO128" s="751"/>
      <c r="BFP128" s="751"/>
      <c r="BFQ128" s="751"/>
      <c r="BFR128" s="751"/>
      <c r="BFS128" s="751"/>
      <c r="BFT128" s="751"/>
      <c r="BFU128" s="751"/>
      <c r="BFV128" s="751"/>
      <c r="BFW128" s="751"/>
      <c r="BFX128" s="751"/>
      <c r="BFY128" s="751"/>
      <c r="BFZ128" s="751"/>
      <c r="BGA128" s="751"/>
      <c r="BGB128" s="751"/>
      <c r="BGC128" s="751"/>
      <c r="BGD128" s="751"/>
      <c r="BGE128" s="751"/>
      <c r="BGF128" s="751"/>
      <c r="BGG128" s="751"/>
      <c r="BGH128" s="751"/>
      <c r="BGI128" s="751"/>
      <c r="BGJ128" s="751"/>
      <c r="BGK128" s="751"/>
      <c r="BGL128" s="751"/>
      <c r="BGM128" s="751"/>
      <c r="BGN128" s="751"/>
      <c r="BGO128" s="751"/>
      <c r="BGP128" s="751"/>
      <c r="BGQ128" s="751"/>
      <c r="BGR128" s="751"/>
      <c r="BGS128" s="751"/>
      <c r="BGT128" s="751"/>
      <c r="BGU128" s="751"/>
      <c r="BGV128" s="751"/>
      <c r="BGW128" s="751"/>
      <c r="BGX128" s="751"/>
      <c r="BGY128" s="751"/>
      <c r="BGZ128" s="751"/>
      <c r="BHA128" s="751"/>
      <c r="BHB128" s="751"/>
      <c r="BHC128" s="751"/>
      <c r="BHD128" s="751"/>
      <c r="BHE128" s="751"/>
      <c r="BHF128" s="751"/>
      <c r="BHG128" s="751"/>
      <c r="BHH128" s="751"/>
      <c r="BHI128" s="751"/>
      <c r="BHJ128" s="751"/>
      <c r="BHK128" s="751"/>
      <c r="BHL128" s="751"/>
      <c r="BHM128" s="751"/>
      <c r="BHN128" s="751"/>
      <c r="BHO128" s="751"/>
      <c r="BHP128" s="751"/>
      <c r="BHQ128" s="751"/>
      <c r="BHR128" s="751"/>
      <c r="BHS128" s="751"/>
      <c r="BHT128" s="751"/>
      <c r="BHU128" s="751"/>
      <c r="BHV128" s="751"/>
      <c r="BHW128" s="751"/>
      <c r="BHX128" s="751"/>
      <c r="BHY128" s="751"/>
      <c r="BHZ128" s="751"/>
      <c r="BIA128" s="751"/>
      <c r="BIB128" s="751"/>
      <c r="BIC128" s="751"/>
      <c r="BID128" s="751"/>
      <c r="BIE128" s="751"/>
      <c r="BIF128" s="751"/>
      <c r="BIG128" s="751"/>
      <c r="BIH128" s="751"/>
      <c r="BII128" s="751"/>
      <c r="BIJ128" s="751"/>
      <c r="BIK128" s="751"/>
      <c r="BIL128" s="751"/>
      <c r="BIM128" s="751"/>
      <c r="BIN128" s="751"/>
      <c r="BIO128" s="751"/>
      <c r="BIP128" s="751"/>
      <c r="BIQ128" s="751"/>
      <c r="BIR128" s="751"/>
      <c r="BIS128" s="751"/>
      <c r="BIT128" s="751"/>
      <c r="BIU128" s="751"/>
      <c r="BIV128" s="751"/>
      <c r="BIW128" s="751"/>
      <c r="BIX128" s="751"/>
      <c r="BIY128" s="751"/>
      <c r="BIZ128" s="751"/>
      <c r="BJA128" s="751"/>
      <c r="BJB128" s="751"/>
      <c r="BJC128" s="751"/>
      <c r="BJD128" s="751"/>
      <c r="BJE128" s="751"/>
      <c r="BJF128" s="751"/>
      <c r="BJG128" s="751"/>
      <c r="BJH128" s="751"/>
      <c r="BJI128" s="751"/>
      <c r="BJJ128" s="751"/>
      <c r="BJK128" s="751"/>
      <c r="BJL128" s="751"/>
      <c r="BJM128" s="751"/>
      <c r="BJN128" s="751"/>
      <c r="BJO128" s="751"/>
      <c r="BJP128" s="751"/>
      <c r="BJQ128" s="751"/>
      <c r="BJR128" s="751"/>
      <c r="BJS128" s="751"/>
      <c r="BJT128" s="751"/>
      <c r="BJU128" s="751"/>
      <c r="BJV128" s="751"/>
      <c r="BJW128" s="751"/>
      <c r="BJX128" s="751"/>
      <c r="BJY128" s="751"/>
      <c r="BJZ128" s="751"/>
      <c r="BKA128" s="751"/>
      <c r="BKB128" s="751"/>
      <c r="BKC128" s="751"/>
      <c r="BKD128" s="751"/>
      <c r="BKE128" s="751"/>
      <c r="BKF128" s="751"/>
      <c r="BKG128" s="751"/>
      <c r="BKH128" s="751"/>
      <c r="BKI128" s="751"/>
      <c r="BKJ128" s="751"/>
      <c r="BKK128" s="751"/>
      <c r="BKL128" s="751"/>
      <c r="BKM128" s="751"/>
      <c r="BKN128" s="751"/>
      <c r="BKO128" s="751"/>
      <c r="BKP128" s="751"/>
      <c r="BKQ128" s="751"/>
      <c r="BKR128" s="751"/>
      <c r="BKS128" s="751"/>
      <c r="BKT128" s="751"/>
      <c r="BKU128" s="751"/>
      <c r="BKV128" s="751"/>
      <c r="BKW128" s="751"/>
      <c r="BKX128" s="751"/>
      <c r="BKY128" s="751"/>
      <c r="BKZ128" s="751"/>
      <c r="BLA128" s="751"/>
      <c r="BLB128" s="751"/>
      <c r="BLC128" s="751"/>
      <c r="BLD128" s="751"/>
      <c r="BLE128" s="751"/>
      <c r="BLF128" s="751"/>
      <c r="BLG128" s="751"/>
      <c r="BLH128" s="751"/>
      <c r="BLI128" s="751"/>
      <c r="BLJ128" s="751"/>
      <c r="BLK128" s="751"/>
      <c r="BLL128" s="751"/>
      <c r="BLM128" s="751"/>
      <c r="BLN128" s="751"/>
      <c r="BLO128" s="751"/>
      <c r="BLP128" s="751"/>
      <c r="BLQ128" s="751"/>
      <c r="BLR128" s="751"/>
      <c r="BLS128" s="751"/>
      <c r="BLT128" s="751"/>
      <c r="BLU128" s="751"/>
      <c r="BLV128" s="751"/>
      <c r="BLW128" s="751"/>
      <c r="BLX128" s="751"/>
      <c r="BLY128" s="751"/>
      <c r="BLZ128" s="751"/>
      <c r="BMA128" s="751"/>
      <c r="BMB128" s="751"/>
      <c r="BMC128" s="751"/>
      <c r="BMD128" s="751"/>
      <c r="BME128" s="751"/>
      <c r="BMF128" s="751"/>
      <c r="BMG128" s="751"/>
      <c r="BMH128" s="751"/>
      <c r="BMI128" s="751"/>
      <c r="BMJ128" s="751"/>
      <c r="BMK128" s="751"/>
      <c r="BML128" s="751"/>
      <c r="BMM128" s="751"/>
      <c r="BMN128" s="751"/>
      <c r="BMO128" s="751"/>
      <c r="BMP128" s="751"/>
      <c r="BMQ128" s="751"/>
      <c r="BMR128" s="751"/>
      <c r="BMS128" s="751"/>
      <c r="BMT128" s="751"/>
      <c r="BMU128" s="751"/>
      <c r="BMV128" s="751"/>
      <c r="BMW128" s="751"/>
      <c r="BMX128" s="751"/>
      <c r="BMY128" s="751"/>
      <c r="BMZ128" s="751"/>
      <c r="BNA128" s="751"/>
      <c r="BNB128" s="751"/>
      <c r="BNC128" s="751"/>
      <c r="BND128" s="751"/>
      <c r="BNE128" s="751"/>
      <c r="BNF128" s="751"/>
      <c r="BNG128" s="751"/>
      <c r="BNH128" s="751"/>
      <c r="BNI128" s="751"/>
      <c r="BNJ128" s="751"/>
      <c r="BNK128" s="751"/>
      <c r="BNL128" s="751"/>
      <c r="BNM128" s="751"/>
      <c r="BNN128" s="751"/>
      <c r="BNO128" s="751"/>
      <c r="BNP128" s="751"/>
      <c r="BNQ128" s="751"/>
      <c r="BNR128" s="751"/>
      <c r="BNS128" s="751"/>
      <c r="BNT128" s="751"/>
      <c r="BNU128" s="751"/>
      <c r="BNV128" s="751"/>
      <c r="BNW128" s="751"/>
      <c r="BNX128" s="751"/>
      <c r="BNY128" s="751"/>
      <c r="BNZ128" s="751"/>
      <c r="BOA128" s="751"/>
      <c r="BOB128" s="751"/>
      <c r="BOC128" s="751"/>
      <c r="BOD128" s="751"/>
      <c r="BOE128" s="751"/>
      <c r="BOF128" s="751"/>
      <c r="BOG128" s="751"/>
      <c r="BOH128" s="751"/>
      <c r="BOI128" s="751"/>
      <c r="BOJ128" s="751"/>
      <c r="BOK128" s="751"/>
      <c r="BOL128" s="751"/>
      <c r="BOM128" s="751"/>
      <c r="BON128" s="751"/>
      <c r="BOO128" s="751"/>
      <c r="BOP128" s="751"/>
      <c r="BOQ128" s="751"/>
      <c r="BOR128" s="751"/>
      <c r="BOS128" s="751"/>
      <c r="BOT128" s="751"/>
      <c r="BOU128" s="751"/>
      <c r="BOV128" s="751"/>
      <c r="BOW128" s="751"/>
      <c r="BOX128" s="751"/>
      <c r="BOY128" s="751"/>
      <c r="BOZ128" s="751"/>
      <c r="BPA128" s="751"/>
      <c r="BPB128" s="751"/>
      <c r="BPC128" s="751"/>
      <c r="BPD128" s="751"/>
      <c r="BPE128" s="751"/>
      <c r="BPF128" s="751"/>
      <c r="BPG128" s="751"/>
      <c r="BPH128" s="751"/>
      <c r="BPI128" s="751"/>
      <c r="BPJ128" s="751"/>
      <c r="BPK128" s="751"/>
      <c r="BPL128" s="751"/>
      <c r="BPM128" s="751"/>
      <c r="BPN128" s="751"/>
      <c r="BPO128" s="751"/>
      <c r="BPP128" s="751"/>
      <c r="BPQ128" s="751"/>
      <c r="BPR128" s="751"/>
      <c r="BPS128" s="751"/>
      <c r="BPT128" s="751"/>
      <c r="BPU128" s="751"/>
      <c r="BPV128" s="751"/>
      <c r="BPW128" s="751"/>
      <c r="BPX128" s="751"/>
      <c r="BPY128" s="751"/>
      <c r="BPZ128" s="751"/>
      <c r="BQA128" s="751"/>
      <c r="BQB128" s="751"/>
      <c r="BQC128" s="751"/>
      <c r="BQD128" s="751"/>
      <c r="BQE128" s="751"/>
      <c r="BQF128" s="751"/>
      <c r="BQG128" s="751"/>
      <c r="BQH128" s="751"/>
      <c r="BQI128" s="751"/>
      <c r="BQJ128" s="751"/>
      <c r="BQK128" s="751"/>
      <c r="BQL128" s="751"/>
      <c r="BQM128" s="751"/>
      <c r="BQN128" s="751"/>
      <c r="BQO128" s="751"/>
      <c r="BQP128" s="751"/>
      <c r="BQQ128" s="751"/>
      <c r="BQR128" s="751"/>
      <c r="BQS128" s="751"/>
      <c r="BQT128" s="751"/>
      <c r="BQU128" s="751"/>
      <c r="BQV128" s="751"/>
      <c r="BQW128" s="751"/>
      <c r="BQX128" s="751"/>
      <c r="BQY128" s="751"/>
      <c r="BQZ128" s="751"/>
      <c r="BRA128" s="751"/>
      <c r="BRB128" s="751"/>
      <c r="BRC128" s="751"/>
      <c r="BRD128" s="751"/>
      <c r="BRE128" s="751"/>
      <c r="BRF128" s="751"/>
      <c r="BRG128" s="751"/>
      <c r="BRH128" s="751"/>
      <c r="BRI128" s="751"/>
      <c r="BRJ128" s="751"/>
      <c r="BRK128" s="751"/>
      <c r="BRL128" s="751"/>
      <c r="BRM128" s="751"/>
      <c r="BRN128" s="751"/>
      <c r="BRO128" s="751"/>
      <c r="BRP128" s="751"/>
      <c r="BRQ128" s="751"/>
      <c r="BRR128" s="751"/>
      <c r="BRS128" s="751"/>
      <c r="BRT128" s="751"/>
      <c r="BRU128" s="751"/>
      <c r="BRV128" s="751"/>
      <c r="BRW128" s="751"/>
      <c r="BRX128" s="751"/>
      <c r="BRY128" s="751"/>
      <c r="BRZ128" s="751"/>
      <c r="BSA128" s="751"/>
      <c r="BSB128" s="751"/>
      <c r="BSC128" s="751"/>
      <c r="BSD128" s="751"/>
      <c r="BSE128" s="751"/>
      <c r="BSF128" s="751"/>
      <c r="BSG128" s="751"/>
      <c r="BSH128" s="751"/>
      <c r="BSI128" s="751"/>
      <c r="BSJ128" s="751"/>
      <c r="BSK128" s="751"/>
      <c r="BSL128" s="751"/>
      <c r="BSM128" s="751"/>
      <c r="BSN128" s="751"/>
      <c r="BSO128" s="751"/>
      <c r="BSP128" s="751"/>
      <c r="BSQ128" s="751"/>
      <c r="BSR128" s="751"/>
      <c r="BSS128" s="751"/>
      <c r="BST128" s="751"/>
      <c r="BSU128" s="751"/>
      <c r="BSV128" s="751"/>
      <c r="BSW128" s="751"/>
      <c r="BSX128" s="751"/>
      <c r="BSY128" s="751"/>
      <c r="BSZ128" s="751"/>
      <c r="BTA128" s="751"/>
      <c r="BTB128" s="751"/>
      <c r="BTC128" s="751"/>
      <c r="BTD128" s="751"/>
      <c r="BTE128" s="751"/>
      <c r="BTF128" s="751"/>
      <c r="BTG128" s="751"/>
      <c r="BTH128" s="751"/>
      <c r="BTI128" s="751"/>
      <c r="BTJ128" s="751"/>
      <c r="BTK128" s="751"/>
      <c r="BTL128" s="751"/>
      <c r="BTM128" s="751"/>
      <c r="BTN128" s="751"/>
      <c r="BTO128" s="751"/>
      <c r="BTP128" s="751"/>
      <c r="BTQ128" s="751"/>
      <c r="BTR128" s="751"/>
      <c r="BTS128" s="751"/>
      <c r="BTT128" s="751"/>
      <c r="BTU128" s="751"/>
      <c r="BTV128" s="751"/>
      <c r="BTW128" s="751"/>
      <c r="BTX128" s="751"/>
      <c r="BTY128" s="751"/>
      <c r="BTZ128" s="751"/>
      <c r="BUA128" s="751"/>
      <c r="BUB128" s="751"/>
      <c r="BUC128" s="751"/>
      <c r="BUD128" s="751"/>
      <c r="BUE128" s="751"/>
      <c r="BUF128" s="751"/>
      <c r="BUG128" s="751"/>
      <c r="BUH128" s="751"/>
      <c r="BUI128" s="751"/>
      <c r="BUJ128" s="751"/>
      <c r="BUK128" s="751"/>
      <c r="BUL128" s="751"/>
      <c r="BUM128" s="751"/>
      <c r="BUN128" s="751"/>
      <c r="BUO128" s="751"/>
      <c r="BUP128" s="751"/>
      <c r="BUQ128" s="751"/>
      <c r="BUR128" s="751"/>
      <c r="BUS128" s="751"/>
      <c r="BUT128" s="751"/>
      <c r="BUU128" s="751"/>
      <c r="BUV128" s="751"/>
      <c r="BUW128" s="751"/>
      <c r="BUX128" s="751"/>
      <c r="BUY128" s="751"/>
      <c r="BUZ128" s="751"/>
      <c r="BVA128" s="751"/>
      <c r="BVB128" s="751"/>
      <c r="BVC128" s="751"/>
      <c r="BVD128" s="751"/>
      <c r="BVE128" s="751"/>
      <c r="BVF128" s="751"/>
      <c r="BVG128" s="751"/>
      <c r="BVH128" s="751"/>
      <c r="BVI128" s="751"/>
      <c r="BVJ128" s="751"/>
      <c r="BVK128" s="751"/>
      <c r="BVL128" s="751"/>
      <c r="BVM128" s="751"/>
      <c r="BVN128" s="751"/>
      <c r="BVO128" s="751"/>
      <c r="BVP128" s="751"/>
      <c r="BVQ128" s="751"/>
      <c r="BVR128" s="751"/>
      <c r="BVS128" s="751"/>
      <c r="BVT128" s="751"/>
      <c r="BVU128" s="751"/>
      <c r="BVV128" s="751"/>
      <c r="BVW128" s="751"/>
      <c r="BVX128" s="751"/>
      <c r="BVY128" s="751"/>
      <c r="BVZ128" s="751"/>
      <c r="BWA128" s="751"/>
      <c r="BWB128" s="751"/>
      <c r="BWC128" s="751"/>
      <c r="BWD128" s="751"/>
      <c r="BWE128" s="751"/>
      <c r="BWF128" s="751"/>
      <c r="BWG128" s="751"/>
      <c r="BWH128" s="751"/>
      <c r="BWI128" s="751"/>
      <c r="BWJ128" s="751"/>
      <c r="BWK128" s="751"/>
      <c r="BWL128" s="751"/>
      <c r="BWM128" s="751"/>
      <c r="BWN128" s="751"/>
      <c r="BWO128" s="751"/>
      <c r="BWP128" s="751"/>
      <c r="BWQ128" s="751"/>
      <c r="BWR128" s="751"/>
      <c r="BWS128" s="751"/>
      <c r="BWT128" s="751"/>
      <c r="BWU128" s="751"/>
      <c r="BWV128" s="751"/>
      <c r="BWW128" s="751"/>
      <c r="BWX128" s="751"/>
      <c r="BWY128" s="751"/>
      <c r="BWZ128" s="751"/>
      <c r="BXA128" s="751"/>
      <c r="BXB128" s="751"/>
      <c r="BXC128" s="751"/>
      <c r="BXD128" s="751"/>
      <c r="BXE128" s="751"/>
      <c r="BXF128" s="751"/>
      <c r="BXG128" s="751"/>
      <c r="BXH128" s="751"/>
      <c r="BXI128" s="751"/>
      <c r="BXJ128" s="751"/>
      <c r="BXK128" s="751"/>
      <c r="BXL128" s="751"/>
      <c r="BXM128" s="751"/>
      <c r="BXN128" s="751"/>
      <c r="BXO128" s="751"/>
      <c r="BXP128" s="751"/>
      <c r="BXQ128" s="751"/>
      <c r="BXR128" s="751"/>
      <c r="BXS128" s="751"/>
      <c r="BXT128" s="751"/>
      <c r="BXU128" s="751"/>
      <c r="BXV128" s="751"/>
      <c r="BXW128" s="751"/>
      <c r="BXX128" s="751"/>
      <c r="BXY128" s="751"/>
      <c r="BXZ128" s="751"/>
      <c r="BYA128" s="751"/>
      <c r="BYB128" s="751"/>
      <c r="BYC128" s="751"/>
      <c r="BYD128" s="751"/>
      <c r="BYE128" s="751"/>
      <c r="BYF128" s="751"/>
      <c r="BYG128" s="751"/>
      <c r="BYH128" s="751"/>
      <c r="BYI128" s="751"/>
      <c r="BYJ128" s="751"/>
      <c r="BYK128" s="751"/>
      <c r="BYL128" s="751"/>
      <c r="BYM128" s="751"/>
      <c r="BYN128" s="751"/>
      <c r="BYO128" s="751"/>
      <c r="BYP128" s="751"/>
      <c r="BYQ128" s="751"/>
      <c r="BYR128" s="751"/>
      <c r="BYS128" s="751"/>
      <c r="BYT128" s="751"/>
      <c r="BYU128" s="751"/>
      <c r="BYV128" s="751"/>
      <c r="BYW128" s="751"/>
      <c r="BYX128" s="751"/>
      <c r="BYY128" s="751"/>
      <c r="BYZ128" s="751"/>
      <c r="BZA128" s="751"/>
      <c r="BZB128" s="751"/>
      <c r="BZC128" s="751"/>
      <c r="BZD128" s="751"/>
      <c r="BZE128" s="751"/>
      <c r="BZF128" s="751"/>
      <c r="BZG128" s="751"/>
      <c r="BZH128" s="751"/>
      <c r="BZI128" s="751"/>
      <c r="BZJ128" s="751"/>
      <c r="BZK128" s="751"/>
      <c r="BZL128" s="751"/>
      <c r="BZM128" s="751"/>
      <c r="BZN128" s="751"/>
      <c r="BZO128" s="751"/>
      <c r="BZP128" s="751"/>
      <c r="BZQ128" s="751"/>
      <c r="BZR128" s="751"/>
      <c r="BZS128" s="751"/>
      <c r="BZT128" s="751"/>
      <c r="BZU128" s="751"/>
      <c r="BZV128" s="751"/>
      <c r="BZW128" s="751"/>
      <c r="BZX128" s="751"/>
      <c r="BZY128" s="751"/>
      <c r="BZZ128" s="751"/>
      <c r="CAA128" s="751"/>
      <c r="CAB128" s="751"/>
      <c r="CAC128" s="751"/>
      <c r="CAD128" s="751"/>
      <c r="CAE128" s="751"/>
      <c r="CAF128" s="751"/>
      <c r="CAG128" s="751"/>
      <c r="CAH128" s="751"/>
      <c r="CAI128" s="751"/>
      <c r="CAJ128" s="751"/>
      <c r="CAK128" s="751"/>
      <c r="CAL128" s="751"/>
      <c r="CAM128" s="751"/>
      <c r="CAN128" s="751"/>
      <c r="CAO128" s="751"/>
      <c r="CAP128" s="751"/>
      <c r="CAQ128" s="751"/>
      <c r="CAR128" s="751"/>
      <c r="CAS128" s="751"/>
      <c r="CAT128" s="751"/>
      <c r="CAU128" s="751"/>
      <c r="CAV128" s="751"/>
      <c r="CAW128" s="751"/>
      <c r="CAX128" s="751"/>
      <c r="CAY128" s="751"/>
      <c r="CAZ128" s="751"/>
      <c r="CBA128" s="751"/>
      <c r="CBB128" s="751"/>
      <c r="CBC128" s="751"/>
      <c r="CBD128" s="751"/>
      <c r="CBE128" s="751"/>
      <c r="CBF128" s="751"/>
      <c r="CBG128" s="751"/>
      <c r="CBH128" s="751"/>
      <c r="CBI128" s="751"/>
      <c r="CBJ128" s="751"/>
      <c r="CBK128" s="751"/>
      <c r="CBL128" s="751"/>
      <c r="CBM128" s="751"/>
      <c r="CBN128" s="751"/>
      <c r="CBO128" s="751"/>
      <c r="CBP128" s="751"/>
      <c r="CBQ128" s="751"/>
      <c r="CBR128" s="751"/>
      <c r="CBS128" s="751"/>
      <c r="CBT128" s="751"/>
      <c r="CBU128" s="751"/>
      <c r="CBV128" s="751"/>
      <c r="CBW128" s="751"/>
      <c r="CBX128" s="751"/>
      <c r="CBY128" s="751"/>
      <c r="CBZ128" s="751"/>
      <c r="CCA128" s="751"/>
      <c r="CCB128" s="751"/>
      <c r="CCC128" s="751"/>
      <c r="CCD128" s="751"/>
      <c r="CCE128" s="751"/>
      <c r="CCF128" s="751"/>
      <c r="CCG128" s="751"/>
      <c r="CCH128" s="751"/>
      <c r="CCI128" s="751"/>
      <c r="CCJ128" s="751"/>
      <c r="CCK128" s="751"/>
      <c r="CCL128" s="751"/>
      <c r="CCM128" s="751"/>
      <c r="CCN128" s="751"/>
      <c r="CCO128" s="751"/>
      <c r="CCP128" s="751"/>
      <c r="CCQ128" s="751"/>
      <c r="CCR128" s="751"/>
      <c r="CCS128" s="751"/>
      <c r="CCT128" s="751"/>
      <c r="CCU128" s="751"/>
      <c r="CCV128" s="751"/>
      <c r="CCW128" s="751"/>
      <c r="CCX128" s="751"/>
      <c r="CCY128" s="751"/>
      <c r="CCZ128" s="751"/>
      <c r="CDA128" s="751"/>
      <c r="CDB128" s="751"/>
      <c r="CDC128" s="751"/>
      <c r="CDD128" s="751"/>
      <c r="CDE128" s="751"/>
      <c r="CDF128" s="751"/>
      <c r="CDG128" s="751"/>
      <c r="CDH128" s="751"/>
      <c r="CDI128" s="751"/>
      <c r="CDJ128" s="751"/>
      <c r="CDK128" s="751"/>
      <c r="CDL128" s="751"/>
      <c r="CDM128" s="751"/>
      <c r="CDN128" s="751"/>
      <c r="CDO128" s="751"/>
      <c r="CDP128" s="751"/>
      <c r="CDQ128" s="751"/>
      <c r="CDR128" s="751"/>
      <c r="CDS128" s="751"/>
      <c r="CDT128" s="751"/>
      <c r="CDU128" s="751"/>
      <c r="CDV128" s="751"/>
      <c r="CDW128" s="751"/>
      <c r="CDX128" s="751"/>
      <c r="CDY128" s="751"/>
      <c r="CDZ128" s="751"/>
      <c r="CEA128" s="751"/>
      <c r="CEB128" s="751"/>
      <c r="CEC128" s="751"/>
      <c r="CED128" s="751"/>
      <c r="CEE128" s="751"/>
      <c r="CEF128" s="751"/>
      <c r="CEG128" s="751"/>
      <c r="CEH128" s="751"/>
      <c r="CEI128" s="751"/>
      <c r="CEJ128" s="751"/>
      <c r="CEK128" s="751"/>
      <c r="CEL128" s="751"/>
      <c r="CEM128" s="751"/>
      <c r="CEN128" s="751"/>
      <c r="CEO128" s="751"/>
      <c r="CEP128" s="751"/>
      <c r="CEQ128" s="751"/>
      <c r="CER128" s="751"/>
      <c r="CES128" s="751"/>
      <c r="CET128" s="751"/>
      <c r="CEU128" s="751"/>
      <c r="CEV128" s="751"/>
      <c r="CEW128" s="751"/>
      <c r="CEX128" s="751"/>
      <c r="CEY128" s="751"/>
      <c r="CEZ128" s="751"/>
      <c r="CFA128" s="751"/>
      <c r="CFB128" s="751"/>
      <c r="CFC128" s="751"/>
      <c r="CFD128" s="751"/>
      <c r="CFE128" s="751"/>
      <c r="CFF128" s="751"/>
      <c r="CFG128" s="751"/>
      <c r="CFH128" s="751"/>
      <c r="CFI128" s="751"/>
      <c r="CFJ128" s="751"/>
      <c r="CFK128" s="751"/>
      <c r="CFL128" s="751"/>
      <c r="CFM128" s="751"/>
      <c r="CFN128" s="751"/>
      <c r="CFO128" s="751"/>
      <c r="CFP128" s="751"/>
      <c r="CFQ128" s="751"/>
      <c r="CFR128" s="751"/>
      <c r="CFS128" s="751"/>
      <c r="CFT128" s="751"/>
      <c r="CFU128" s="751"/>
      <c r="CFV128" s="751"/>
      <c r="CFW128" s="751"/>
      <c r="CFX128" s="751"/>
      <c r="CFY128" s="751"/>
      <c r="CFZ128" s="751"/>
      <c r="CGA128" s="751"/>
      <c r="CGB128" s="751"/>
      <c r="CGC128" s="751"/>
      <c r="CGD128" s="751"/>
      <c r="CGE128" s="751"/>
      <c r="CGF128" s="751"/>
      <c r="CGG128" s="751"/>
      <c r="CGH128" s="751"/>
      <c r="CGI128" s="751"/>
      <c r="CGJ128" s="751"/>
      <c r="CGK128" s="751"/>
      <c r="CGL128" s="751"/>
      <c r="CGM128" s="751"/>
      <c r="CGN128" s="751"/>
      <c r="CGO128" s="751"/>
      <c r="CGP128" s="751"/>
      <c r="CGQ128" s="751"/>
      <c r="CGR128" s="751"/>
      <c r="CGS128" s="751"/>
      <c r="CGT128" s="751"/>
      <c r="CGU128" s="751"/>
      <c r="CGV128" s="751"/>
      <c r="CGW128" s="751"/>
      <c r="CGX128" s="751"/>
      <c r="CGY128" s="751"/>
      <c r="CGZ128" s="751"/>
      <c r="CHA128" s="751"/>
      <c r="CHB128" s="751"/>
      <c r="CHC128" s="751"/>
      <c r="CHD128" s="751"/>
      <c r="CHE128" s="751"/>
      <c r="CHF128" s="751"/>
      <c r="CHG128" s="751"/>
      <c r="CHH128" s="751"/>
      <c r="CHI128" s="751"/>
      <c r="CHJ128" s="751"/>
      <c r="CHK128" s="751"/>
      <c r="CHL128" s="751"/>
      <c r="CHM128" s="751"/>
      <c r="CHN128" s="751"/>
      <c r="CHO128" s="751"/>
      <c r="CHP128" s="751"/>
      <c r="CHQ128" s="751"/>
      <c r="CHR128" s="751"/>
      <c r="CHS128" s="751"/>
      <c r="CHT128" s="751"/>
      <c r="CHU128" s="751"/>
      <c r="CHV128" s="751"/>
      <c r="CHW128" s="751"/>
      <c r="CHX128" s="751"/>
      <c r="CHY128" s="751"/>
      <c r="CHZ128" s="751"/>
      <c r="CIA128" s="751"/>
      <c r="CIB128" s="751"/>
      <c r="CIC128" s="751"/>
      <c r="CID128" s="751"/>
      <c r="CIE128" s="751"/>
      <c r="CIF128" s="751"/>
      <c r="CIG128" s="751"/>
      <c r="CIH128" s="751"/>
      <c r="CII128" s="751"/>
      <c r="CIJ128" s="751"/>
      <c r="CIK128" s="751"/>
      <c r="CIL128" s="751"/>
      <c r="CIM128" s="751"/>
      <c r="CIN128" s="751"/>
      <c r="CIO128" s="751"/>
      <c r="CIP128" s="751"/>
      <c r="CIQ128" s="751"/>
      <c r="CIR128" s="751"/>
      <c r="CIS128" s="751"/>
      <c r="CIT128" s="751"/>
      <c r="CIU128" s="751"/>
      <c r="CIV128" s="751"/>
      <c r="CIW128" s="751"/>
      <c r="CIX128" s="751"/>
      <c r="CIY128" s="751"/>
      <c r="CIZ128" s="751"/>
      <c r="CJA128" s="751"/>
      <c r="CJB128" s="751"/>
      <c r="CJC128" s="751"/>
      <c r="CJD128" s="751"/>
      <c r="CJE128" s="751"/>
      <c r="CJF128" s="751"/>
      <c r="CJG128" s="751"/>
      <c r="CJH128" s="751"/>
      <c r="CJI128" s="751"/>
      <c r="CJJ128" s="751"/>
      <c r="CJK128" s="751"/>
      <c r="CJL128" s="751"/>
      <c r="CJM128" s="751"/>
      <c r="CJN128" s="751"/>
      <c r="CJO128" s="751"/>
      <c r="CJP128" s="751"/>
      <c r="CJQ128" s="751"/>
      <c r="CJR128" s="751"/>
      <c r="CJS128" s="751"/>
      <c r="CJT128" s="751"/>
      <c r="CJU128" s="751"/>
      <c r="CJV128" s="751"/>
      <c r="CJW128" s="751"/>
      <c r="CJX128" s="751"/>
      <c r="CJY128" s="751"/>
      <c r="CJZ128" s="751"/>
      <c r="CKA128" s="751"/>
      <c r="CKB128" s="751"/>
      <c r="CKC128" s="751"/>
      <c r="CKD128" s="751"/>
      <c r="CKE128" s="751"/>
      <c r="CKF128" s="751"/>
      <c r="CKG128" s="751"/>
      <c r="CKH128" s="751"/>
      <c r="CKI128" s="751"/>
      <c r="CKJ128" s="751"/>
      <c r="CKK128" s="751"/>
      <c r="CKL128" s="751"/>
      <c r="CKM128" s="751"/>
      <c r="CKN128" s="751"/>
      <c r="CKO128" s="751"/>
      <c r="CKP128" s="751"/>
      <c r="CKQ128" s="751"/>
      <c r="CKR128" s="751"/>
      <c r="CKS128" s="751"/>
      <c r="CKT128" s="751"/>
      <c r="CKU128" s="751"/>
      <c r="CKV128" s="751"/>
      <c r="CKW128" s="751"/>
      <c r="CKX128" s="751"/>
      <c r="CKY128" s="751"/>
      <c r="CKZ128" s="751"/>
      <c r="CLA128" s="751"/>
      <c r="CLB128" s="751"/>
      <c r="CLC128" s="751"/>
      <c r="CLD128" s="751"/>
      <c r="CLE128" s="751"/>
      <c r="CLF128" s="751"/>
      <c r="CLG128" s="751"/>
      <c r="CLH128" s="751"/>
      <c r="CLI128" s="751"/>
      <c r="CLJ128" s="751"/>
      <c r="CLK128" s="751"/>
      <c r="CLL128" s="751"/>
      <c r="CLM128" s="751"/>
      <c r="CLN128" s="751"/>
      <c r="CLO128" s="751"/>
      <c r="CLP128" s="751"/>
      <c r="CLQ128" s="751"/>
      <c r="CLR128" s="751"/>
      <c r="CLS128" s="751"/>
      <c r="CLT128" s="751"/>
      <c r="CLU128" s="751"/>
      <c r="CLV128" s="751"/>
      <c r="CLW128" s="751"/>
      <c r="CLX128" s="751"/>
      <c r="CLY128" s="751"/>
      <c r="CLZ128" s="751"/>
      <c r="CMA128" s="751"/>
      <c r="CMB128" s="751"/>
      <c r="CMC128" s="751"/>
      <c r="CMD128" s="751"/>
      <c r="CME128" s="751"/>
      <c r="CMF128" s="751"/>
      <c r="CMG128" s="751"/>
      <c r="CMH128" s="751"/>
      <c r="CMI128" s="751"/>
      <c r="CMJ128" s="751"/>
      <c r="CMK128" s="751"/>
      <c r="CML128" s="751"/>
      <c r="CMM128" s="751"/>
      <c r="CMN128" s="751"/>
      <c r="CMO128" s="751"/>
      <c r="CMP128" s="751"/>
      <c r="CMQ128" s="751"/>
      <c r="CMR128" s="751"/>
      <c r="CMS128" s="751"/>
      <c r="CMT128" s="751"/>
      <c r="CMU128" s="751"/>
      <c r="CMV128" s="751"/>
      <c r="CMW128" s="751"/>
      <c r="CMX128" s="751"/>
      <c r="CMY128" s="751"/>
      <c r="CMZ128" s="751"/>
      <c r="CNA128" s="751"/>
      <c r="CNB128" s="751"/>
      <c r="CNC128" s="751"/>
      <c r="CND128" s="751"/>
      <c r="CNE128" s="751"/>
      <c r="CNF128" s="751"/>
      <c r="CNG128" s="751"/>
      <c r="CNH128" s="751"/>
      <c r="CNI128" s="751"/>
      <c r="CNJ128" s="751"/>
      <c r="CNK128" s="751"/>
      <c r="CNL128" s="751"/>
      <c r="CNM128" s="751"/>
      <c r="CNN128" s="751"/>
      <c r="CNO128" s="751"/>
      <c r="CNP128" s="751"/>
      <c r="CNQ128" s="751"/>
      <c r="CNR128" s="751"/>
      <c r="CNS128" s="751"/>
      <c r="CNT128" s="751"/>
      <c r="CNU128" s="751"/>
      <c r="CNV128" s="751"/>
      <c r="CNW128" s="751"/>
      <c r="CNX128" s="751"/>
      <c r="CNY128" s="751"/>
      <c r="CNZ128" s="751"/>
      <c r="COA128" s="751"/>
      <c r="COB128" s="751"/>
      <c r="COC128" s="751"/>
      <c r="COD128" s="751"/>
      <c r="COE128" s="751"/>
      <c r="COF128" s="751"/>
      <c r="COG128" s="751"/>
      <c r="COH128" s="751"/>
      <c r="COI128" s="751"/>
      <c r="COJ128" s="751"/>
      <c r="COK128" s="751"/>
      <c r="COL128" s="751"/>
      <c r="COM128" s="751"/>
      <c r="CON128" s="751"/>
      <c r="COO128" s="751"/>
      <c r="COP128" s="751"/>
      <c r="COQ128" s="751"/>
      <c r="COR128" s="751"/>
      <c r="COS128" s="751"/>
      <c r="COT128" s="751"/>
      <c r="COU128" s="751"/>
      <c r="COV128" s="751"/>
      <c r="COW128" s="751"/>
      <c r="COX128" s="751"/>
      <c r="COY128" s="751"/>
      <c r="COZ128" s="751"/>
      <c r="CPA128" s="751"/>
      <c r="CPB128" s="751"/>
      <c r="CPC128" s="751"/>
      <c r="CPD128" s="751"/>
      <c r="CPE128" s="751"/>
      <c r="CPF128" s="751"/>
      <c r="CPG128" s="751"/>
      <c r="CPH128" s="751"/>
      <c r="CPI128" s="751"/>
      <c r="CPJ128" s="751"/>
      <c r="CPK128" s="751"/>
      <c r="CPL128" s="751"/>
      <c r="CPM128" s="751"/>
      <c r="CPN128" s="751"/>
      <c r="CPO128" s="751"/>
      <c r="CPP128" s="751"/>
      <c r="CPQ128" s="751"/>
      <c r="CPR128" s="751"/>
      <c r="CPS128" s="751"/>
      <c r="CPT128" s="751"/>
      <c r="CPU128" s="751"/>
      <c r="CPV128" s="751"/>
      <c r="CPW128" s="751"/>
      <c r="CPX128" s="751"/>
      <c r="CPY128" s="751"/>
      <c r="CPZ128" s="751"/>
      <c r="CQA128" s="751"/>
      <c r="CQB128" s="751"/>
      <c r="CQC128" s="751"/>
      <c r="CQD128" s="751"/>
      <c r="CQE128" s="751"/>
      <c r="CQF128" s="751"/>
      <c r="CQG128" s="751"/>
      <c r="CQH128" s="751"/>
      <c r="CQI128" s="751"/>
      <c r="CQJ128" s="751"/>
      <c r="CQK128" s="751"/>
      <c r="CQL128" s="751"/>
      <c r="CQM128" s="751"/>
      <c r="CQN128" s="751"/>
      <c r="CQO128" s="751"/>
      <c r="CQP128" s="751"/>
      <c r="CQQ128" s="751"/>
      <c r="CQR128" s="751"/>
      <c r="CQS128" s="751"/>
      <c r="CQT128" s="751"/>
      <c r="CQU128" s="751"/>
      <c r="CQV128" s="751"/>
      <c r="CQW128" s="751"/>
      <c r="CQX128" s="751"/>
      <c r="CQY128" s="751"/>
      <c r="CQZ128" s="751"/>
      <c r="CRA128" s="751"/>
      <c r="CRB128" s="751"/>
      <c r="CRC128" s="751"/>
      <c r="CRD128" s="751"/>
      <c r="CRE128" s="751"/>
      <c r="CRF128" s="751"/>
      <c r="CRG128" s="751"/>
      <c r="CRH128" s="751"/>
      <c r="CRI128" s="751"/>
      <c r="CRJ128" s="751"/>
      <c r="CRK128" s="751"/>
      <c r="CRL128" s="751"/>
      <c r="CRM128" s="751"/>
      <c r="CRN128" s="751"/>
      <c r="CRO128" s="751"/>
      <c r="CRP128" s="751"/>
      <c r="CRQ128" s="751"/>
      <c r="CRR128" s="751"/>
      <c r="CRS128" s="751"/>
      <c r="CRT128" s="751"/>
      <c r="CRU128" s="751"/>
      <c r="CRV128" s="751"/>
      <c r="CRW128" s="751"/>
      <c r="CRX128" s="751"/>
      <c r="CRY128" s="751"/>
      <c r="CRZ128" s="751"/>
      <c r="CSA128" s="751"/>
      <c r="CSB128" s="751"/>
      <c r="CSC128" s="751"/>
      <c r="CSD128" s="751"/>
      <c r="CSE128" s="751"/>
      <c r="CSF128" s="751"/>
      <c r="CSG128" s="751"/>
      <c r="CSH128" s="751"/>
      <c r="CSI128" s="751"/>
      <c r="CSJ128" s="751"/>
      <c r="CSK128" s="751"/>
      <c r="CSL128" s="751"/>
      <c r="CSM128" s="751"/>
      <c r="CSN128" s="751"/>
      <c r="CSO128" s="751"/>
      <c r="CSP128" s="751"/>
      <c r="CSQ128" s="751"/>
      <c r="CSR128" s="751"/>
      <c r="CSS128" s="751"/>
      <c r="CST128" s="751"/>
      <c r="CSU128" s="751"/>
      <c r="CSV128" s="751"/>
      <c r="CSW128" s="751"/>
      <c r="CSX128" s="751"/>
      <c r="CSY128" s="751"/>
      <c r="CSZ128" s="751"/>
      <c r="CTA128" s="751"/>
      <c r="CTB128" s="751"/>
      <c r="CTC128" s="751"/>
      <c r="CTD128" s="751"/>
      <c r="CTE128" s="751"/>
      <c r="CTF128" s="751"/>
      <c r="CTG128" s="751"/>
      <c r="CTH128" s="751"/>
      <c r="CTI128" s="751"/>
      <c r="CTJ128" s="751"/>
      <c r="CTK128" s="751"/>
      <c r="CTL128" s="751"/>
      <c r="CTM128" s="751"/>
      <c r="CTN128" s="751"/>
      <c r="CTO128" s="751"/>
      <c r="CTP128" s="751"/>
      <c r="CTQ128" s="751"/>
      <c r="CTR128" s="751"/>
      <c r="CTS128" s="751"/>
      <c r="CTT128" s="751"/>
      <c r="CTU128" s="751"/>
      <c r="CTV128" s="751"/>
      <c r="CTW128" s="751"/>
      <c r="CTX128" s="751"/>
      <c r="CTY128" s="751"/>
      <c r="CTZ128" s="751"/>
      <c r="CUA128" s="751"/>
      <c r="CUB128" s="751"/>
      <c r="CUC128" s="751"/>
      <c r="CUD128" s="751"/>
      <c r="CUE128" s="751"/>
      <c r="CUF128" s="751"/>
      <c r="CUG128" s="751"/>
      <c r="CUH128" s="751"/>
      <c r="CUI128" s="751"/>
      <c r="CUJ128" s="751"/>
      <c r="CUK128" s="751"/>
      <c r="CUL128" s="751"/>
      <c r="CUM128" s="751"/>
      <c r="CUN128" s="751"/>
      <c r="CUO128" s="751"/>
      <c r="CUP128" s="751"/>
      <c r="CUQ128" s="751"/>
      <c r="CUR128" s="751"/>
      <c r="CUS128" s="751"/>
      <c r="CUT128" s="751"/>
      <c r="CUU128" s="751"/>
      <c r="CUV128" s="751"/>
      <c r="CUW128" s="751"/>
      <c r="CUX128" s="751"/>
      <c r="CUY128" s="751"/>
      <c r="CUZ128" s="751"/>
      <c r="CVA128" s="751"/>
      <c r="CVB128" s="751"/>
      <c r="CVC128" s="751"/>
      <c r="CVD128" s="751"/>
      <c r="CVE128" s="751"/>
      <c r="CVF128" s="751"/>
      <c r="CVG128" s="751"/>
      <c r="CVH128" s="751"/>
      <c r="CVI128" s="751"/>
      <c r="CVJ128" s="751"/>
      <c r="CVK128" s="751"/>
      <c r="CVL128" s="751"/>
      <c r="CVM128" s="751"/>
      <c r="CVN128" s="751"/>
      <c r="CVO128" s="751"/>
      <c r="CVP128" s="751"/>
      <c r="CVQ128" s="751"/>
      <c r="CVR128" s="751"/>
      <c r="CVS128" s="751"/>
      <c r="CVT128" s="751"/>
      <c r="CVU128" s="751"/>
      <c r="CVV128" s="751"/>
      <c r="CVW128" s="751"/>
      <c r="CVX128" s="751"/>
      <c r="CVY128" s="751"/>
      <c r="CVZ128" s="751"/>
      <c r="CWA128" s="751"/>
      <c r="CWB128" s="751"/>
      <c r="CWC128" s="751"/>
      <c r="CWD128" s="751"/>
      <c r="CWE128" s="751"/>
      <c r="CWF128" s="751"/>
      <c r="CWG128" s="751"/>
      <c r="CWH128" s="751"/>
      <c r="CWI128" s="751"/>
      <c r="CWJ128" s="751"/>
      <c r="CWK128" s="751"/>
      <c r="CWL128" s="751"/>
      <c r="CWM128" s="751"/>
      <c r="CWN128" s="751"/>
      <c r="CWO128" s="751"/>
      <c r="CWP128" s="751"/>
      <c r="CWQ128" s="751"/>
      <c r="CWR128" s="751"/>
      <c r="CWS128" s="751"/>
      <c r="CWT128" s="751"/>
      <c r="CWU128" s="751"/>
      <c r="CWV128" s="751"/>
      <c r="CWW128" s="751"/>
      <c r="CWX128" s="751"/>
      <c r="CWY128" s="751"/>
      <c r="CWZ128" s="751"/>
      <c r="CXA128" s="751"/>
      <c r="CXB128" s="751"/>
      <c r="CXC128" s="751"/>
      <c r="CXD128" s="751"/>
      <c r="CXE128" s="751"/>
      <c r="CXF128" s="751"/>
      <c r="CXG128" s="751"/>
      <c r="CXH128" s="751"/>
      <c r="CXI128" s="751"/>
      <c r="CXJ128" s="751"/>
      <c r="CXK128" s="751"/>
      <c r="CXL128" s="751"/>
      <c r="CXM128" s="751"/>
      <c r="CXN128" s="751"/>
      <c r="CXO128" s="751"/>
      <c r="CXP128" s="751"/>
      <c r="CXQ128" s="751"/>
      <c r="CXR128" s="751"/>
      <c r="CXS128" s="751"/>
      <c r="CXT128" s="751"/>
      <c r="CXU128" s="751"/>
      <c r="CXV128" s="751"/>
      <c r="CXW128" s="751"/>
      <c r="CXX128" s="751"/>
      <c r="CXY128" s="751"/>
      <c r="CXZ128" s="751"/>
      <c r="CYA128" s="751"/>
      <c r="CYB128" s="751"/>
      <c r="CYC128" s="751"/>
      <c r="CYD128" s="751"/>
      <c r="CYE128" s="751"/>
      <c r="CYF128" s="751"/>
      <c r="CYG128" s="751"/>
      <c r="CYH128" s="751"/>
      <c r="CYI128" s="751"/>
      <c r="CYJ128" s="751"/>
      <c r="CYK128" s="751"/>
      <c r="CYL128" s="751"/>
      <c r="CYM128" s="751"/>
      <c r="CYN128" s="751"/>
      <c r="CYO128" s="751"/>
      <c r="CYP128" s="751"/>
      <c r="CYQ128" s="751"/>
      <c r="CYR128" s="751"/>
      <c r="CYS128" s="751"/>
      <c r="CYT128" s="751"/>
      <c r="CYU128" s="751"/>
      <c r="CYV128" s="751"/>
      <c r="CYW128" s="751"/>
      <c r="CYX128" s="751"/>
      <c r="CYY128" s="751"/>
      <c r="CYZ128" s="751"/>
      <c r="CZA128" s="751"/>
      <c r="CZB128" s="751"/>
      <c r="CZC128" s="751"/>
      <c r="CZD128" s="751"/>
      <c r="CZE128" s="751"/>
      <c r="CZF128" s="751"/>
      <c r="CZG128" s="751"/>
      <c r="CZH128" s="751"/>
      <c r="CZI128" s="751"/>
      <c r="CZJ128" s="751"/>
      <c r="CZK128" s="751"/>
      <c r="CZL128" s="751"/>
      <c r="CZM128" s="751"/>
      <c r="CZN128" s="751"/>
      <c r="CZO128" s="751"/>
      <c r="CZP128" s="751"/>
      <c r="CZQ128" s="751"/>
      <c r="CZR128" s="751"/>
      <c r="CZS128" s="751"/>
      <c r="CZT128" s="751"/>
      <c r="CZU128" s="751"/>
      <c r="CZV128" s="751"/>
      <c r="CZW128" s="751"/>
      <c r="CZX128" s="751"/>
      <c r="CZY128" s="751"/>
      <c r="CZZ128" s="751"/>
      <c r="DAA128" s="751"/>
      <c r="DAB128" s="751"/>
      <c r="DAC128" s="751"/>
      <c r="DAD128" s="751"/>
      <c r="DAE128" s="751"/>
      <c r="DAF128" s="751"/>
      <c r="DAG128" s="751"/>
      <c r="DAH128" s="751"/>
      <c r="DAI128" s="751"/>
      <c r="DAJ128" s="751"/>
      <c r="DAK128" s="751"/>
      <c r="DAL128" s="751"/>
      <c r="DAM128" s="751"/>
      <c r="DAN128" s="751"/>
      <c r="DAO128" s="751"/>
      <c r="DAP128" s="751"/>
      <c r="DAQ128" s="751"/>
      <c r="DAR128" s="751"/>
      <c r="DAS128" s="751"/>
      <c r="DAT128" s="751"/>
      <c r="DAU128" s="751"/>
      <c r="DAV128" s="751"/>
      <c r="DAW128" s="751"/>
      <c r="DAX128" s="751"/>
      <c r="DAY128" s="751"/>
      <c r="DAZ128" s="751"/>
      <c r="DBA128" s="751"/>
      <c r="DBB128" s="751"/>
      <c r="DBC128" s="751"/>
      <c r="DBD128" s="751"/>
      <c r="DBE128" s="751"/>
      <c r="DBF128" s="751"/>
      <c r="DBG128" s="751"/>
      <c r="DBH128" s="751"/>
      <c r="DBI128" s="751"/>
      <c r="DBJ128" s="751"/>
      <c r="DBK128" s="751"/>
      <c r="DBL128" s="751"/>
      <c r="DBM128" s="751"/>
      <c r="DBN128" s="751"/>
      <c r="DBO128" s="751"/>
      <c r="DBP128" s="751"/>
      <c r="DBQ128" s="751"/>
      <c r="DBR128" s="751"/>
      <c r="DBS128" s="751"/>
      <c r="DBT128" s="751"/>
      <c r="DBU128" s="751"/>
      <c r="DBV128" s="751"/>
      <c r="DBW128" s="751"/>
      <c r="DBX128" s="751"/>
      <c r="DBY128" s="751"/>
      <c r="DBZ128" s="751"/>
      <c r="DCA128" s="751"/>
      <c r="DCB128" s="751"/>
      <c r="DCC128" s="751"/>
      <c r="DCD128" s="751"/>
      <c r="DCE128" s="751"/>
      <c r="DCF128" s="751"/>
      <c r="DCG128" s="751"/>
      <c r="DCH128" s="751"/>
      <c r="DCI128" s="751"/>
      <c r="DCJ128" s="751"/>
      <c r="DCK128" s="751"/>
      <c r="DCL128" s="751"/>
      <c r="DCM128" s="751"/>
      <c r="DCN128" s="751"/>
      <c r="DCO128" s="751"/>
      <c r="DCP128" s="751"/>
      <c r="DCQ128" s="751"/>
      <c r="DCR128" s="751"/>
      <c r="DCS128" s="751"/>
      <c r="DCT128" s="751"/>
      <c r="DCU128" s="751"/>
      <c r="DCV128" s="751"/>
      <c r="DCW128" s="751"/>
      <c r="DCX128" s="751"/>
      <c r="DCY128" s="751"/>
      <c r="DCZ128" s="751"/>
      <c r="DDA128" s="751"/>
      <c r="DDB128" s="751"/>
      <c r="DDC128" s="751"/>
      <c r="DDD128" s="751"/>
      <c r="DDE128" s="751"/>
      <c r="DDF128" s="751"/>
      <c r="DDG128" s="751"/>
      <c r="DDH128" s="751"/>
      <c r="DDI128" s="751"/>
      <c r="DDJ128" s="751"/>
      <c r="DDK128" s="751"/>
      <c r="DDL128" s="751"/>
      <c r="DDM128" s="751"/>
      <c r="DDN128" s="751"/>
      <c r="DDO128" s="751"/>
      <c r="DDP128" s="751"/>
      <c r="DDQ128" s="751"/>
      <c r="DDR128" s="751"/>
      <c r="DDS128" s="751"/>
      <c r="DDT128" s="751"/>
      <c r="DDU128" s="751"/>
      <c r="DDV128" s="751"/>
      <c r="DDW128" s="751"/>
      <c r="DDX128" s="751"/>
      <c r="DDY128" s="751"/>
      <c r="DDZ128" s="751"/>
      <c r="DEA128" s="751"/>
      <c r="DEB128" s="751"/>
      <c r="DEC128" s="751"/>
      <c r="DED128" s="751"/>
      <c r="DEE128" s="751"/>
      <c r="DEF128" s="751"/>
      <c r="DEG128" s="751"/>
      <c r="DEH128" s="751"/>
      <c r="DEI128" s="751"/>
      <c r="DEJ128" s="751"/>
      <c r="DEK128" s="751"/>
      <c r="DEL128" s="751"/>
      <c r="DEM128" s="751"/>
      <c r="DEN128" s="751"/>
      <c r="DEO128" s="751"/>
      <c r="DEP128" s="751"/>
      <c r="DEQ128" s="751"/>
      <c r="DER128" s="751"/>
      <c r="DES128" s="751"/>
      <c r="DET128" s="751"/>
      <c r="DEU128" s="751"/>
      <c r="DEV128" s="751"/>
      <c r="DEW128" s="751"/>
      <c r="DEX128" s="751"/>
      <c r="DEY128" s="751"/>
      <c r="DEZ128" s="751"/>
      <c r="DFA128" s="751"/>
      <c r="DFB128" s="751"/>
      <c r="DFC128" s="751"/>
      <c r="DFD128" s="751"/>
      <c r="DFE128" s="751"/>
      <c r="DFF128" s="751"/>
      <c r="DFG128" s="751"/>
      <c r="DFH128" s="751"/>
      <c r="DFI128" s="751"/>
      <c r="DFJ128" s="751"/>
      <c r="DFK128" s="751"/>
      <c r="DFL128" s="751"/>
      <c r="DFM128" s="751"/>
      <c r="DFN128" s="751"/>
      <c r="DFO128" s="751"/>
      <c r="DFP128" s="751"/>
      <c r="DFQ128" s="751"/>
      <c r="DFR128" s="751"/>
      <c r="DFS128" s="751"/>
      <c r="DFT128" s="751"/>
      <c r="DFU128" s="751"/>
      <c r="DFV128" s="751"/>
      <c r="DFW128" s="751"/>
      <c r="DFX128" s="751"/>
      <c r="DFY128" s="751"/>
      <c r="DFZ128" s="751"/>
      <c r="DGA128" s="751"/>
      <c r="DGB128" s="751"/>
      <c r="DGC128" s="751"/>
      <c r="DGD128" s="751"/>
      <c r="DGE128" s="751"/>
      <c r="DGF128" s="751"/>
      <c r="DGG128" s="751"/>
      <c r="DGH128" s="751"/>
      <c r="DGI128" s="751"/>
      <c r="DGJ128" s="751"/>
      <c r="DGK128" s="751"/>
      <c r="DGL128" s="751"/>
      <c r="DGM128" s="751"/>
      <c r="DGN128" s="751"/>
      <c r="DGO128" s="751"/>
      <c r="DGP128" s="751"/>
      <c r="DGQ128" s="751"/>
      <c r="DGR128" s="751"/>
      <c r="DGS128" s="751"/>
      <c r="DGT128" s="751"/>
      <c r="DGU128" s="751"/>
      <c r="DGV128" s="751"/>
      <c r="DGW128" s="751"/>
      <c r="DGX128" s="751"/>
      <c r="DGY128" s="751"/>
      <c r="DGZ128" s="751"/>
      <c r="DHA128" s="751"/>
      <c r="DHB128" s="751"/>
      <c r="DHC128" s="751"/>
      <c r="DHD128" s="751"/>
      <c r="DHE128" s="751"/>
      <c r="DHF128" s="751"/>
      <c r="DHG128" s="751"/>
      <c r="DHH128" s="751"/>
      <c r="DHI128" s="751"/>
      <c r="DHJ128" s="751"/>
      <c r="DHK128" s="751"/>
      <c r="DHL128" s="751"/>
      <c r="DHM128" s="751"/>
      <c r="DHN128" s="751"/>
      <c r="DHO128" s="751"/>
      <c r="DHP128" s="751"/>
      <c r="DHQ128" s="751"/>
      <c r="DHR128" s="751"/>
      <c r="DHS128" s="751"/>
      <c r="DHT128" s="751"/>
      <c r="DHU128" s="751"/>
      <c r="DHV128" s="751"/>
      <c r="DHW128" s="751"/>
      <c r="DHX128" s="751"/>
      <c r="DHY128" s="751"/>
      <c r="DHZ128" s="751"/>
      <c r="DIA128" s="751"/>
      <c r="DIB128" s="751"/>
      <c r="DIC128" s="751"/>
      <c r="DID128" s="751"/>
      <c r="DIE128" s="751"/>
      <c r="DIF128" s="751"/>
      <c r="DIG128" s="751"/>
      <c r="DIH128" s="751"/>
      <c r="DII128" s="751"/>
      <c r="DIJ128" s="751"/>
      <c r="DIK128" s="751"/>
      <c r="DIL128" s="751"/>
      <c r="DIM128" s="751"/>
      <c r="DIN128" s="751"/>
      <c r="DIO128" s="751"/>
      <c r="DIP128" s="751"/>
      <c r="DIQ128" s="751"/>
      <c r="DIR128" s="751"/>
      <c r="DIS128" s="751"/>
      <c r="DIT128" s="751"/>
      <c r="DIU128" s="751"/>
      <c r="DIV128" s="751"/>
      <c r="DIW128" s="751"/>
      <c r="DIX128" s="751"/>
      <c r="DIY128" s="751"/>
      <c r="DIZ128" s="751"/>
      <c r="DJA128" s="751"/>
      <c r="DJB128" s="751"/>
      <c r="DJC128" s="751"/>
      <c r="DJD128" s="751"/>
      <c r="DJE128" s="751"/>
      <c r="DJF128" s="751"/>
      <c r="DJG128" s="751"/>
      <c r="DJH128" s="751"/>
      <c r="DJI128" s="751"/>
      <c r="DJJ128" s="751"/>
      <c r="DJK128" s="751"/>
      <c r="DJL128" s="751"/>
      <c r="DJM128" s="751"/>
      <c r="DJN128" s="751"/>
      <c r="DJO128" s="751"/>
      <c r="DJP128" s="751"/>
      <c r="DJQ128" s="751"/>
      <c r="DJR128" s="751"/>
      <c r="DJS128" s="751"/>
      <c r="DJT128" s="751"/>
      <c r="DJU128" s="751"/>
      <c r="DJV128" s="751"/>
      <c r="DJW128" s="751"/>
      <c r="DJX128" s="751"/>
      <c r="DJY128" s="751"/>
      <c r="DJZ128" s="751"/>
      <c r="DKA128" s="751"/>
      <c r="DKB128" s="751"/>
      <c r="DKC128" s="751"/>
      <c r="DKD128" s="751"/>
      <c r="DKE128" s="751"/>
      <c r="DKF128" s="751"/>
      <c r="DKG128" s="751"/>
      <c r="DKH128" s="751"/>
      <c r="DKI128" s="751"/>
      <c r="DKJ128" s="751"/>
      <c r="DKK128" s="751"/>
      <c r="DKL128" s="751"/>
      <c r="DKM128" s="751"/>
      <c r="DKN128" s="751"/>
      <c r="DKO128" s="751"/>
      <c r="DKP128" s="751"/>
      <c r="DKQ128" s="751"/>
      <c r="DKR128" s="751"/>
      <c r="DKS128" s="751"/>
      <c r="DKT128" s="751"/>
      <c r="DKU128" s="751"/>
      <c r="DKV128" s="751"/>
      <c r="DKW128" s="751"/>
      <c r="DKX128" s="751"/>
      <c r="DKY128" s="751"/>
      <c r="DKZ128" s="751"/>
      <c r="DLA128" s="751"/>
      <c r="DLB128" s="751"/>
      <c r="DLC128" s="751"/>
      <c r="DLD128" s="751"/>
      <c r="DLE128" s="751"/>
      <c r="DLF128" s="751"/>
      <c r="DLG128" s="751"/>
      <c r="DLH128" s="751"/>
      <c r="DLI128" s="751"/>
      <c r="DLJ128" s="751"/>
      <c r="DLK128" s="751"/>
      <c r="DLL128" s="751"/>
      <c r="DLM128" s="751"/>
      <c r="DLN128" s="751"/>
      <c r="DLO128" s="751"/>
      <c r="DLP128" s="751"/>
      <c r="DLQ128" s="751"/>
      <c r="DLR128" s="751"/>
      <c r="DLS128" s="751"/>
      <c r="DLT128" s="751"/>
      <c r="DLU128" s="751"/>
      <c r="DLV128" s="751"/>
      <c r="DLW128" s="751"/>
      <c r="DLX128" s="751"/>
      <c r="DLY128" s="751"/>
      <c r="DLZ128" s="751"/>
      <c r="DMA128" s="751"/>
      <c r="DMB128" s="751"/>
      <c r="DMC128" s="751"/>
      <c r="DMD128" s="751"/>
      <c r="DME128" s="751"/>
      <c r="DMF128" s="751"/>
      <c r="DMG128" s="751"/>
      <c r="DMH128" s="751"/>
      <c r="DMI128" s="751"/>
      <c r="DMJ128" s="751"/>
      <c r="DMK128" s="751"/>
      <c r="DML128" s="751"/>
      <c r="DMM128" s="751"/>
      <c r="DMN128" s="751"/>
      <c r="DMO128" s="751"/>
      <c r="DMP128" s="751"/>
      <c r="DMQ128" s="751"/>
      <c r="DMR128" s="751"/>
      <c r="DMS128" s="751"/>
      <c r="DMT128" s="751"/>
      <c r="DMU128" s="751"/>
      <c r="DMV128" s="751"/>
      <c r="DMW128" s="751"/>
      <c r="DMX128" s="751"/>
      <c r="DMY128" s="751"/>
      <c r="DMZ128" s="751"/>
      <c r="DNA128" s="751"/>
      <c r="DNB128" s="751"/>
      <c r="DNC128" s="751"/>
      <c r="DND128" s="751"/>
      <c r="DNE128" s="751"/>
      <c r="DNF128" s="751"/>
      <c r="DNG128" s="751"/>
      <c r="DNH128" s="751"/>
      <c r="DNI128" s="751"/>
      <c r="DNJ128" s="751"/>
      <c r="DNK128" s="751"/>
      <c r="DNL128" s="751"/>
      <c r="DNM128" s="751"/>
      <c r="DNN128" s="751"/>
      <c r="DNO128" s="751"/>
      <c r="DNP128" s="751"/>
      <c r="DNQ128" s="751"/>
      <c r="DNR128" s="751"/>
      <c r="DNS128" s="751"/>
      <c r="DNT128" s="751"/>
      <c r="DNU128" s="751"/>
      <c r="DNV128" s="751"/>
      <c r="DNW128" s="751"/>
      <c r="DNX128" s="751"/>
      <c r="DNY128" s="751"/>
      <c r="DNZ128" s="751"/>
      <c r="DOA128" s="751"/>
      <c r="DOB128" s="751"/>
      <c r="DOC128" s="751"/>
      <c r="DOD128" s="751"/>
      <c r="DOE128" s="751"/>
      <c r="DOF128" s="751"/>
      <c r="DOG128" s="751"/>
      <c r="DOH128" s="751"/>
      <c r="DOI128" s="751"/>
      <c r="DOJ128" s="751"/>
      <c r="DOK128" s="751"/>
      <c r="DOL128" s="751"/>
      <c r="DOM128" s="751"/>
      <c r="DON128" s="751"/>
      <c r="DOO128" s="751"/>
      <c r="DOP128" s="751"/>
      <c r="DOQ128" s="751"/>
      <c r="DOR128" s="751"/>
      <c r="DOS128" s="751"/>
      <c r="DOT128" s="751"/>
      <c r="DOU128" s="751"/>
      <c r="DOV128" s="751"/>
      <c r="DOW128" s="751"/>
      <c r="DOX128" s="751"/>
      <c r="DOY128" s="751"/>
      <c r="DOZ128" s="751"/>
      <c r="DPA128" s="751"/>
      <c r="DPB128" s="751"/>
      <c r="DPC128" s="751"/>
      <c r="DPD128" s="751"/>
      <c r="DPE128" s="751"/>
      <c r="DPF128" s="751"/>
      <c r="DPG128" s="751"/>
      <c r="DPH128" s="751"/>
      <c r="DPI128" s="751"/>
      <c r="DPJ128" s="751"/>
      <c r="DPK128" s="751"/>
      <c r="DPL128" s="751"/>
      <c r="DPM128" s="751"/>
      <c r="DPN128" s="751"/>
      <c r="DPO128" s="751"/>
      <c r="DPP128" s="751"/>
      <c r="DPQ128" s="751"/>
      <c r="DPR128" s="751"/>
      <c r="DPS128" s="751"/>
      <c r="DPT128" s="751"/>
      <c r="DPU128" s="751"/>
      <c r="DPV128" s="751"/>
      <c r="DPW128" s="751"/>
      <c r="DPX128" s="751"/>
      <c r="DPY128" s="751"/>
      <c r="DPZ128" s="751"/>
      <c r="DQA128" s="751"/>
      <c r="DQB128" s="751"/>
      <c r="DQC128" s="751"/>
      <c r="DQD128" s="751"/>
      <c r="DQE128" s="751"/>
      <c r="DQF128" s="751"/>
      <c r="DQG128" s="751"/>
      <c r="DQH128" s="751"/>
      <c r="DQI128" s="751"/>
      <c r="DQJ128" s="751"/>
      <c r="DQK128" s="751"/>
      <c r="DQL128" s="751"/>
      <c r="DQM128" s="751"/>
      <c r="DQN128" s="751"/>
      <c r="DQO128" s="751"/>
      <c r="DQP128" s="751"/>
      <c r="DQQ128" s="751"/>
      <c r="DQR128" s="751"/>
      <c r="DQS128" s="751"/>
      <c r="DQT128" s="751"/>
      <c r="DQU128" s="751"/>
      <c r="DQV128" s="751"/>
      <c r="DQW128" s="751"/>
      <c r="DQX128" s="751"/>
      <c r="DQY128" s="751"/>
      <c r="DQZ128" s="751"/>
      <c r="DRA128" s="751"/>
      <c r="DRB128" s="751"/>
      <c r="DRC128" s="751"/>
      <c r="DRD128" s="751"/>
      <c r="DRE128" s="751"/>
      <c r="DRF128" s="751"/>
      <c r="DRG128" s="751"/>
      <c r="DRH128" s="751"/>
      <c r="DRI128" s="751"/>
      <c r="DRJ128" s="751"/>
      <c r="DRK128" s="751"/>
      <c r="DRL128" s="751"/>
      <c r="DRM128" s="751"/>
      <c r="DRN128" s="751"/>
      <c r="DRO128" s="751"/>
      <c r="DRP128" s="751"/>
      <c r="DRQ128" s="751"/>
      <c r="DRR128" s="751"/>
      <c r="DRS128" s="751"/>
      <c r="DRT128" s="751"/>
      <c r="DRU128" s="751"/>
      <c r="DRV128" s="751"/>
      <c r="DRW128" s="751"/>
      <c r="DRX128" s="751"/>
      <c r="DRY128" s="751"/>
      <c r="DRZ128" s="751"/>
      <c r="DSA128" s="751"/>
      <c r="DSB128" s="751"/>
      <c r="DSC128" s="751"/>
      <c r="DSD128" s="751"/>
      <c r="DSE128" s="751"/>
      <c r="DSF128" s="751"/>
      <c r="DSG128" s="751"/>
      <c r="DSH128" s="751"/>
      <c r="DSI128" s="751"/>
      <c r="DSJ128" s="751"/>
      <c r="DSK128" s="751"/>
      <c r="DSL128" s="751"/>
      <c r="DSM128" s="751"/>
      <c r="DSN128" s="751"/>
      <c r="DSO128" s="751"/>
      <c r="DSP128" s="751"/>
      <c r="DSQ128" s="751"/>
      <c r="DSR128" s="751"/>
      <c r="DSS128" s="751"/>
      <c r="DST128" s="751"/>
      <c r="DSU128" s="751"/>
      <c r="DSV128" s="751"/>
      <c r="DSW128" s="751"/>
      <c r="DSX128" s="751"/>
      <c r="DSY128" s="751"/>
      <c r="DSZ128" s="751"/>
      <c r="DTA128" s="751"/>
      <c r="DTB128" s="751"/>
      <c r="DTC128" s="751"/>
      <c r="DTD128" s="751"/>
      <c r="DTE128" s="751"/>
      <c r="DTF128" s="751"/>
      <c r="DTG128" s="751"/>
      <c r="DTH128" s="751"/>
      <c r="DTI128" s="751"/>
      <c r="DTJ128" s="751"/>
      <c r="DTK128" s="751"/>
      <c r="DTL128" s="751"/>
      <c r="DTM128" s="751"/>
      <c r="DTN128" s="751"/>
      <c r="DTO128" s="751"/>
      <c r="DTP128" s="751"/>
      <c r="DTQ128" s="751"/>
      <c r="DTR128" s="751"/>
      <c r="DTS128" s="751"/>
      <c r="DTT128" s="751"/>
      <c r="DTU128" s="751"/>
      <c r="DTV128" s="751"/>
      <c r="DTW128" s="751"/>
      <c r="DTX128" s="751"/>
      <c r="DTY128" s="751"/>
      <c r="DTZ128" s="751"/>
      <c r="DUA128" s="751"/>
      <c r="DUB128" s="751"/>
      <c r="DUC128" s="751"/>
      <c r="DUD128" s="751"/>
      <c r="DUE128" s="751"/>
      <c r="DUF128" s="751"/>
      <c r="DUG128" s="751"/>
      <c r="DUH128" s="751"/>
      <c r="DUI128" s="751"/>
      <c r="DUJ128" s="751"/>
      <c r="DUK128" s="751"/>
      <c r="DUL128" s="751"/>
      <c r="DUM128" s="751"/>
      <c r="DUN128" s="751"/>
      <c r="DUO128" s="751"/>
      <c r="DUP128" s="751"/>
      <c r="DUQ128" s="751"/>
      <c r="DUR128" s="751"/>
      <c r="DUS128" s="751"/>
      <c r="DUT128" s="751"/>
      <c r="DUU128" s="751"/>
      <c r="DUV128" s="751"/>
      <c r="DUW128" s="751"/>
      <c r="DUX128" s="751"/>
      <c r="DUY128" s="751"/>
      <c r="DUZ128" s="751"/>
      <c r="DVA128" s="751"/>
      <c r="DVB128" s="751"/>
      <c r="DVC128" s="751"/>
      <c r="DVD128" s="751"/>
      <c r="DVE128" s="751"/>
      <c r="DVF128" s="751"/>
      <c r="DVG128" s="751"/>
      <c r="DVH128" s="751"/>
      <c r="DVI128" s="751"/>
      <c r="DVJ128" s="751"/>
      <c r="DVK128" s="751"/>
      <c r="DVL128" s="751"/>
      <c r="DVM128" s="751"/>
      <c r="DVN128" s="751"/>
      <c r="DVO128" s="751"/>
      <c r="DVP128" s="751"/>
      <c r="DVQ128" s="751"/>
      <c r="DVR128" s="751"/>
      <c r="DVS128" s="751"/>
      <c r="DVT128" s="751"/>
      <c r="DVU128" s="751"/>
      <c r="DVV128" s="751"/>
      <c r="DVW128" s="751"/>
      <c r="DVX128" s="751"/>
      <c r="DVY128" s="751"/>
      <c r="DVZ128" s="751"/>
      <c r="DWA128" s="751"/>
      <c r="DWB128" s="751"/>
      <c r="DWC128" s="751"/>
      <c r="DWD128" s="751"/>
      <c r="DWE128" s="751"/>
      <c r="DWF128" s="751"/>
      <c r="DWG128" s="751"/>
      <c r="DWH128" s="751"/>
      <c r="DWI128" s="751"/>
      <c r="DWJ128" s="751"/>
      <c r="DWK128" s="751"/>
      <c r="DWL128" s="751"/>
      <c r="DWM128" s="751"/>
      <c r="DWN128" s="751"/>
      <c r="DWO128" s="751"/>
      <c r="DWP128" s="751"/>
      <c r="DWQ128" s="751"/>
      <c r="DWR128" s="751"/>
      <c r="DWS128" s="751"/>
      <c r="DWT128" s="751"/>
      <c r="DWU128" s="751"/>
      <c r="DWV128" s="751"/>
      <c r="DWW128" s="751"/>
      <c r="DWX128" s="751"/>
      <c r="DWY128" s="751"/>
      <c r="DWZ128" s="751"/>
      <c r="DXA128" s="751"/>
      <c r="DXB128" s="751"/>
      <c r="DXC128" s="751"/>
      <c r="DXD128" s="751"/>
      <c r="DXE128" s="751"/>
      <c r="DXF128" s="751"/>
      <c r="DXG128" s="751"/>
      <c r="DXH128" s="751"/>
      <c r="DXI128" s="751"/>
      <c r="DXJ128" s="751"/>
      <c r="DXK128" s="751"/>
      <c r="DXL128" s="751"/>
      <c r="DXM128" s="751"/>
      <c r="DXN128" s="751"/>
      <c r="DXO128" s="751"/>
      <c r="DXP128" s="751"/>
      <c r="DXQ128" s="751"/>
      <c r="DXR128" s="751"/>
      <c r="DXS128" s="751"/>
      <c r="DXT128" s="751"/>
      <c r="DXU128" s="751"/>
      <c r="DXV128" s="751"/>
      <c r="DXW128" s="751"/>
      <c r="DXX128" s="751"/>
      <c r="DXY128" s="751"/>
      <c r="DXZ128" s="751"/>
      <c r="DYA128" s="751"/>
      <c r="DYB128" s="751"/>
      <c r="DYC128" s="751"/>
      <c r="DYD128" s="751"/>
      <c r="DYE128" s="751"/>
      <c r="DYF128" s="751"/>
      <c r="DYG128" s="751"/>
      <c r="DYH128" s="751"/>
      <c r="DYI128" s="751"/>
      <c r="DYJ128" s="751"/>
      <c r="DYK128" s="751"/>
      <c r="DYL128" s="751"/>
      <c r="DYM128" s="751"/>
      <c r="DYN128" s="751"/>
      <c r="DYO128" s="751"/>
      <c r="DYP128" s="751"/>
      <c r="DYQ128" s="751"/>
      <c r="DYR128" s="751"/>
      <c r="DYS128" s="751"/>
      <c r="DYT128" s="751"/>
      <c r="DYU128" s="751"/>
      <c r="DYV128" s="751"/>
      <c r="DYW128" s="751"/>
      <c r="DYX128" s="751"/>
      <c r="DYY128" s="751"/>
      <c r="DYZ128" s="751"/>
      <c r="DZA128" s="751"/>
      <c r="DZB128" s="751"/>
      <c r="DZC128" s="751"/>
      <c r="DZD128" s="751"/>
      <c r="DZE128" s="751"/>
      <c r="DZF128" s="751"/>
      <c r="DZG128" s="751"/>
      <c r="DZH128" s="751"/>
      <c r="DZI128" s="751"/>
      <c r="DZJ128" s="751"/>
      <c r="DZK128" s="751"/>
      <c r="DZL128" s="751"/>
      <c r="DZM128" s="751"/>
      <c r="DZN128" s="751"/>
      <c r="DZO128" s="751"/>
      <c r="DZP128" s="751"/>
      <c r="DZQ128" s="751"/>
      <c r="DZR128" s="751"/>
      <c r="DZS128" s="751"/>
      <c r="DZT128" s="751"/>
      <c r="DZU128" s="751"/>
      <c r="DZV128" s="751"/>
      <c r="DZW128" s="751"/>
      <c r="DZX128" s="751"/>
      <c r="DZY128" s="751"/>
      <c r="DZZ128" s="751"/>
      <c r="EAA128" s="751"/>
      <c r="EAB128" s="751"/>
      <c r="EAC128" s="751"/>
      <c r="EAD128" s="751"/>
      <c r="EAE128" s="751"/>
      <c r="EAF128" s="751"/>
      <c r="EAG128" s="751"/>
      <c r="EAH128" s="751"/>
      <c r="EAI128" s="751"/>
      <c r="EAJ128" s="751"/>
      <c r="EAK128" s="751"/>
      <c r="EAL128" s="751"/>
      <c r="EAM128" s="751"/>
      <c r="EAN128" s="751"/>
      <c r="EAO128" s="751"/>
      <c r="EAP128" s="751"/>
      <c r="EAQ128" s="751"/>
      <c r="EAR128" s="751"/>
      <c r="EAS128" s="751"/>
      <c r="EAT128" s="751"/>
      <c r="EAU128" s="751"/>
      <c r="EAV128" s="751"/>
      <c r="EAW128" s="751"/>
      <c r="EAX128" s="751"/>
      <c r="EAY128" s="751"/>
      <c r="EAZ128" s="751"/>
      <c r="EBA128" s="751"/>
      <c r="EBB128" s="751"/>
      <c r="EBC128" s="751"/>
      <c r="EBD128" s="751"/>
      <c r="EBE128" s="751"/>
      <c r="EBF128" s="751"/>
      <c r="EBG128" s="751"/>
      <c r="EBH128" s="751"/>
      <c r="EBI128" s="751"/>
      <c r="EBJ128" s="751"/>
      <c r="EBK128" s="751"/>
      <c r="EBL128" s="751"/>
      <c r="EBM128" s="751"/>
      <c r="EBN128" s="751"/>
      <c r="EBO128" s="751"/>
      <c r="EBP128" s="751"/>
      <c r="EBQ128" s="751"/>
      <c r="EBR128" s="751"/>
      <c r="EBS128" s="751"/>
      <c r="EBT128" s="751"/>
      <c r="EBU128" s="751"/>
      <c r="EBV128" s="751"/>
      <c r="EBW128" s="751"/>
      <c r="EBX128" s="751"/>
      <c r="EBY128" s="751"/>
      <c r="EBZ128" s="751"/>
      <c r="ECA128" s="751"/>
      <c r="ECB128" s="751"/>
      <c r="ECC128" s="751"/>
      <c r="ECD128" s="751"/>
      <c r="ECE128" s="751"/>
      <c r="ECF128" s="751"/>
      <c r="ECG128" s="751"/>
      <c r="ECH128" s="751"/>
      <c r="ECI128" s="751"/>
      <c r="ECJ128" s="751"/>
      <c r="ECK128" s="751"/>
      <c r="ECL128" s="751"/>
      <c r="ECM128" s="751"/>
      <c r="ECN128" s="751"/>
      <c r="ECO128" s="751"/>
      <c r="ECP128" s="751"/>
      <c r="ECQ128" s="751"/>
      <c r="ECR128" s="751"/>
      <c r="ECS128" s="751"/>
      <c r="ECT128" s="751"/>
      <c r="ECU128" s="751"/>
      <c r="ECV128" s="751"/>
      <c r="ECW128" s="751"/>
      <c r="ECX128" s="751"/>
      <c r="ECY128" s="751"/>
      <c r="ECZ128" s="751"/>
      <c r="EDA128" s="751"/>
      <c r="EDB128" s="751"/>
      <c r="EDC128" s="751"/>
      <c r="EDD128" s="751"/>
      <c r="EDE128" s="751"/>
      <c r="EDF128" s="751"/>
      <c r="EDG128" s="751"/>
      <c r="EDH128" s="751"/>
      <c r="EDI128" s="751"/>
      <c r="EDJ128" s="751"/>
      <c r="EDK128" s="751"/>
      <c r="EDL128" s="751"/>
      <c r="EDM128" s="751"/>
      <c r="EDN128" s="751"/>
      <c r="EDO128" s="751"/>
      <c r="EDP128" s="751"/>
      <c r="EDQ128" s="751"/>
      <c r="EDR128" s="751"/>
      <c r="EDS128" s="751"/>
      <c r="EDT128" s="751"/>
      <c r="EDU128" s="751"/>
      <c r="EDV128" s="751"/>
      <c r="EDW128" s="751"/>
      <c r="EDX128" s="751"/>
      <c r="EDY128" s="751"/>
      <c r="EDZ128" s="751"/>
      <c r="EEA128" s="751"/>
      <c r="EEB128" s="751"/>
      <c r="EEC128" s="751"/>
      <c r="EED128" s="751"/>
      <c r="EEE128" s="751"/>
      <c r="EEF128" s="751"/>
      <c r="EEG128" s="751"/>
      <c r="EEH128" s="751"/>
      <c r="EEI128" s="751"/>
      <c r="EEJ128" s="751"/>
      <c r="EEK128" s="751"/>
      <c r="EEL128" s="751"/>
      <c r="EEM128" s="751"/>
      <c r="EEN128" s="751"/>
      <c r="EEO128" s="751"/>
      <c r="EEP128" s="751"/>
      <c r="EEQ128" s="751"/>
      <c r="EER128" s="751"/>
      <c r="EES128" s="751"/>
      <c r="EET128" s="751"/>
      <c r="EEU128" s="751"/>
      <c r="EEV128" s="751"/>
      <c r="EEW128" s="751"/>
      <c r="EEX128" s="751"/>
      <c r="EEY128" s="751"/>
      <c r="EEZ128" s="751"/>
      <c r="EFA128" s="751"/>
      <c r="EFB128" s="751"/>
      <c r="EFC128" s="751"/>
      <c r="EFD128" s="751"/>
      <c r="EFE128" s="751"/>
      <c r="EFF128" s="751"/>
      <c r="EFG128" s="751"/>
      <c r="EFH128" s="751"/>
      <c r="EFI128" s="751"/>
      <c r="EFJ128" s="751"/>
      <c r="EFK128" s="751"/>
      <c r="EFL128" s="751"/>
      <c r="EFM128" s="751"/>
      <c r="EFN128" s="751"/>
      <c r="EFO128" s="751"/>
      <c r="EFP128" s="751"/>
      <c r="EFQ128" s="751"/>
      <c r="EFR128" s="751"/>
      <c r="EFS128" s="751"/>
      <c r="EFT128" s="751"/>
      <c r="EFU128" s="751"/>
      <c r="EFV128" s="751"/>
      <c r="EFW128" s="751"/>
      <c r="EFX128" s="751"/>
      <c r="EFY128" s="751"/>
      <c r="EFZ128" s="751"/>
      <c r="EGA128" s="751"/>
      <c r="EGB128" s="751"/>
      <c r="EGC128" s="751"/>
      <c r="EGD128" s="751"/>
      <c r="EGE128" s="751"/>
      <c r="EGF128" s="751"/>
      <c r="EGG128" s="751"/>
      <c r="EGH128" s="751"/>
      <c r="EGI128" s="751"/>
      <c r="EGJ128" s="751"/>
      <c r="EGK128" s="751"/>
      <c r="EGL128" s="751"/>
      <c r="EGM128" s="751"/>
      <c r="EGN128" s="751"/>
      <c r="EGO128" s="751"/>
      <c r="EGP128" s="751"/>
      <c r="EGQ128" s="751"/>
      <c r="EGR128" s="751"/>
      <c r="EGS128" s="751"/>
      <c r="EGT128" s="751"/>
      <c r="EGU128" s="751"/>
      <c r="EGV128" s="751"/>
      <c r="EGW128" s="751"/>
      <c r="EGX128" s="751"/>
      <c r="EGY128" s="751"/>
      <c r="EGZ128" s="751"/>
      <c r="EHA128" s="751"/>
      <c r="EHB128" s="751"/>
      <c r="EHC128" s="751"/>
      <c r="EHD128" s="751"/>
      <c r="EHE128" s="751"/>
      <c r="EHF128" s="751"/>
      <c r="EHG128" s="751"/>
      <c r="EHH128" s="751"/>
      <c r="EHI128" s="751"/>
      <c r="EHJ128" s="751"/>
      <c r="EHK128" s="751"/>
      <c r="EHL128" s="751"/>
      <c r="EHM128" s="751"/>
      <c r="EHN128" s="751"/>
      <c r="EHO128" s="751"/>
      <c r="EHP128" s="751"/>
      <c r="EHQ128" s="751"/>
      <c r="EHR128" s="751"/>
      <c r="EHS128" s="751"/>
      <c r="EHT128" s="751"/>
      <c r="EHU128" s="751"/>
      <c r="EHV128" s="751"/>
      <c r="EHW128" s="751"/>
      <c r="EHX128" s="751"/>
      <c r="EHY128" s="751"/>
      <c r="EHZ128" s="751"/>
      <c r="EIA128" s="751"/>
      <c r="EIB128" s="751"/>
      <c r="EIC128" s="751"/>
      <c r="EID128" s="751"/>
      <c r="EIE128" s="751"/>
      <c r="EIF128" s="751"/>
      <c r="EIG128" s="751"/>
      <c r="EIH128" s="751"/>
      <c r="EII128" s="751"/>
      <c r="EIJ128" s="751"/>
      <c r="EIK128" s="751"/>
      <c r="EIL128" s="751"/>
      <c r="EIM128" s="751"/>
      <c r="EIN128" s="751"/>
      <c r="EIO128" s="751"/>
      <c r="EIP128" s="751"/>
      <c r="EIQ128" s="751"/>
      <c r="EIR128" s="751"/>
      <c r="EIS128" s="751"/>
      <c r="EIT128" s="751"/>
      <c r="EIU128" s="751"/>
      <c r="EIV128" s="751"/>
      <c r="EIW128" s="751"/>
      <c r="EIX128" s="751"/>
      <c r="EIY128" s="751"/>
      <c r="EIZ128" s="751"/>
      <c r="EJA128" s="751"/>
      <c r="EJB128" s="751"/>
      <c r="EJC128" s="751"/>
      <c r="EJD128" s="751"/>
      <c r="EJE128" s="751"/>
      <c r="EJF128" s="751"/>
      <c r="EJG128" s="751"/>
      <c r="EJH128" s="751"/>
      <c r="EJI128" s="751"/>
      <c r="EJJ128" s="751"/>
      <c r="EJK128" s="751"/>
      <c r="EJL128" s="751"/>
      <c r="EJM128" s="751"/>
      <c r="EJN128" s="751"/>
      <c r="EJO128" s="751"/>
      <c r="EJP128" s="751"/>
      <c r="EJQ128" s="751"/>
      <c r="EJR128" s="751"/>
      <c r="EJS128" s="751"/>
      <c r="EJT128" s="751"/>
      <c r="EJU128" s="751"/>
      <c r="EJV128" s="751"/>
      <c r="EJW128" s="751"/>
      <c r="EJX128" s="751"/>
      <c r="EJY128" s="751"/>
      <c r="EJZ128" s="751"/>
      <c r="EKA128" s="751"/>
      <c r="EKB128" s="751"/>
      <c r="EKC128" s="751"/>
      <c r="EKD128" s="751"/>
      <c r="EKE128" s="751"/>
      <c r="EKF128" s="751"/>
      <c r="EKG128" s="751"/>
      <c r="EKH128" s="751"/>
      <c r="EKI128" s="751"/>
      <c r="EKJ128" s="751"/>
      <c r="EKK128" s="751"/>
      <c r="EKL128" s="751"/>
      <c r="EKM128" s="751"/>
      <c r="EKN128" s="751"/>
      <c r="EKO128" s="751"/>
      <c r="EKP128" s="751"/>
      <c r="EKQ128" s="751"/>
      <c r="EKR128" s="751"/>
      <c r="EKS128" s="751"/>
      <c r="EKT128" s="751"/>
      <c r="EKU128" s="751"/>
      <c r="EKV128" s="751"/>
      <c r="EKW128" s="751"/>
      <c r="EKX128" s="751"/>
      <c r="EKY128" s="751"/>
      <c r="EKZ128" s="751"/>
      <c r="ELA128" s="751"/>
      <c r="ELB128" s="751"/>
      <c r="ELC128" s="751"/>
      <c r="ELD128" s="751"/>
      <c r="ELE128" s="751"/>
      <c r="ELF128" s="751"/>
      <c r="ELG128" s="751"/>
      <c r="ELH128" s="751"/>
      <c r="ELI128" s="751"/>
      <c r="ELJ128" s="751"/>
      <c r="ELK128" s="751"/>
      <c r="ELL128" s="751"/>
      <c r="ELM128" s="751"/>
      <c r="ELN128" s="751"/>
      <c r="ELO128" s="751"/>
      <c r="ELP128" s="751"/>
      <c r="ELQ128" s="751"/>
      <c r="ELR128" s="751"/>
      <c r="ELS128" s="751"/>
      <c r="ELT128" s="751"/>
      <c r="ELU128" s="751"/>
      <c r="ELV128" s="751"/>
      <c r="ELW128" s="751"/>
      <c r="ELX128" s="751"/>
      <c r="ELY128" s="751"/>
      <c r="ELZ128" s="751"/>
      <c r="EMA128" s="751"/>
      <c r="EMB128" s="751"/>
      <c r="EMC128" s="751"/>
      <c r="EMD128" s="751"/>
      <c r="EME128" s="751"/>
      <c r="EMF128" s="751"/>
      <c r="EMG128" s="751"/>
      <c r="EMH128" s="751"/>
      <c r="EMI128" s="751"/>
      <c r="EMJ128" s="751"/>
      <c r="EMK128" s="751"/>
      <c r="EML128" s="751"/>
      <c r="EMM128" s="751"/>
      <c r="EMN128" s="751"/>
      <c r="EMO128" s="751"/>
      <c r="EMP128" s="751"/>
      <c r="EMQ128" s="751"/>
      <c r="EMR128" s="751"/>
      <c r="EMS128" s="751"/>
      <c r="EMT128" s="751"/>
      <c r="EMU128" s="751"/>
      <c r="EMV128" s="751"/>
      <c r="EMW128" s="751"/>
      <c r="EMX128" s="751"/>
      <c r="EMY128" s="751"/>
      <c r="EMZ128" s="751"/>
      <c r="ENA128" s="751"/>
      <c r="ENB128" s="751"/>
      <c r="ENC128" s="751"/>
      <c r="END128" s="751"/>
      <c r="ENE128" s="751"/>
      <c r="ENF128" s="751"/>
      <c r="ENG128" s="751"/>
      <c r="ENH128" s="751"/>
      <c r="ENI128" s="751"/>
      <c r="ENJ128" s="751"/>
      <c r="ENK128" s="751"/>
      <c r="ENL128" s="751"/>
      <c r="ENM128" s="751"/>
      <c r="ENN128" s="751"/>
      <c r="ENO128" s="751"/>
      <c r="ENP128" s="751"/>
      <c r="ENQ128" s="751"/>
      <c r="ENR128" s="751"/>
      <c r="ENS128" s="751"/>
      <c r="ENT128" s="751"/>
      <c r="ENU128" s="751"/>
      <c r="ENV128" s="751"/>
      <c r="ENW128" s="751"/>
      <c r="ENX128" s="751"/>
      <c r="ENY128" s="751"/>
      <c r="ENZ128" s="751"/>
      <c r="EOA128" s="751"/>
      <c r="EOB128" s="751"/>
      <c r="EOC128" s="751"/>
      <c r="EOD128" s="751"/>
      <c r="EOE128" s="751"/>
      <c r="EOF128" s="751"/>
      <c r="EOG128" s="751"/>
      <c r="EOH128" s="751"/>
      <c r="EOI128" s="751"/>
      <c r="EOJ128" s="751"/>
      <c r="EOK128" s="751"/>
      <c r="EOL128" s="751"/>
      <c r="EOM128" s="751"/>
      <c r="EON128" s="751"/>
      <c r="EOO128" s="751"/>
      <c r="EOP128" s="751"/>
      <c r="EOQ128" s="751"/>
      <c r="EOR128" s="751"/>
      <c r="EOS128" s="751"/>
      <c r="EOT128" s="751"/>
      <c r="EOU128" s="751"/>
      <c r="EOV128" s="751"/>
      <c r="EOW128" s="751"/>
      <c r="EOX128" s="751"/>
      <c r="EOY128" s="751"/>
      <c r="EOZ128" s="751"/>
      <c r="EPA128" s="751"/>
      <c r="EPB128" s="751"/>
      <c r="EPC128" s="751"/>
      <c r="EPD128" s="751"/>
      <c r="EPE128" s="751"/>
      <c r="EPF128" s="751"/>
      <c r="EPG128" s="751"/>
      <c r="EPH128" s="751"/>
      <c r="EPI128" s="751"/>
      <c r="EPJ128" s="751"/>
      <c r="EPK128" s="751"/>
      <c r="EPL128" s="751"/>
      <c r="EPM128" s="751"/>
      <c r="EPN128" s="751"/>
      <c r="EPO128" s="751"/>
      <c r="EPP128" s="751"/>
      <c r="EPQ128" s="751"/>
      <c r="EPR128" s="751"/>
      <c r="EPS128" s="751"/>
      <c r="EPT128" s="751"/>
      <c r="EPU128" s="751"/>
      <c r="EPV128" s="751"/>
      <c r="EPW128" s="751"/>
      <c r="EPX128" s="751"/>
      <c r="EPY128" s="751"/>
      <c r="EPZ128" s="751"/>
      <c r="EQA128" s="751"/>
      <c r="EQB128" s="751"/>
      <c r="EQC128" s="751"/>
      <c r="EQD128" s="751"/>
      <c r="EQE128" s="751"/>
      <c r="EQF128" s="751"/>
      <c r="EQG128" s="751"/>
      <c r="EQH128" s="751"/>
      <c r="EQI128" s="751"/>
      <c r="EQJ128" s="751"/>
      <c r="EQK128" s="751"/>
      <c r="EQL128" s="751"/>
      <c r="EQM128" s="751"/>
      <c r="EQN128" s="751"/>
      <c r="EQO128" s="751"/>
      <c r="EQP128" s="751"/>
      <c r="EQQ128" s="751"/>
      <c r="EQR128" s="751"/>
      <c r="EQS128" s="751"/>
      <c r="EQT128" s="751"/>
      <c r="EQU128" s="751"/>
      <c r="EQV128" s="751"/>
      <c r="EQW128" s="751"/>
      <c r="EQX128" s="751"/>
      <c r="EQY128" s="751"/>
      <c r="EQZ128" s="751"/>
      <c r="ERA128" s="751"/>
      <c r="ERB128" s="751"/>
      <c r="ERC128" s="751"/>
      <c r="ERD128" s="751"/>
      <c r="ERE128" s="751"/>
      <c r="ERF128" s="751"/>
      <c r="ERG128" s="751"/>
      <c r="ERH128" s="751"/>
      <c r="ERI128" s="751"/>
      <c r="ERJ128" s="751"/>
      <c r="ERK128" s="751"/>
      <c r="ERL128" s="751"/>
      <c r="ERM128" s="751"/>
      <c r="ERN128" s="751"/>
      <c r="ERO128" s="751"/>
      <c r="ERP128" s="751"/>
      <c r="ERQ128" s="751"/>
      <c r="ERR128" s="751"/>
      <c r="ERS128" s="751"/>
      <c r="ERT128" s="751"/>
      <c r="ERU128" s="751"/>
      <c r="ERV128" s="751"/>
      <c r="ERW128" s="751"/>
      <c r="ERX128" s="751"/>
      <c r="ERY128" s="751"/>
      <c r="ERZ128" s="751"/>
      <c r="ESA128" s="751"/>
      <c r="ESB128" s="751"/>
      <c r="ESC128" s="751"/>
      <c r="ESD128" s="751"/>
      <c r="ESE128" s="751"/>
      <c r="ESF128" s="751"/>
      <c r="ESG128" s="751"/>
      <c r="ESH128" s="751"/>
      <c r="ESI128" s="751"/>
      <c r="ESJ128" s="751"/>
      <c r="ESK128" s="751"/>
      <c r="ESL128" s="751"/>
      <c r="ESM128" s="751"/>
      <c r="ESN128" s="751"/>
      <c r="ESO128" s="751"/>
      <c r="ESP128" s="751"/>
      <c r="ESQ128" s="751"/>
      <c r="ESR128" s="751"/>
      <c r="ESS128" s="751"/>
      <c r="EST128" s="751"/>
      <c r="ESU128" s="751"/>
      <c r="ESV128" s="751"/>
      <c r="ESW128" s="751"/>
      <c r="ESX128" s="751"/>
      <c r="ESY128" s="751"/>
      <c r="ESZ128" s="751"/>
      <c r="ETA128" s="751"/>
      <c r="ETB128" s="751"/>
      <c r="ETC128" s="751"/>
      <c r="ETD128" s="751"/>
      <c r="ETE128" s="751"/>
      <c r="ETF128" s="751"/>
      <c r="ETG128" s="751"/>
      <c r="ETH128" s="751"/>
      <c r="ETI128" s="751"/>
      <c r="ETJ128" s="751"/>
      <c r="ETK128" s="751"/>
      <c r="ETL128" s="751"/>
      <c r="ETM128" s="751"/>
      <c r="ETN128" s="751"/>
      <c r="ETO128" s="751"/>
      <c r="ETP128" s="751"/>
      <c r="ETQ128" s="751"/>
      <c r="ETR128" s="751"/>
      <c r="ETS128" s="751"/>
      <c r="ETT128" s="751"/>
      <c r="ETU128" s="751"/>
      <c r="ETV128" s="751"/>
      <c r="ETW128" s="751"/>
      <c r="ETX128" s="751"/>
      <c r="ETY128" s="751"/>
      <c r="ETZ128" s="751"/>
      <c r="EUA128" s="751"/>
      <c r="EUB128" s="751"/>
      <c r="EUC128" s="751"/>
      <c r="EUD128" s="751"/>
      <c r="EUE128" s="751"/>
      <c r="EUF128" s="751"/>
      <c r="EUG128" s="751"/>
      <c r="EUH128" s="751"/>
      <c r="EUI128" s="751"/>
      <c r="EUJ128" s="751"/>
      <c r="EUK128" s="751"/>
      <c r="EUL128" s="751"/>
      <c r="EUM128" s="751"/>
      <c r="EUN128" s="751"/>
      <c r="EUO128" s="751"/>
      <c r="EUP128" s="751"/>
      <c r="EUQ128" s="751"/>
      <c r="EUR128" s="751"/>
      <c r="EUS128" s="751"/>
      <c r="EUT128" s="751"/>
      <c r="EUU128" s="751"/>
      <c r="EUV128" s="751"/>
      <c r="EUW128" s="751"/>
      <c r="EUX128" s="751"/>
      <c r="EUY128" s="751"/>
      <c r="EUZ128" s="751"/>
      <c r="EVA128" s="751"/>
      <c r="EVB128" s="751"/>
      <c r="EVC128" s="751"/>
      <c r="EVD128" s="751"/>
      <c r="EVE128" s="751"/>
      <c r="EVF128" s="751"/>
      <c r="EVG128" s="751"/>
      <c r="EVH128" s="751"/>
      <c r="EVI128" s="751"/>
      <c r="EVJ128" s="751"/>
      <c r="EVK128" s="751"/>
      <c r="EVL128" s="751"/>
      <c r="EVM128" s="751"/>
      <c r="EVN128" s="751"/>
      <c r="EVO128" s="751"/>
      <c r="EVP128" s="751"/>
      <c r="EVQ128" s="751"/>
      <c r="EVR128" s="751"/>
      <c r="EVS128" s="751"/>
      <c r="EVT128" s="751"/>
      <c r="EVU128" s="751"/>
      <c r="EVV128" s="751"/>
      <c r="EVW128" s="751"/>
      <c r="EVX128" s="751"/>
      <c r="EVY128" s="751"/>
      <c r="EVZ128" s="751"/>
      <c r="EWA128" s="751"/>
      <c r="EWB128" s="751"/>
      <c r="EWC128" s="751"/>
      <c r="EWD128" s="751"/>
      <c r="EWE128" s="751"/>
      <c r="EWF128" s="751"/>
      <c r="EWG128" s="751"/>
      <c r="EWH128" s="751"/>
      <c r="EWI128" s="751"/>
      <c r="EWJ128" s="751"/>
      <c r="EWK128" s="751"/>
      <c r="EWL128" s="751"/>
      <c r="EWM128" s="751"/>
      <c r="EWN128" s="751"/>
      <c r="EWO128" s="751"/>
      <c r="EWP128" s="751"/>
      <c r="EWQ128" s="751"/>
      <c r="EWR128" s="751"/>
      <c r="EWS128" s="751"/>
      <c r="EWT128" s="751"/>
      <c r="EWU128" s="751"/>
      <c r="EWV128" s="751"/>
      <c r="EWW128" s="751"/>
      <c r="EWX128" s="751"/>
      <c r="EWY128" s="751"/>
      <c r="EWZ128" s="751"/>
      <c r="EXA128" s="751"/>
      <c r="EXB128" s="751"/>
      <c r="EXC128" s="751"/>
      <c r="EXD128" s="751"/>
      <c r="EXE128" s="751"/>
      <c r="EXF128" s="751"/>
      <c r="EXG128" s="751"/>
      <c r="EXH128" s="751"/>
      <c r="EXI128" s="751"/>
      <c r="EXJ128" s="751"/>
      <c r="EXK128" s="751"/>
      <c r="EXL128" s="751"/>
      <c r="EXM128" s="751"/>
      <c r="EXN128" s="751"/>
      <c r="EXO128" s="751"/>
      <c r="EXP128" s="751"/>
      <c r="EXQ128" s="751"/>
      <c r="EXR128" s="751"/>
      <c r="EXS128" s="751"/>
      <c r="EXT128" s="751"/>
      <c r="EXU128" s="751"/>
      <c r="EXV128" s="751"/>
      <c r="EXW128" s="751"/>
      <c r="EXX128" s="751"/>
      <c r="EXY128" s="751"/>
      <c r="EXZ128" s="751"/>
      <c r="EYA128" s="751"/>
      <c r="EYB128" s="751"/>
      <c r="EYC128" s="751"/>
      <c r="EYD128" s="751"/>
      <c r="EYE128" s="751"/>
      <c r="EYF128" s="751"/>
      <c r="EYG128" s="751"/>
      <c r="EYH128" s="751"/>
      <c r="EYI128" s="751"/>
      <c r="EYJ128" s="751"/>
      <c r="EYK128" s="751"/>
      <c r="EYL128" s="751"/>
      <c r="EYM128" s="751"/>
      <c r="EYN128" s="751"/>
      <c r="EYO128" s="751"/>
      <c r="EYP128" s="751"/>
      <c r="EYQ128" s="751"/>
      <c r="EYR128" s="751"/>
      <c r="EYS128" s="751"/>
      <c r="EYT128" s="751"/>
      <c r="EYU128" s="751"/>
      <c r="EYV128" s="751"/>
      <c r="EYW128" s="751"/>
      <c r="EYX128" s="751"/>
      <c r="EYY128" s="751"/>
      <c r="EYZ128" s="751"/>
      <c r="EZA128" s="751"/>
      <c r="EZB128" s="751"/>
      <c r="EZC128" s="751"/>
      <c r="EZD128" s="751"/>
      <c r="EZE128" s="751"/>
      <c r="EZF128" s="751"/>
      <c r="EZG128" s="751"/>
      <c r="EZH128" s="751"/>
      <c r="EZI128" s="751"/>
      <c r="EZJ128" s="751"/>
      <c r="EZK128" s="751"/>
      <c r="EZL128" s="751"/>
      <c r="EZM128" s="751"/>
      <c r="EZN128" s="751"/>
      <c r="EZO128" s="751"/>
      <c r="EZP128" s="751"/>
      <c r="EZQ128" s="751"/>
      <c r="EZR128" s="751"/>
      <c r="EZS128" s="751"/>
      <c r="EZT128" s="751"/>
      <c r="EZU128" s="751"/>
      <c r="EZV128" s="751"/>
      <c r="EZW128" s="751"/>
      <c r="EZX128" s="751"/>
      <c r="EZY128" s="751"/>
      <c r="EZZ128" s="751"/>
      <c r="FAA128" s="751"/>
      <c r="FAB128" s="751"/>
      <c r="FAC128" s="751"/>
      <c r="FAD128" s="751"/>
      <c r="FAE128" s="751"/>
      <c r="FAF128" s="751"/>
      <c r="FAG128" s="751"/>
      <c r="FAH128" s="751"/>
      <c r="FAI128" s="751"/>
      <c r="FAJ128" s="751"/>
      <c r="FAK128" s="751"/>
      <c r="FAL128" s="751"/>
      <c r="FAM128" s="751"/>
      <c r="FAN128" s="751"/>
      <c r="FAO128" s="751"/>
      <c r="FAP128" s="751"/>
      <c r="FAQ128" s="751"/>
      <c r="FAR128" s="751"/>
      <c r="FAS128" s="751"/>
      <c r="FAT128" s="751"/>
      <c r="FAU128" s="751"/>
      <c r="FAV128" s="751"/>
      <c r="FAW128" s="751"/>
      <c r="FAX128" s="751"/>
      <c r="FAY128" s="751"/>
      <c r="FAZ128" s="751"/>
      <c r="FBA128" s="751"/>
      <c r="FBB128" s="751"/>
      <c r="FBC128" s="751"/>
      <c r="FBD128" s="751"/>
      <c r="FBE128" s="751"/>
      <c r="FBF128" s="751"/>
      <c r="FBG128" s="751"/>
      <c r="FBH128" s="751"/>
      <c r="FBI128" s="751"/>
      <c r="FBJ128" s="751"/>
      <c r="FBK128" s="751"/>
      <c r="FBL128" s="751"/>
      <c r="FBM128" s="751"/>
      <c r="FBN128" s="751"/>
      <c r="FBO128" s="751"/>
      <c r="FBP128" s="751"/>
      <c r="FBQ128" s="751"/>
      <c r="FBR128" s="751"/>
      <c r="FBS128" s="751"/>
      <c r="FBT128" s="751"/>
      <c r="FBU128" s="751"/>
      <c r="FBV128" s="751"/>
      <c r="FBW128" s="751"/>
      <c r="FBX128" s="751"/>
      <c r="FBY128" s="751"/>
      <c r="FBZ128" s="751"/>
      <c r="FCA128" s="751"/>
      <c r="FCB128" s="751"/>
      <c r="FCC128" s="751"/>
      <c r="FCD128" s="751"/>
      <c r="FCE128" s="751"/>
      <c r="FCF128" s="751"/>
      <c r="FCG128" s="751"/>
      <c r="FCH128" s="751"/>
      <c r="FCI128" s="751"/>
      <c r="FCJ128" s="751"/>
      <c r="FCK128" s="751"/>
      <c r="FCL128" s="751"/>
      <c r="FCM128" s="751"/>
      <c r="FCN128" s="751"/>
      <c r="FCO128" s="751"/>
      <c r="FCP128" s="751"/>
      <c r="FCQ128" s="751"/>
      <c r="FCR128" s="751"/>
      <c r="FCS128" s="751"/>
      <c r="FCT128" s="751"/>
      <c r="FCU128" s="751"/>
      <c r="FCV128" s="751"/>
      <c r="FCW128" s="751"/>
      <c r="FCX128" s="751"/>
      <c r="FCY128" s="751"/>
      <c r="FCZ128" s="751"/>
      <c r="FDA128" s="751"/>
      <c r="FDB128" s="751"/>
      <c r="FDC128" s="751"/>
      <c r="FDD128" s="751"/>
      <c r="FDE128" s="751"/>
      <c r="FDF128" s="751"/>
      <c r="FDG128" s="751"/>
      <c r="FDH128" s="751"/>
      <c r="FDI128" s="751"/>
      <c r="FDJ128" s="751"/>
      <c r="FDK128" s="751"/>
      <c r="FDL128" s="751"/>
      <c r="FDM128" s="751"/>
      <c r="FDN128" s="751"/>
      <c r="FDO128" s="751"/>
      <c r="FDP128" s="751"/>
      <c r="FDQ128" s="751"/>
      <c r="FDR128" s="751"/>
      <c r="FDS128" s="751"/>
      <c r="FDT128" s="751"/>
      <c r="FDU128" s="751"/>
      <c r="FDV128" s="751"/>
      <c r="FDW128" s="751"/>
      <c r="FDX128" s="751"/>
      <c r="FDY128" s="751"/>
      <c r="FDZ128" s="751"/>
      <c r="FEA128" s="751"/>
      <c r="FEB128" s="751"/>
      <c r="FEC128" s="751"/>
      <c r="FED128" s="751"/>
      <c r="FEE128" s="751"/>
      <c r="FEF128" s="751"/>
      <c r="FEG128" s="751"/>
      <c r="FEH128" s="751"/>
      <c r="FEI128" s="751"/>
      <c r="FEJ128" s="751"/>
      <c r="FEK128" s="751"/>
      <c r="FEL128" s="751"/>
      <c r="FEM128" s="751"/>
      <c r="FEN128" s="751"/>
      <c r="FEO128" s="751"/>
      <c r="FEP128" s="751"/>
      <c r="FEQ128" s="751"/>
      <c r="FER128" s="751"/>
      <c r="FES128" s="751"/>
      <c r="FET128" s="751"/>
      <c r="FEU128" s="751"/>
      <c r="FEV128" s="751"/>
      <c r="FEW128" s="751"/>
      <c r="FEX128" s="751"/>
      <c r="FEY128" s="751"/>
      <c r="FEZ128" s="751"/>
      <c r="FFA128" s="751"/>
      <c r="FFB128" s="751"/>
      <c r="FFC128" s="751"/>
      <c r="FFD128" s="751"/>
      <c r="FFE128" s="751"/>
      <c r="FFF128" s="751"/>
      <c r="FFG128" s="751"/>
      <c r="FFH128" s="751"/>
      <c r="FFI128" s="751"/>
      <c r="FFJ128" s="751"/>
      <c r="FFK128" s="751"/>
      <c r="FFL128" s="751"/>
      <c r="FFM128" s="751"/>
      <c r="FFN128" s="751"/>
      <c r="FFO128" s="751"/>
      <c r="FFP128" s="751"/>
      <c r="FFQ128" s="751"/>
      <c r="FFR128" s="751"/>
      <c r="FFS128" s="751"/>
      <c r="FFT128" s="751"/>
      <c r="FFU128" s="751"/>
      <c r="FFV128" s="751"/>
      <c r="FFW128" s="751"/>
      <c r="FFX128" s="751"/>
      <c r="FFY128" s="751"/>
      <c r="FFZ128" s="751"/>
      <c r="FGA128" s="751"/>
      <c r="FGB128" s="751"/>
      <c r="FGC128" s="751"/>
      <c r="FGD128" s="751"/>
      <c r="FGE128" s="751"/>
      <c r="FGF128" s="751"/>
      <c r="FGG128" s="751"/>
      <c r="FGH128" s="751"/>
      <c r="FGI128" s="751"/>
      <c r="FGJ128" s="751"/>
      <c r="FGK128" s="751"/>
      <c r="FGL128" s="751"/>
      <c r="FGM128" s="751"/>
      <c r="FGN128" s="751"/>
      <c r="FGO128" s="751"/>
      <c r="FGP128" s="751"/>
      <c r="FGQ128" s="751"/>
      <c r="FGR128" s="751"/>
      <c r="FGS128" s="751"/>
      <c r="FGT128" s="751"/>
      <c r="FGU128" s="751"/>
      <c r="FGV128" s="751"/>
      <c r="FGW128" s="751"/>
      <c r="FGX128" s="751"/>
      <c r="FGY128" s="751"/>
      <c r="FGZ128" s="751"/>
      <c r="FHA128" s="751"/>
      <c r="FHB128" s="751"/>
      <c r="FHC128" s="751"/>
      <c r="FHD128" s="751"/>
      <c r="FHE128" s="751"/>
      <c r="FHF128" s="751"/>
      <c r="FHG128" s="751"/>
      <c r="FHH128" s="751"/>
      <c r="FHI128" s="751"/>
      <c r="FHJ128" s="751"/>
      <c r="FHK128" s="751"/>
      <c r="FHL128" s="751"/>
      <c r="FHM128" s="751"/>
      <c r="FHN128" s="751"/>
      <c r="FHO128" s="751"/>
      <c r="FHP128" s="751"/>
      <c r="FHQ128" s="751"/>
      <c r="FHR128" s="751"/>
      <c r="FHS128" s="751"/>
      <c r="FHT128" s="751"/>
      <c r="FHU128" s="751"/>
      <c r="FHV128" s="751"/>
      <c r="FHW128" s="751"/>
      <c r="FHX128" s="751"/>
      <c r="FHY128" s="751"/>
      <c r="FHZ128" s="751"/>
      <c r="FIA128" s="751"/>
      <c r="FIB128" s="751"/>
      <c r="FIC128" s="751"/>
      <c r="FID128" s="751"/>
      <c r="FIE128" s="751"/>
      <c r="FIF128" s="751"/>
      <c r="FIG128" s="751"/>
      <c r="FIH128" s="751"/>
      <c r="FII128" s="751"/>
      <c r="FIJ128" s="751"/>
      <c r="FIK128" s="751"/>
      <c r="FIL128" s="751"/>
      <c r="FIM128" s="751"/>
      <c r="FIN128" s="751"/>
      <c r="FIO128" s="751"/>
      <c r="FIP128" s="751"/>
      <c r="FIQ128" s="751"/>
      <c r="FIR128" s="751"/>
      <c r="FIS128" s="751"/>
      <c r="FIT128" s="751"/>
      <c r="FIU128" s="751"/>
      <c r="FIV128" s="751"/>
      <c r="FIW128" s="751"/>
      <c r="FIX128" s="751"/>
      <c r="FIY128" s="751"/>
      <c r="FIZ128" s="751"/>
      <c r="FJA128" s="751"/>
      <c r="FJB128" s="751"/>
      <c r="FJC128" s="751"/>
      <c r="FJD128" s="751"/>
      <c r="FJE128" s="751"/>
      <c r="FJF128" s="751"/>
      <c r="FJG128" s="751"/>
      <c r="FJH128" s="751"/>
      <c r="FJI128" s="751"/>
      <c r="FJJ128" s="751"/>
      <c r="FJK128" s="751"/>
      <c r="FJL128" s="751"/>
      <c r="FJM128" s="751"/>
      <c r="FJN128" s="751"/>
      <c r="FJO128" s="751"/>
      <c r="FJP128" s="751"/>
      <c r="FJQ128" s="751"/>
      <c r="FJR128" s="751"/>
      <c r="FJS128" s="751"/>
      <c r="FJT128" s="751"/>
      <c r="FJU128" s="751"/>
      <c r="FJV128" s="751"/>
      <c r="FJW128" s="751"/>
      <c r="FJX128" s="751"/>
      <c r="FJY128" s="751"/>
      <c r="FJZ128" s="751"/>
      <c r="FKA128" s="751"/>
      <c r="FKB128" s="751"/>
      <c r="FKC128" s="751"/>
      <c r="FKD128" s="751"/>
      <c r="FKE128" s="751"/>
      <c r="FKF128" s="751"/>
      <c r="FKG128" s="751"/>
      <c r="FKH128" s="751"/>
      <c r="FKI128" s="751"/>
      <c r="FKJ128" s="751"/>
      <c r="FKK128" s="751"/>
      <c r="FKL128" s="751"/>
      <c r="FKM128" s="751"/>
      <c r="FKN128" s="751"/>
      <c r="FKO128" s="751"/>
      <c r="FKP128" s="751"/>
      <c r="FKQ128" s="751"/>
      <c r="FKR128" s="751"/>
      <c r="FKS128" s="751"/>
      <c r="FKT128" s="751"/>
      <c r="FKU128" s="751"/>
      <c r="FKV128" s="751"/>
      <c r="FKW128" s="751"/>
      <c r="FKX128" s="751"/>
      <c r="FKY128" s="751"/>
      <c r="FKZ128" s="751"/>
      <c r="FLA128" s="751"/>
      <c r="FLB128" s="751"/>
      <c r="FLC128" s="751"/>
      <c r="FLD128" s="751"/>
      <c r="FLE128" s="751"/>
      <c r="FLF128" s="751"/>
      <c r="FLG128" s="751"/>
      <c r="FLH128" s="751"/>
      <c r="FLI128" s="751"/>
      <c r="FLJ128" s="751"/>
      <c r="FLK128" s="751"/>
      <c r="FLL128" s="751"/>
      <c r="FLM128" s="751"/>
      <c r="FLN128" s="751"/>
      <c r="FLO128" s="751"/>
      <c r="FLP128" s="751"/>
      <c r="FLQ128" s="751"/>
      <c r="FLR128" s="751"/>
      <c r="FLS128" s="751"/>
      <c r="FLT128" s="751"/>
      <c r="FLU128" s="751"/>
      <c r="FLV128" s="751"/>
      <c r="FLW128" s="751"/>
      <c r="FLX128" s="751"/>
      <c r="FLY128" s="751"/>
      <c r="FLZ128" s="751"/>
      <c r="FMA128" s="751"/>
      <c r="FMB128" s="751"/>
      <c r="FMC128" s="751"/>
      <c r="FMD128" s="751"/>
      <c r="FME128" s="751"/>
      <c r="FMF128" s="751"/>
      <c r="FMG128" s="751"/>
      <c r="FMH128" s="751"/>
      <c r="FMI128" s="751"/>
      <c r="FMJ128" s="751"/>
      <c r="FMK128" s="751"/>
      <c r="FML128" s="751"/>
      <c r="FMM128" s="751"/>
      <c r="FMN128" s="751"/>
      <c r="FMO128" s="751"/>
      <c r="FMP128" s="751"/>
      <c r="FMQ128" s="751"/>
      <c r="FMR128" s="751"/>
      <c r="FMS128" s="751"/>
      <c r="FMT128" s="751"/>
      <c r="FMU128" s="751"/>
      <c r="FMV128" s="751"/>
      <c r="FMW128" s="751"/>
      <c r="FMX128" s="751"/>
      <c r="FMY128" s="751"/>
      <c r="FMZ128" s="751"/>
      <c r="FNA128" s="751"/>
      <c r="FNB128" s="751"/>
      <c r="FNC128" s="751"/>
      <c r="FND128" s="751"/>
      <c r="FNE128" s="751"/>
      <c r="FNF128" s="751"/>
      <c r="FNG128" s="751"/>
      <c r="FNH128" s="751"/>
      <c r="FNI128" s="751"/>
      <c r="FNJ128" s="751"/>
      <c r="FNK128" s="751"/>
      <c r="FNL128" s="751"/>
      <c r="FNM128" s="751"/>
      <c r="FNN128" s="751"/>
      <c r="FNO128" s="751"/>
      <c r="FNP128" s="751"/>
      <c r="FNQ128" s="751"/>
      <c r="FNR128" s="751"/>
      <c r="FNS128" s="751"/>
      <c r="FNT128" s="751"/>
      <c r="FNU128" s="751"/>
      <c r="FNV128" s="751"/>
      <c r="FNW128" s="751"/>
      <c r="FNX128" s="751"/>
      <c r="FNY128" s="751"/>
      <c r="FNZ128" s="751"/>
      <c r="FOA128" s="751"/>
      <c r="FOB128" s="751"/>
      <c r="FOC128" s="751"/>
      <c r="FOD128" s="751"/>
      <c r="FOE128" s="751"/>
      <c r="FOF128" s="751"/>
      <c r="FOG128" s="751"/>
      <c r="FOH128" s="751"/>
      <c r="FOI128" s="751"/>
      <c r="FOJ128" s="751"/>
      <c r="FOK128" s="751"/>
      <c r="FOL128" s="751"/>
      <c r="FOM128" s="751"/>
      <c r="FON128" s="751"/>
      <c r="FOO128" s="751"/>
      <c r="FOP128" s="751"/>
      <c r="FOQ128" s="751"/>
      <c r="FOR128" s="751"/>
      <c r="FOS128" s="751"/>
      <c r="FOT128" s="751"/>
      <c r="FOU128" s="751"/>
      <c r="FOV128" s="751"/>
      <c r="FOW128" s="751"/>
      <c r="FOX128" s="751"/>
      <c r="FOY128" s="751"/>
      <c r="FOZ128" s="751"/>
      <c r="FPA128" s="751"/>
      <c r="FPB128" s="751"/>
      <c r="FPC128" s="751"/>
      <c r="FPD128" s="751"/>
      <c r="FPE128" s="751"/>
      <c r="FPF128" s="751"/>
      <c r="FPG128" s="751"/>
      <c r="FPH128" s="751"/>
      <c r="FPI128" s="751"/>
      <c r="FPJ128" s="751"/>
      <c r="FPK128" s="751"/>
      <c r="FPL128" s="751"/>
      <c r="FPM128" s="751"/>
      <c r="FPN128" s="751"/>
      <c r="FPO128" s="751"/>
      <c r="FPP128" s="751"/>
      <c r="FPQ128" s="751"/>
      <c r="FPR128" s="751"/>
      <c r="FPS128" s="751"/>
      <c r="FPT128" s="751"/>
      <c r="FPU128" s="751"/>
      <c r="FPV128" s="751"/>
      <c r="FPW128" s="751"/>
      <c r="FPX128" s="751"/>
      <c r="FPY128" s="751"/>
      <c r="FPZ128" s="751"/>
      <c r="FQA128" s="751"/>
      <c r="FQB128" s="751"/>
      <c r="FQC128" s="751"/>
      <c r="FQD128" s="751"/>
      <c r="FQE128" s="751"/>
      <c r="FQF128" s="751"/>
      <c r="FQG128" s="751"/>
      <c r="FQH128" s="751"/>
      <c r="FQI128" s="751"/>
      <c r="FQJ128" s="751"/>
      <c r="FQK128" s="751"/>
      <c r="FQL128" s="751"/>
      <c r="FQM128" s="751"/>
      <c r="FQN128" s="751"/>
      <c r="FQO128" s="751"/>
      <c r="FQP128" s="751"/>
      <c r="FQQ128" s="751"/>
      <c r="FQR128" s="751"/>
      <c r="FQS128" s="751"/>
      <c r="FQT128" s="751"/>
      <c r="FQU128" s="751"/>
      <c r="FQV128" s="751"/>
      <c r="FQW128" s="751"/>
      <c r="FQX128" s="751"/>
      <c r="FQY128" s="751"/>
      <c r="FQZ128" s="751"/>
      <c r="FRA128" s="751"/>
      <c r="FRB128" s="751"/>
      <c r="FRC128" s="751"/>
      <c r="FRD128" s="751"/>
      <c r="FRE128" s="751"/>
      <c r="FRF128" s="751"/>
      <c r="FRG128" s="751"/>
      <c r="FRH128" s="751"/>
      <c r="FRI128" s="751"/>
      <c r="FRJ128" s="751"/>
      <c r="FRK128" s="751"/>
      <c r="FRL128" s="751"/>
      <c r="FRM128" s="751"/>
      <c r="FRN128" s="751"/>
      <c r="FRO128" s="751"/>
      <c r="FRP128" s="751"/>
      <c r="FRQ128" s="751"/>
      <c r="FRR128" s="751"/>
      <c r="FRS128" s="751"/>
      <c r="FRT128" s="751"/>
      <c r="FRU128" s="751"/>
      <c r="FRV128" s="751"/>
      <c r="FRW128" s="751"/>
      <c r="FRX128" s="751"/>
      <c r="FRY128" s="751"/>
      <c r="FRZ128" s="751"/>
      <c r="FSA128" s="751"/>
      <c r="FSB128" s="751"/>
      <c r="FSC128" s="751"/>
      <c r="FSD128" s="751"/>
      <c r="FSE128" s="751"/>
      <c r="FSF128" s="751"/>
      <c r="FSG128" s="751"/>
      <c r="FSH128" s="751"/>
      <c r="FSI128" s="751"/>
      <c r="FSJ128" s="751"/>
      <c r="FSK128" s="751"/>
      <c r="FSL128" s="751"/>
      <c r="FSM128" s="751"/>
      <c r="FSN128" s="751"/>
      <c r="FSO128" s="751"/>
      <c r="FSP128" s="751"/>
      <c r="FSQ128" s="751"/>
      <c r="FSR128" s="751"/>
      <c r="FSS128" s="751"/>
      <c r="FST128" s="751"/>
      <c r="FSU128" s="751"/>
      <c r="FSV128" s="751"/>
      <c r="FSW128" s="751"/>
      <c r="FSX128" s="751"/>
      <c r="FSY128" s="751"/>
      <c r="FSZ128" s="751"/>
      <c r="FTA128" s="751"/>
      <c r="FTB128" s="751"/>
      <c r="FTC128" s="751"/>
      <c r="FTD128" s="751"/>
      <c r="FTE128" s="751"/>
      <c r="FTF128" s="751"/>
      <c r="FTG128" s="751"/>
      <c r="FTH128" s="751"/>
      <c r="FTI128" s="751"/>
      <c r="FTJ128" s="751"/>
      <c r="FTK128" s="751"/>
      <c r="FTL128" s="751"/>
      <c r="FTM128" s="751"/>
      <c r="FTN128" s="751"/>
      <c r="FTO128" s="751"/>
      <c r="FTP128" s="751"/>
      <c r="FTQ128" s="751"/>
      <c r="FTR128" s="751"/>
      <c r="FTS128" s="751"/>
      <c r="FTT128" s="751"/>
      <c r="FTU128" s="751"/>
      <c r="FTV128" s="751"/>
      <c r="FTW128" s="751"/>
      <c r="FTX128" s="751"/>
      <c r="FTY128" s="751"/>
      <c r="FTZ128" s="751"/>
      <c r="FUA128" s="751"/>
      <c r="FUB128" s="751"/>
      <c r="FUC128" s="751"/>
      <c r="FUD128" s="751"/>
      <c r="FUE128" s="751"/>
      <c r="FUF128" s="751"/>
      <c r="FUG128" s="751"/>
      <c r="FUH128" s="751"/>
      <c r="FUI128" s="751"/>
      <c r="FUJ128" s="751"/>
      <c r="FUK128" s="751"/>
      <c r="FUL128" s="751"/>
      <c r="FUM128" s="751"/>
      <c r="FUN128" s="751"/>
      <c r="FUO128" s="751"/>
      <c r="FUP128" s="751"/>
      <c r="FUQ128" s="751"/>
      <c r="FUR128" s="751"/>
      <c r="FUS128" s="751"/>
      <c r="FUT128" s="751"/>
      <c r="FUU128" s="751"/>
      <c r="FUV128" s="751"/>
      <c r="FUW128" s="751"/>
      <c r="FUX128" s="751"/>
      <c r="FUY128" s="751"/>
      <c r="FUZ128" s="751"/>
      <c r="FVA128" s="751"/>
      <c r="FVB128" s="751"/>
      <c r="FVC128" s="751"/>
      <c r="FVD128" s="751"/>
      <c r="FVE128" s="751"/>
      <c r="FVF128" s="751"/>
      <c r="FVG128" s="751"/>
      <c r="FVH128" s="751"/>
      <c r="FVI128" s="751"/>
      <c r="FVJ128" s="751"/>
      <c r="FVK128" s="751"/>
      <c r="FVL128" s="751"/>
      <c r="FVM128" s="751"/>
      <c r="FVN128" s="751"/>
      <c r="FVO128" s="751"/>
      <c r="FVP128" s="751"/>
      <c r="FVQ128" s="751"/>
      <c r="FVR128" s="751"/>
      <c r="FVS128" s="751"/>
      <c r="FVT128" s="751"/>
      <c r="FVU128" s="751"/>
      <c r="FVV128" s="751"/>
      <c r="FVW128" s="751"/>
      <c r="FVX128" s="751"/>
      <c r="FVY128" s="751"/>
      <c r="FVZ128" s="751"/>
      <c r="FWA128" s="751"/>
      <c r="FWB128" s="751"/>
      <c r="FWC128" s="751"/>
      <c r="FWD128" s="751"/>
      <c r="FWE128" s="751"/>
      <c r="FWF128" s="751"/>
      <c r="FWG128" s="751"/>
      <c r="FWH128" s="751"/>
      <c r="FWI128" s="751"/>
      <c r="FWJ128" s="751"/>
      <c r="FWK128" s="751"/>
      <c r="FWL128" s="751"/>
      <c r="FWM128" s="751"/>
      <c r="FWN128" s="751"/>
      <c r="FWO128" s="751"/>
      <c r="FWP128" s="751"/>
      <c r="FWQ128" s="751"/>
      <c r="FWR128" s="751"/>
      <c r="FWS128" s="751"/>
      <c r="FWT128" s="751"/>
      <c r="FWU128" s="751"/>
      <c r="FWV128" s="751"/>
      <c r="FWW128" s="751"/>
      <c r="FWX128" s="751"/>
      <c r="FWY128" s="751"/>
      <c r="FWZ128" s="751"/>
      <c r="FXA128" s="751"/>
      <c r="FXB128" s="751"/>
      <c r="FXC128" s="751"/>
      <c r="FXD128" s="751"/>
      <c r="FXE128" s="751"/>
      <c r="FXF128" s="751"/>
      <c r="FXG128" s="751"/>
      <c r="FXH128" s="751"/>
      <c r="FXI128" s="751"/>
      <c r="FXJ128" s="751"/>
      <c r="FXK128" s="751"/>
      <c r="FXL128" s="751"/>
      <c r="FXM128" s="751"/>
      <c r="FXN128" s="751"/>
      <c r="FXO128" s="751"/>
      <c r="FXP128" s="751"/>
      <c r="FXQ128" s="751"/>
      <c r="FXR128" s="751"/>
      <c r="FXS128" s="751"/>
      <c r="FXT128" s="751"/>
      <c r="FXU128" s="751"/>
      <c r="FXV128" s="751"/>
      <c r="FXW128" s="751"/>
      <c r="FXX128" s="751"/>
      <c r="FXY128" s="751"/>
      <c r="FXZ128" s="751"/>
      <c r="FYA128" s="751"/>
      <c r="FYB128" s="751"/>
      <c r="FYC128" s="751"/>
      <c r="FYD128" s="751"/>
      <c r="FYE128" s="751"/>
      <c r="FYF128" s="751"/>
      <c r="FYG128" s="751"/>
      <c r="FYH128" s="751"/>
      <c r="FYI128" s="751"/>
      <c r="FYJ128" s="751"/>
      <c r="FYK128" s="751"/>
      <c r="FYL128" s="751"/>
      <c r="FYM128" s="751"/>
      <c r="FYN128" s="751"/>
      <c r="FYO128" s="751"/>
      <c r="FYP128" s="751"/>
      <c r="FYQ128" s="751"/>
      <c r="FYR128" s="751"/>
      <c r="FYS128" s="751"/>
      <c r="FYT128" s="751"/>
      <c r="FYU128" s="751"/>
      <c r="FYV128" s="751"/>
      <c r="FYW128" s="751"/>
      <c r="FYX128" s="751"/>
      <c r="FYY128" s="751"/>
      <c r="FYZ128" s="751"/>
      <c r="FZA128" s="751"/>
      <c r="FZB128" s="751"/>
      <c r="FZC128" s="751"/>
      <c r="FZD128" s="751"/>
      <c r="FZE128" s="751"/>
      <c r="FZF128" s="751"/>
      <c r="FZG128" s="751"/>
      <c r="FZH128" s="751"/>
      <c r="FZI128" s="751"/>
      <c r="FZJ128" s="751"/>
      <c r="FZK128" s="751"/>
      <c r="FZL128" s="751"/>
      <c r="FZM128" s="751"/>
      <c r="FZN128" s="751"/>
      <c r="FZO128" s="751"/>
      <c r="FZP128" s="751"/>
      <c r="FZQ128" s="751"/>
      <c r="FZR128" s="751"/>
      <c r="FZS128" s="751"/>
      <c r="FZT128" s="751"/>
      <c r="FZU128" s="751"/>
      <c r="FZV128" s="751"/>
      <c r="FZW128" s="751"/>
      <c r="FZX128" s="751"/>
      <c r="FZY128" s="751"/>
      <c r="FZZ128" s="751"/>
      <c r="GAA128" s="751"/>
      <c r="GAB128" s="751"/>
      <c r="GAC128" s="751"/>
      <c r="GAD128" s="751"/>
      <c r="GAE128" s="751"/>
      <c r="GAF128" s="751"/>
      <c r="GAG128" s="751"/>
      <c r="GAH128" s="751"/>
      <c r="GAI128" s="751"/>
      <c r="GAJ128" s="751"/>
      <c r="GAK128" s="751"/>
      <c r="GAL128" s="751"/>
      <c r="GAM128" s="751"/>
      <c r="GAN128" s="751"/>
      <c r="GAO128" s="751"/>
      <c r="GAP128" s="751"/>
      <c r="GAQ128" s="751"/>
      <c r="GAR128" s="751"/>
      <c r="GAS128" s="751"/>
      <c r="GAT128" s="751"/>
      <c r="GAU128" s="751"/>
      <c r="GAV128" s="751"/>
      <c r="GAW128" s="751"/>
      <c r="GAX128" s="751"/>
      <c r="GAY128" s="751"/>
      <c r="GAZ128" s="751"/>
      <c r="GBA128" s="751"/>
      <c r="GBB128" s="751"/>
      <c r="GBC128" s="751"/>
      <c r="GBD128" s="751"/>
      <c r="GBE128" s="751"/>
      <c r="GBF128" s="751"/>
      <c r="GBG128" s="751"/>
      <c r="GBH128" s="751"/>
      <c r="GBI128" s="751"/>
      <c r="GBJ128" s="751"/>
      <c r="GBK128" s="751"/>
      <c r="GBL128" s="751"/>
      <c r="GBM128" s="751"/>
      <c r="GBN128" s="751"/>
      <c r="GBO128" s="751"/>
      <c r="GBP128" s="751"/>
      <c r="GBQ128" s="751"/>
      <c r="GBR128" s="751"/>
      <c r="GBS128" s="751"/>
      <c r="GBT128" s="751"/>
      <c r="GBU128" s="751"/>
      <c r="GBV128" s="751"/>
      <c r="GBW128" s="751"/>
      <c r="GBX128" s="751"/>
      <c r="GBY128" s="751"/>
      <c r="GBZ128" s="751"/>
      <c r="GCA128" s="751"/>
      <c r="GCB128" s="751"/>
      <c r="GCC128" s="751"/>
      <c r="GCD128" s="751"/>
      <c r="GCE128" s="751"/>
      <c r="GCF128" s="751"/>
      <c r="GCG128" s="751"/>
      <c r="GCH128" s="751"/>
      <c r="GCI128" s="751"/>
      <c r="GCJ128" s="751"/>
      <c r="GCK128" s="751"/>
      <c r="GCL128" s="751"/>
      <c r="GCM128" s="751"/>
      <c r="GCN128" s="751"/>
      <c r="GCO128" s="751"/>
      <c r="GCP128" s="751"/>
      <c r="GCQ128" s="751"/>
      <c r="GCR128" s="751"/>
      <c r="GCS128" s="751"/>
      <c r="GCT128" s="751"/>
      <c r="GCU128" s="751"/>
      <c r="GCV128" s="751"/>
      <c r="GCW128" s="751"/>
      <c r="GCX128" s="751"/>
      <c r="GCY128" s="751"/>
      <c r="GCZ128" s="751"/>
      <c r="GDA128" s="751"/>
      <c r="GDB128" s="751"/>
      <c r="GDC128" s="751"/>
      <c r="GDD128" s="751"/>
      <c r="GDE128" s="751"/>
      <c r="GDF128" s="751"/>
      <c r="GDG128" s="751"/>
      <c r="GDH128" s="751"/>
      <c r="GDI128" s="751"/>
      <c r="GDJ128" s="751"/>
      <c r="GDK128" s="751"/>
      <c r="GDL128" s="751"/>
      <c r="GDM128" s="751"/>
      <c r="GDN128" s="751"/>
      <c r="GDO128" s="751"/>
      <c r="GDP128" s="751"/>
      <c r="GDQ128" s="751"/>
      <c r="GDR128" s="751"/>
      <c r="GDS128" s="751"/>
      <c r="GDT128" s="751"/>
      <c r="GDU128" s="751"/>
      <c r="GDV128" s="751"/>
      <c r="GDW128" s="751"/>
      <c r="GDX128" s="751"/>
      <c r="GDY128" s="751"/>
      <c r="GDZ128" s="751"/>
      <c r="GEA128" s="751"/>
      <c r="GEB128" s="751"/>
      <c r="GEC128" s="751"/>
      <c r="GED128" s="751"/>
      <c r="GEE128" s="751"/>
      <c r="GEF128" s="751"/>
      <c r="GEG128" s="751"/>
      <c r="GEH128" s="751"/>
      <c r="GEI128" s="751"/>
      <c r="GEJ128" s="751"/>
      <c r="GEK128" s="751"/>
      <c r="GEL128" s="751"/>
      <c r="GEM128" s="751"/>
      <c r="GEN128" s="751"/>
      <c r="GEO128" s="751"/>
      <c r="GEP128" s="751"/>
      <c r="GEQ128" s="751"/>
      <c r="GER128" s="751"/>
      <c r="GES128" s="751"/>
      <c r="GET128" s="751"/>
      <c r="GEU128" s="751"/>
      <c r="GEV128" s="751"/>
      <c r="GEW128" s="751"/>
      <c r="GEX128" s="751"/>
      <c r="GEY128" s="751"/>
      <c r="GEZ128" s="751"/>
      <c r="GFA128" s="751"/>
      <c r="GFB128" s="751"/>
      <c r="GFC128" s="751"/>
      <c r="GFD128" s="751"/>
      <c r="GFE128" s="751"/>
      <c r="GFF128" s="751"/>
      <c r="GFG128" s="751"/>
      <c r="GFH128" s="751"/>
      <c r="GFI128" s="751"/>
      <c r="GFJ128" s="751"/>
      <c r="GFK128" s="751"/>
      <c r="GFL128" s="751"/>
      <c r="GFM128" s="751"/>
      <c r="GFN128" s="751"/>
      <c r="GFO128" s="751"/>
      <c r="GFP128" s="751"/>
      <c r="GFQ128" s="751"/>
      <c r="GFR128" s="751"/>
      <c r="GFS128" s="751"/>
      <c r="GFT128" s="751"/>
      <c r="GFU128" s="751"/>
      <c r="GFV128" s="751"/>
      <c r="GFW128" s="751"/>
      <c r="GFX128" s="751"/>
      <c r="GFY128" s="751"/>
      <c r="GFZ128" s="751"/>
      <c r="GGA128" s="751"/>
      <c r="GGB128" s="751"/>
      <c r="GGC128" s="751"/>
      <c r="GGD128" s="751"/>
      <c r="GGE128" s="751"/>
      <c r="GGF128" s="751"/>
      <c r="GGG128" s="751"/>
      <c r="GGH128" s="751"/>
      <c r="GGI128" s="751"/>
      <c r="GGJ128" s="751"/>
      <c r="GGK128" s="751"/>
      <c r="GGL128" s="751"/>
      <c r="GGM128" s="751"/>
      <c r="GGN128" s="751"/>
      <c r="GGO128" s="751"/>
      <c r="GGP128" s="751"/>
      <c r="GGQ128" s="751"/>
      <c r="GGR128" s="751"/>
      <c r="GGS128" s="751"/>
      <c r="GGT128" s="751"/>
      <c r="GGU128" s="751"/>
      <c r="GGV128" s="751"/>
      <c r="GGW128" s="751"/>
      <c r="GGX128" s="751"/>
      <c r="GGY128" s="751"/>
      <c r="GGZ128" s="751"/>
      <c r="GHA128" s="751"/>
      <c r="GHB128" s="751"/>
      <c r="GHC128" s="751"/>
      <c r="GHD128" s="751"/>
      <c r="GHE128" s="751"/>
      <c r="GHF128" s="751"/>
      <c r="GHG128" s="751"/>
      <c r="GHH128" s="751"/>
      <c r="GHI128" s="751"/>
      <c r="GHJ128" s="751"/>
      <c r="GHK128" s="751"/>
      <c r="GHL128" s="751"/>
      <c r="GHM128" s="751"/>
      <c r="GHN128" s="751"/>
      <c r="GHO128" s="751"/>
      <c r="GHP128" s="751"/>
      <c r="GHQ128" s="751"/>
      <c r="GHR128" s="751"/>
      <c r="GHS128" s="751"/>
      <c r="GHT128" s="751"/>
      <c r="GHU128" s="751"/>
      <c r="GHV128" s="751"/>
      <c r="GHW128" s="751"/>
      <c r="GHX128" s="751"/>
      <c r="GHY128" s="751"/>
      <c r="GHZ128" s="751"/>
      <c r="GIA128" s="751"/>
      <c r="GIB128" s="751"/>
      <c r="GIC128" s="751"/>
      <c r="GID128" s="751"/>
      <c r="GIE128" s="751"/>
      <c r="GIF128" s="751"/>
      <c r="GIG128" s="751"/>
      <c r="GIH128" s="751"/>
      <c r="GII128" s="751"/>
      <c r="GIJ128" s="751"/>
      <c r="GIK128" s="751"/>
      <c r="GIL128" s="751"/>
      <c r="GIM128" s="751"/>
      <c r="GIN128" s="751"/>
      <c r="GIO128" s="751"/>
      <c r="GIP128" s="751"/>
      <c r="GIQ128" s="751"/>
      <c r="GIR128" s="751"/>
      <c r="GIS128" s="751"/>
      <c r="GIT128" s="751"/>
      <c r="GIU128" s="751"/>
      <c r="GIV128" s="751"/>
      <c r="GIW128" s="751"/>
      <c r="GIX128" s="751"/>
      <c r="GIY128" s="751"/>
      <c r="GIZ128" s="751"/>
      <c r="GJA128" s="751"/>
      <c r="GJB128" s="751"/>
      <c r="GJC128" s="751"/>
      <c r="GJD128" s="751"/>
      <c r="GJE128" s="751"/>
      <c r="GJF128" s="751"/>
      <c r="GJG128" s="751"/>
      <c r="GJH128" s="751"/>
      <c r="GJI128" s="751"/>
      <c r="GJJ128" s="751"/>
      <c r="GJK128" s="751"/>
      <c r="GJL128" s="751"/>
      <c r="GJM128" s="751"/>
      <c r="GJN128" s="751"/>
      <c r="GJO128" s="751"/>
      <c r="GJP128" s="751"/>
      <c r="GJQ128" s="751"/>
      <c r="GJR128" s="751"/>
      <c r="GJS128" s="751"/>
      <c r="GJT128" s="751"/>
      <c r="GJU128" s="751"/>
      <c r="GJV128" s="751"/>
      <c r="GJW128" s="751"/>
      <c r="GJX128" s="751"/>
      <c r="GJY128" s="751"/>
      <c r="GJZ128" s="751"/>
      <c r="GKA128" s="751"/>
      <c r="GKB128" s="751"/>
      <c r="GKC128" s="751"/>
      <c r="GKD128" s="751"/>
      <c r="GKE128" s="751"/>
      <c r="GKF128" s="751"/>
      <c r="GKG128" s="751"/>
      <c r="GKH128" s="751"/>
      <c r="GKI128" s="751"/>
      <c r="GKJ128" s="751"/>
      <c r="GKK128" s="751"/>
      <c r="GKL128" s="751"/>
      <c r="GKM128" s="751"/>
      <c r="GKN128" s="751"/>
      <c r="GKO128" s="751"/>
      <c r="GKP128" s="751"/>
      <c r="GKQ128" s="751"/>
      <c r="GKR128" s="751"/>
      <c r="GKS128" s="751"/>
      <c r="GKT128" s="751"/>
      <c r="GKU128" s="751"/>
      <c r="GKV128" s="751"/>
      <c r="GKW128" s="751"/>
      <c r="GKX128" s="751"/>
      <c r="GKY128" s="751"/>
      <c r="GKZ128" s="751"/>
      <c r="GLA128" s="751"/>
      <c r="GLB128" s="751"/>
      <c r="GLC128" s="751"/>
      <c r="GLD128" s="751"/>
      <c r="GLE128" s="751"/>
      <c r="GLF128" s="751"/>
      <c r="GLG128" s="751"/>
      <c r="GLH128" s="751"/>
      <c r="GLI128" s="751"/>
      <c r="GLJ128" s="751"/>
      <c r="GLK128" s="751"/>
      <c r="GLL128" s="751"/>
      <c r="GLM128" s="751"/>
      <c r="GLN128" s="751"/>
      <c r="GLO128" s="751"/>
      <c r="GLP128" s="751"/>
      <c r="GLQ128" s="751"/>
      <c r="GLR128" s="751"/>
      <c r="GLS128" s="751"/>
      <c r="GLT128" s="751"/>
      <c r="GLU128" s="751"/>
      <c r="GLV128" s="751"/>
      <c r="GLW128" s="751"/>
      <c r="GLX128" s="751"/>
      <c r="GLY128" s="751"/>
      <c r="GLZ128" s="751"/>
      <c r="GMA128" s="751"/>
      <c r="GMB128" s="751"/>
      <c r="GMC128" s="751"/>
      <c r="GMD128" s="751"/>
      <c r="GME128" s="751"/>
      <c r="GMF128" s="751"/>
      <c r="GMG128" s="751"/>
      <c r="GMH128" s="751"/>
      <c r="GMI128" s="751"/>
      <c r="GMJ128" s="751"/>
      <c r="GMK128" s="751"/>
      <c r="GML128" s="751"/>
      <c r="GMM128" s="751"/>
      <c r="GMN128" s="751"/>
      <c r="GMO128" s="751"/>
      <c r="GMP128" s="751"/>
      <c r="GMQ128" s="751"/>
      <c r="GMR128" s="751"/>
      <c r="GMS128" s="751"/>
      <c r="GMT128" s="751"/>
      <c r="GMU128" s="751"/>
      <c r="GMV128" s="751"/>
      <c r="GMW128" s="751"/>
      <c r="GMX128" s="751"/>
      <c r="GMY128" s="751"/>
      <c r="GMZ128" s="751"/>
      <c r="GNA128" s="751"/>
      <c r="GNB128" s="751"/>
      <c r="GNC128" s="751"/>
      <c r="GND128" s="751"/>
      <c r="GNE128" s="751"/>
      <c r="GNF128" s="751"/>
      <c r="GNG128" s="751"/>
      <c r="GNH128" s="751"/>
      <c r="GNI128" s="751"/>
      <c r="GNJ128" s="751"/>
      <c r="GNK128" s="751"/>
      <c r="GNL128" s="751"/>
      <c r="GNM128" s="751"/>
      <c r="GNN128" s="751"/>
      <c r="GNO128" s="751"/>
      <c r="GNP128" s="751"/>
      <c r="GNQ128" s="751"/>
      <c r="GNR128" s="751"/>
      <c r="GNS128" s="751"/>
      <c r="GNT128" s="751"/>
      <c r="GNU128" s="751"/>
      <c r="GNV128" s="751"/>
      <c r="GNW128" s="751"/>
      <c r="GNX128" s="751"/>
      <c r="GNY128" s="751"/>
      <c r="GNZ128" s="751"/>
      <c r="GOA128" s="751"/>
      <c r="GOB128" s="751"/>
      <c r="GOC128" s="751"/>
      <c r="GOD128" s="751"/>
      <c r="GOE128" s="751"/>
      <c r="GOF128" s="751"/>
      <c r="GOG128" s="751"/>
      <c r="GOH128" s="751"/>
      <c r="GOI128" s="751"/>
      <c r="GOJ128" s="751"/>
      <c r="GOK128" s="751"/>
      <c r="GOL128" s="751"/>
      <c r="GOM128" s="751"/>
      <c r="GON128" s="751"/>
      <c r="GOO128" s="751"/>
      <c r="GOP128" s="751"/>
      <c r="GOQ128" s="751"/>
      <c r="GOR128" s="751"/>
      <c r="GOS128" s="751"/>
      <c r="GOT128" s="751"/>
      <c r="GOU128" s="751"/>
      <c r="GOV128" s="751"/>
      <c r="GOW128" s="751"/>
      <c r="GOX128" s="751"/>
      <c r="GOY128" s="751"/>
      <c r="GOZ128" s="751"/>
      <c r="GPA128" s="751"/>
      <c r="GPB128" s="751"/>
      <c r="GPC128" s="751"/>
      <c r="GPD128" s="751"/>
      <c r="GPE128" s="751"/>
      <c r="GPF128" s="751"/>
      <c r="GPG128" s="751"/>
      <c r="GPH128" s="751"/>
      <c r="GPI128" s="751"/>
      <c r="GPJ128" s="751"/>
      <c r="GPK128" s="751"/>
      <c r="GPL128" s="751"/>
      <c r="GPM128" s="751"/>
      <c r="GPN128" s="751"/>
      <c r="GPO128" s="751"/>
      <c r="GPP128" s="751"/>
      <c r="GPQ128" s="751"/>
      <c r="GPR128" s="751"/>
      <c r="GPS128" s="751"/>
      <c r="GPT128" s="751"/>
      <c r="GPU128" s="751"/>
      <c r="GPV128" s="751"/>
      <c r="GPW128" s="751"/>
      <c r="GPX128" s="751"/>
      <c r="GPY128" s="751"/>
      <c r="GPZ128" s="751"/>
      <c r="GQA128" s="751"/>
      <c r="GQB128" s="751"/>
      <c r="GQC128" s="751"/>
      <c r="GQD128" s="751"/>
      <c r="GQE128" s="751"/>
      <c r="GQF128" s="751"/>
      <c r="GQG128" s="751"/>
      <c r="GQH128" s="751"/>
      <c r="GQI128" s="751"/>
      <c r="GQJ128" s="751"/>
      <c r="GQK128" s="751"/>
      <c r="GQL128" s="751"/>
      <c r="GQM128" s="751"/>
      <c r="GQN128" s="751"/>
      <c r="GQO128" s="751"/>
      <c r="GQP128" s="751"/>
      <c r="GQQ128" s="751"/>
      <c r="GQR128" s="751"/>
      <c r="GQS128" s="751"/>
      <c r="GQT128" s="751"/>
      <c r="GQU128" s="751"/>
      <c r="GQV128" s="751"/>
      <c r="GQW128" s="751"/>
      <c r="GQX128" s="751"/>
      <c r="GQY128" s="751"/>
      <c r="GQZ128" s="751"/>
      <c r="GRA128" s="751"/>
      <c r="GRB128" s="751"/>
      <c r="GRC128" s="751"/>
      <c r="GRD128" s="751"/>
      <c r="GRE128" s="751"/>
      <c r="GRF128" s="751"/>
      <c r="GRG128" s="751"/>
      <c r="GRH128" s="751"/>
      <c r="GRI128" s="751"/>
      <c r="GRJ128" s="751"/>
      <c r="GRK128" s="751"/>
      <c r="GRL128" s="751"/>
      <c r="GRM128" s="751"/>
      <c r="GRN128" s="751"/>
      <c r="GRO128" s="751"/>
      <c r="GRP128" s="751"/>
      <c r="GRQ128" s="751"/>
      <c r="GRR128" s="751"/>
      <c r="GRS128" s="751"/>
      <c r="GRT128" s="751"/>
      <c r="GRU128" s="751"/>
      <c r="GRV128" s="751"/>
      <c r="GRW128" s="751"/>
      <c r="GRX128" s="751"/>
      <c r="GRY128" s="751"/>
      <c r="GRZ128" s="751"/>
      <c r="GSA128" s="751"/>
      <c r="GSB128" s="751"/>
      <c r="GSC128" s="751"/>
      <c r="GSD128" s="751"/>
      <c r="GSE128" s="751"/>
      <c r="GSF128" s="751"/>
      <c r="GSG128" s="751"/>
      <c r="GSH128" s="751"/>
      <c r="GSI128" s="751"/>
      <c r="GSJ128" s="751"/>
      <c r="GSK128" s="751"/>
      <c r="GSL128" s="751"/>
      <c r="GSM128" s="751"/>
      <c r="GSN128" s="751"/>
      <c r="GSO128" s="751"/>
      <c r="GSP128" s="751"/>
      <c r="GSQ128" s="751"/>
      <c r="GSR128" s="751"/>
      <c r="GSS128" s="751"/>
      <c r="GST128" s="751"/>
      <c r="GSU128" s="751"/>
      <c r="GSV128" s="751"/>
      <c r="GSW128" s="751"/>
      <c r="GSX128" s="751"/>
      <c r="GSY128" s="751"/>
      <c r="GSZ128" s="751"/>
      <c r="GTA128" s="751"/>
      <c r="GTB128" s="751"/>
      <c r="GTC128" s="751"/>
      <c r="GTD128" s="751"/>
      <c r="GTE128" s="751"/>
      <c r="GTF128" s="751"/>
      <c r="GTG128" s="751"/>
      <c r="GTH128" s="751"/>
      <c r="GTI128" s="751"/>
      <c r="GTJ128" s="751"/>
      <c r="GTK128" s="751"/>
      <c r="GTL128" s="751"/>
      <c r="GTM128" s="751"/>
      <c r="GTN128" s="751"/>
      <c r="GTO128" s="751"/>
      <c r="GTP128" s="751"/>
      <c r="GTQ128" s="751"/>
      <c r="GTR128" s="751"/>
      <c r="GTS128" s="751"/>
      <c r="GTT128" s="751"/>
      <c r="GTU128" s="751"/>
      <c r="GTV128" s="751"/>
      <c r="GTW128" s="751"/>
      <c r="GTX128" s="751"/>
      <c r="GTY128" s="751"/>
      <c r="GTZ128" s="751"/>
      <c r="GUA128" s="751"/>
      <c r="GUB128" s="751"/>
      <c r="GUC128" s="751"/>
      <c r="GUD128" s="751"/>
      <c r="GUE128" s="751"/>
      <c r="GUF128" s="751"/>
      <c r="GUG128" s="751"/>
      <c r="GUH128" s="751"/>
      <c r="GUI128" s="751"/>
      <c r="GUJ128" s="751"/>
      <c r="GUK128" s="751"/>
      <c r="GUL128" s="751"/>
      <c r="GUM128" s="751"/>
      <c r="GUN128" s="751"/>
      <c r="GUO128" s="751"/>
      <c r="GUP128" s="751"/>
      <c r="GUQ128" s="751"/>
      <c r="GUR128" s="751"/>
      <c r="GUS128" s="751"/>
      <c r="GUT128" s="751"/>
      <c r="GUU128" s="751"/>
      <c r="GUV128" s="751"/>
      <c r="GUW128" s="751"/>
      <c r="GUX128" s="751"/>
      <c r="GUY128" s="751"/>
      <c r="GUZ128" s="751"/>
      <c r="GVA128" s="751"/>
      <c r="GVB128" s="751"/>
      <c r="GVC128" s="751"/>
      <c r="GVD128" s="751"/>
      <c r="GVE128" s="751"/>
      <c r="GVF128" s="751"/>
      <c r="GVG128" s="751"/>
      <c r="GVH128" s="751"/>
      <c r="GVI128" s="751"/>
      <c r="GVJ128" s="751"/>
      <c r="GVK128" s="751"/>
      <c r="GVL128" s="751"/>
      <c r="GVM128" s="751"/>
      <c r="GVN128" s="751"/>
      <c r="GVO128" s="751"/>
      <c r="GVP128" s="751"/>
      <c r="GVQ128" s="751"/>
      <c r="GVR128" s="751"/>
      <c r="GVS128" s="751"/>
      <c r="GVT128" s="751"/>
      <c r="GVU128" s="751"/>
      <c r="GVV128" s="751"/>
      <c r="GVW128" s="751"/>
      <c r="GVX128" s="751"/>
      <c r="GVY128" s="751"/>
      <c r="GVZ128" s="751"/>
      <c r="GWA128" s="751"/>
      <c r="GWB128" s="751"/>
      <c r="GWC128" s="751"/>
      <c r="GWD128" s="751"/>
      <c r="GWE128" s="751"/>
      <c r="GWF128" s="751"/>
      <c r="GWG128" s="751"/>
      <c r="GWH128" s="751"/>
      <c r="GWI128" s="751"/>
      <c r="GWJ128" s="751"/>
      <c r="GWK128" s="751"/>
      <c r="GWL128" s="751"/>
      <c r="GWM128" s="751"/>
      <c r="GWN128" s="751"/>
      <c r="GWO128" s="751"/>
      <c r="GWP128" s="751"/>
      <c r="GWQ128" s="751"/>
      <c r="GWR128" s="751"/>
      <c r="GWS128" s="751"/>
      <c r="GWT128" s="751"/>
      <c r="GWU128" s="751"/>
      <c r="GWV128" s="751"/>
      <c r="GWW128" s="751"/>
      <c r="GWX128" s="751"/>
      <c r="GWY128" s="751"/>
      <c r="GWZ128" s="751"/>
      <c r="GXA128" s="751"/>
      <c r="GXB128" s="751"/>
      <c r="GXC128" s="751"/>
      <c r="GXD128" s="751"/>
      <c r="GXE128" s="751"/>
      <c r="GXF128" s="751"/>
      <c r="GXG128" s="751"/>
      <c r="GXH128" s="751"/>
      <c r="GXI128" s="751"/>
      <c r="GXJ128" s="751"/>
      <c r="GXK128" s="751"/>
      <c r="GXL128" s="751"/>
      <c r="GXM128" s="751"/>
      <c r="GXN128" s="751"/>
      <c r="GXO128" s="751"/>
      <c r="GXP128" s="751"/>
      <c r="GXQ128" s="751"/>
      <c r="GXR128" s="751"/>
      <c r="GXS128" s="751"/>
      <c r="GXT128" s="751"/>
      <c r="GXU128" s="751"/>
      <c r="GXV128" s="751"/>
      <c r="GXW128" s="751"/>
      <c r="GXX128" s="751"/>
      <c r="GXY128" s="751"/>
      <c r="GXZ128" s="751"/>
      <c r="GYA128" s="751"/>
      <c r="GYB128" s="751"/>
      <c r="GYC128" s="751"/>
      <c r="GYD128" s="751"/>
      <c r="GYE128" s="751"/>
      <c r="GYF128" s="751"/>
      <c r="GYG128" s="751"/>
      <c r="GYH128" s="751"/>
      <c r="GYI128" s="751"/>
      <c r="GYJ128" s="751"/>
      <c r="GYK128" s="751"/>
      <c r="GYL128" s="751"/>
      <c r="GYM128" s="751"/>
      <c r="GYN128" s="751"/>
      <c r="GYO128" s="751"/>
      <c r="GYP128" s="751"/>
      <c r="GYQ128" s="751"/>
      <c r="GYR128" s="751"/>
      <c r="GYS128" s="751"/>
      <c r="GYT128" s="751"/>
      <c r="GYU128" s="751"/>
      <c r="GYV128" s="751"/>
      <c r="GYW128" s="751"/>
      <c r="GYX128" s="751"/>
      <c r="GYY128" s="751"/>
      <c r="GYZ128" s="751"/>
      <c r="GZA128" s="751"/>
      <c r="GZB128" s="751"/>
      <c r="GZC128" s="751"/>
      <c r="GZD128" s="751"/>
      <c r="GZE128" s="751"/>
      <c r="GZF128" s="751"/>
      <c r="GZG128" s="751"/>
      <c r="GZH128" s="751"/>
      <c r="GZI128" s="751"/>
      <c r="GZJ128" s="751"/>
      <c r="GZK128" s="751"/>
      <c r="GZL128" s="751"/>
      <c r="GZM128" s="751"/>
      <c r="GZN128" s="751"/>
      <c r="GZO128" s="751"/>
      <c r="GZP128" s="751"/>
      <c r="GZQ128" s="751"/>
      <c r="GZR128" s="751"/>
      <c r="GZS128" s="751"/>
      <c r="GZT128" s="751"/>
      <c r="GZU128" s="751"/>
      <c r="GZV128" s="751"/>
      <c r="GZW128" s="751"/>
      <c r="GZX128" s="751"/>
      <c r="GZY128" s="751"/>
      <c r="GZZ128" s="751"/>
      <c r="HAA128" s="751"/>
      <c r="HAB128" s="751"/>
      <c r="HAC128" s="751"/>
      <c r="HAD128" s="751"/>
      <c r="HAE128" s="751"/>
      <c r="HAF128" s="751"/>
      <c r="HAG128" s="751"/>
      <c r="HAH128" s="751"/>
      <c r="HAI128" s="751"/>
      <c r="HAJ128" s="751"/>
      <c r="HAK128" s="751"/>
      <c r="HAL128" s="751"/>
      <c r="HAM128" s="751"/>
      <c r="HAN128" s="751"/>
      <c r="HAO128" s="751"/>
      <c r="HAP128" s="751"/>
      <c r="HAQ128" s="751"/>
      <c r="HAR128" s="751"/>
      <c r="HAS128" s="751"/>
      <c r="HAT128" s="751"/>
      <c r="HAU128" s="751"/>
      <c r="HAV128" s="751"/>
      <c r="HAW128" s="751"/>
      <c r="HAX128" s="751"/>
      <c r="HAY128" s="751"/>
      <c r="HAZ128" s="751"/>
      <c r="HBA128" s="751"/>
      <c r="HBB128" s="751"/>
      <c r="HBC128" s="751"/>
      <c r="HBD128" s="751"/>
      <c r="HBE128" s="751"/>
      <c r="HBF128" s="751"/>
      <c r="HBG128" s="751"/>
      <c r="HBH128" s="751"/>
      <c r="HBI128" s="751"/>
      <c r="HBJ128" s="751"/>
      <c r="HBK128" s="751"/>
      <c r="HBL128" s="751"/>
      <c r="HBM128" s="751"/>
      <c r="HBN128" s="751"/>
      <c r="HBO128" s="751"/>
      <c r="HBP128" s="751"/>
      <c r="HBQ128" s="751"/>
      <c r="HBR128" s="751"/>
      <c r="HBS128" s="751"/>
      <c r="HBT128" s="751"/>
      <c r="HBU128" s="751"/>
      <c r="HBV128" s="751"/>
      <c r="HBW128" s="751"/>
      <c r="HBX128" s="751"/>
      <c r="HBY128" s="751"/>
      <c r="HBZ128" s="751"/>
      <c r="HCA128" s="751"/>
      <c r="HCB128" s="751"/>
      <c r="HCC128" s="751"/>
      <c r="HCD128" s="751"/>
      <c r="HCE128" s="751"/>
      <c r="HCF128" s="751"/>
      <c r="HCG128" s="751"/>
      <c r="HCH128" s="751"/>
      <c r="HCI128" s="751"/>
      <c r="HCJ128" s="751"/>
      <c r="HCK128" s="751"/>
      <c r="HCL128" s="751"/>
      <c r="HCM128" s="751"/>
      <c r="HCN128" s="751"/>
      <c r="HCO128" s="751"/>
      <c r="HCP128" s="751"/>
      <c r="HCQ128" s="751"/>
      <c r="HCR128" s="751"/>
      <c r="HCS128" s="751"/>
      <c r="HCT128" s="751"/>
      <c r="HCU128" s="751"/>
      <c r="HCV128" s="751"/>
      <c r="HCW128" s="751"/>
      <c r="HCX128" s="751"/>
      <c r="HCY128" s="751"/>
      <c r="HCZ128" s="751"/>
      <c r="HDA128" s="751"/>
      <c r="HDB128" s="751"/>
      <c r="HDC128" s="751"/>
      <c r="HDD128" s="751"/>
      <c r="HDE128" s="751"/>
      <c r="HDF128" s="751"/>
      <c r="HDG128" s="751"/>
      <c r="HDH128" s="751"/>
      <c r="HDI128" s="751"/>
      <c r="HDJ128" s="751"/>
      <c r="HDK128" s="751"/>
      <c r="HDL128" s="751"/>
      <c r="HDM128" s="751"/>
      <c r="HDN128" s="751"/>
      <c r="HDO128" s="751"/>
      <c r="HDP128" s="751"/>
      <c r="HDQ128" s="751"/>
      <c r="HDR128" s="751"/>
      <c r="HDS128" s="751"/>
      <c r="HDT128" s="751"/>
      <c r="HDU128" s="751"/>
      <c r="HDV128" s="751"/>
      <c r="HDW128" s="751"/>
      <c r="HDX128" s="751"/>
      <c r="HDY128" s="751"/>
      <c r="HDZ128" s="751"/>
      <c r="HEA128" s="751"/>
      <c r="HEB128" s="751"/>
      <c r="HEC128" s="751"/>
      <c r="HED128" s="751"/>
      <c r="HEE128" s="751"/>
      <c r="HEF128" s="751"/>
      <c r="HEG128" s="751"/>
      <c r="HEH128" s="751"/>
      <c r="HEI128" s="751"/>
      <c r="HEJ128" s="751"/>
      <c r="HEK128" s="751"/>
      <c r="HEL128" s="751"/>
      <c r="HEM128" s="751"/>
      <c r="HEN128" s="751"/>
      <c r="HEO128" s="751"/>
      <c r="HEP128" s="751"/>
      <c r="HEQ128" s="751"/>
      <c r="HER128" s="751"/>
      <c r="HES128" s="751"/>
      <c r="HET128" s="751"/>
      <c r="HEU128" s="751"/>
      <c r="HEV128" s="751"/>
      <c r="HEW128" s="751"/>
      <c r="HEX128" s="751"/>
      <c r="HEY128" s="751"/>
      <c r="HEZ128" s="751"/>
      <c r="HFA128" s="751"/>
      <c r="HFB128" s="751"/>
      <c r="HFC128" s="751"/>
      <c r="HFD128" s="751"/>
      <c r="HFE128" s="751"/>
      <c r="HFF128" s="751"/>
      <c r="HFG128" s="751"/>
      <c r="HFH128" s="751"/>
      <c r="HFI128" s="751"/>
      <c r="HFJ128" s="751"/>
      <c r="HFK128" s="751"/>
      <c r="HFL128" s="751"/>
      <c r="HFM128" s="751"/>
      <c r="HFN128" s="751"/>
      <c r="HFO128" s="751"/>
      <c r="HFP128" s="751"/>
      <c r="HFQ128" s="751"/>
      <c r="HFR128" s="751"/>
      <c r="HFS128" s="751"/>
      <c r="HFT128" s="751"/>
      <c r="HFU128" s="751"/>
      <c r="HFV128" s="751"/>
      <c r="HFW128" s="751"/>
      <c r="HFX128" s="751"/>
      <c r="HFY128" s="751"/>
      <c r="HFZ128" s="751"/>
      <c r="HGA128" s="751"/>
      <c r="HGB128" s="751"/>
      <c r="HGC128" s="751"/>
      <c r="HGD128" s="751"/>
      <c r="HGE128" s="751"/>
      <c r="HGF128" s="751"/>
      <c r="HGG128" s="751"/>
      <c r="HGH128" s="751"/>
      <c r="HGI128" s="751"/>
      <c r="HGJ128" s="751"/>
      <c r="HGK128" s="751"/>
      <c r="HGL128" s="751"/>
      <c r="HGM128" s="751"/>
      <c r="HGN128" s="751"/>
      <c r="HGO128" s="751"/>
      <c r="HGP128" s="751"/>
      <c r="HGQ128" s="751"/>
      <c r="HGR128" s="751"/>
      <c r="HGS128" s="751"/>
      <c r="HGT128" s="751"/>
      <c r="HGU128" s="751"/>
      <c r="HGV128" s="751"/>
      <c r="HGW128" s="751"/>
      <c r="HGX128" s="751"/>
      <c r="HGY128" s="751"/>
      <c r="HGZ128" s="751"/>
      <c r="HHA128" s="751"/>
      <c r="HHB128" s="751"/>
      <c r="HHC128" s="751"/>
      <c r="HHD128" s="751"/>
      <c r="HHE128" s="751"/>
      <c r="HHF128" s="751"/>
      <c r="HHG128" s="751"/>
      <c r="HHH128" s="751"/>
      <c r="HHI128" s="751"/>
      <c r="HHJ128" s="751"/>
      <c r="HHK128" s="751"/>
      <c r="HHL128" s="751"/>
      <c r="HHM128" s="751"/>
      <c r="HHN128" s="751"/>
      <c r="HHO128" s="751"/>
      <c r="HHP128" s="751"/>
      <c r="HHQ128" s="751"/>
      <c r="HHR128" s="751"/>
      <c r="HHS128" s="751"/>
      <c r="HHT128" s="751"/>
      <c r="HHU128" s="751"/>
      <c r="HHV128" s="751"/>
      <c r="HHW128" s="751"/>
      <c r="HHX128" s="751"/>
      <c r="HHY128" s="751"/>
      <c r="HHZ128" s="751"/>
      <c r="HIA128" s="751"/>
      <c r="HIB128" s="751"/>
      <c r="HIC128" s="751"/>
      <c r="HID128" s="751"/>
      <c r="HIE128" s="751"/>
      <c r="HIF128" s="751"/>
      <c r="HIG128" s="751"/>
      <c r="HIH128" s="751"/>
      <c r="HII128" s="751"/>
      <c r="HIJ128" s="751"/>
      <c r="HIK128" s="751"/>
      <c r="HIL128" s="751"/>
      <c r="HIM128" s="751"/>
      <c r="HIN128" s="751"/>
      <c r="HIO128" s="751"/>
      <c r="HIP128" s="751"/>
      <c r="HIQ128" s="751"/>
      <c r="HIR128" s="751"/>
      <c r="HIS128" s="751"/>
      <c r="HIT128" s="751"/>
      <c r="HIU128" s="751"/>
      <c r="HIV128" s="751"/>
      <c r="HIW128" s="751"/>
      <c r="HIX128" s="751"/>
      <c r="HIY128" s="751"/>
      <c r="HIZ128" s="751"/>
      <c r="HJA128" s="751"/>
      <c r="HJB128" s="751"/>
      <c r="HJC128" s="751"/>
      <c r="HJD128" s="751"/>
      <c r="HJE128" s="751"/>
      <c r="HJF128" s="751"/>
      <c r="HJG128" s="751"/>
      <c r="HJH128" s="751"/>
      <c r="HJI128" s="751"/>
      <c r="HJJ128" s="751"/>
      <c r="HJK128" s="751"/>
      <c r="HJL128" s="751"/>
      <c r="HJM128" s="751"/>
      <c r="HJN128" s="751"/>
      <c r="HJO128" s="751"/>
      <c r="HJP128" s="751"/>
      <c r="HJQ128" s="751"/>
      <c r="HJR128" s="751"/>
      <c r="HJS128" s="751"/>
      <c r="HJT128" s="751"/>
      <c r="HJU128" s="751"/>
      <c r="HJV128" s="751"/>
      <c r="HJW128" s="751"/>
      <c r="HJX128" s="751"/>
      <c r="HJY128" s="751"/>
      <c r="HJZ128" s="751"/>
      <c r="HKA128" s="751"/>
      <c r="HKB128" s="751"/>
      <c r="HKC128" s="751"/>
      <c r="HKD128" s="751"/>
      <c r="HKE128" s="751"/>
      <c r="HKF128" s="751"/>
      <c r="HKG128" s="751"/>
      <c r="HKH128" s="751"/>
      <c r="HKI128" s="751"/>
      <c r="HKJ128" s="751"/>
      <c r="HKK128" s="751"/>
      <c r="HKL128" s="751"/>
      <c r="HKM128" s="751"/>
      <c r="HKN128" s="751"/>
      <c r="HKO128" s="751"/>
      <c r="HKP128" s="751"/>
      <c r="HKQ128" s="751"/>
      <c r="HKR128" s="751"/>
      <c r="HKS128" s="751"/>
      <c r="HKT128" s="751"/>
      <c r="HKU128" s="751"/>
      <c r="HKV128" s="751"/>
      <c r="HKW128" s="751"/>
      <c r="HKX128" s="751"/>
      <c r="HKY128" s="751"/>
      <c r="HKZ128" s="751"/>
      <c r="HLA128" s="751"/>
      <c r="HLB128" s="751"/>
      <c r="HLC128" s="751"/>
      <c r="HLD128" s="751"/>
      <c r="HLE128" s="751"/>
      <c r="HLF128" s="751"/>
      <c r="HLG128" s="751"/>
      <c r="HLH128" s="751"/>
      <c r="HLI128" s="751"/>
      <c r="HLJ128" s="751"/>
      <c r="HLK128" s="751"/>
      <c r="HLL128" s="751"/>
      <c r="HLM128" s="751"/>
      <c r="HLN128" s="751"/>
      <c r="HLO128" s="751"/>
      <c r="HLP128" s="751"/>
      <c r="HLQ128" s="751"/>
      <c r="HLR128" s="751"/>
      <c r="HLS128" s="751"/>
      <c r="HLT128" s="751"/>
      <c r="HLU128" s="751"/>
      <c r="HLV128" s="751"/>
      <c r="HLW128" s="751"/>
      <c r="HLX128" s="751"/>
      <c r="HLY128" s="751"/>
      <c r="HLZ128" s="751"/>
      <c r="HMA128" s="751"/>
      <c r="HMB128" s="751"/>
      <c r="HMC128" s="751"/>
      <c r="HMD128" s="751"/>
      <c r="HME128" s="751"/>
      <c r="HMF128" s="751"/>
      <c r="HMG128" s="751"/>
      <c r="HMH128" s="751"/>
      <c r="HMI128" s="751"/>
      <c r="HMJ128" s="751"/>
      <c r="HMK128" s="751"/>
      <c r="HML128" s="751"/>
      <c r="HMM128" s="751"/>
      <c r="HMN128" s="751"/>
      <c r="HMO128" s="751"/>
      <c r="HMP128" s="751"/>
      <c r="HMQ128" s="751"/>
      <c r="HMR128" s="751"/>
      <c r="HMS128" s="751"/>
      <c r="HMT128" s="751"/>
      <c r="HMU128" s="751"/>
      <c r="HMV128" s="751"/>
      <c r="HMW128" s="751"/>
      <c r="HMX128" s="751"/>
      <c r="HMY128" s="751"/>
      <c r="HMZ128" s="751"/>
      <c r="HNA128" s="751"/>
      <c r="HNB128" s="751"/>
      <c r="HNC128" s="751"/>
      <c r="HND128" s="751"/>
      <c r="HNE128" s="751"/>
      <c r="HNF128" s="751"/>
      <c r="HNG128" s="751"/>
      <c r="HNH128" s="751"/>
      <c r="HNI128" s="751"/>
      <c r="HNJ128" s="751"/>
      <c r="HNK128" s="751"/>
      <c r="HNL128" s="751"/>
      <c r="HNM128" s="751"/>
      <c r="HNN128" s="751"/>
      <c r="HNO128" s="751"/>
      <c r="HNP128" s="751"/>
      <c r="HNQ128" s="751"/>
      <c r="HNR128" s="751"/>
      <c r="HNS128" s="751"/>
      <c r="HNT128" s="751"/>
      <c r="HNU128" s="751"/>
      <c r="HNV128" s="751"/>
      <c r="HNW128" s="751"/>
      <c r="HNX128" s="751"/>
      <c r="HNY128" s="751"/>
      <c r="HNZ128" s="751"/>
      <c r="HOA128" s="751"/>
      <c r="HOB128" s="751"/>
      <c r="HOC128" s="751"/>
      <c r="HOD128" s="751"/>
      <c r="HOE128" s="751"/>
      <c r="HOF128" s="751"/>
      <c r="HOG128" s="751"/>
      <c r="HOH128" s="751"/>
      <c r="HOI128" s="751"/>
      <c r="HOJ128" s="751"/>
      <c r="HOK128" s="751"/>
      <c r="HOL128" s="751"/>
      <c r="HOM128" s="751"/>
      <c r="HON128" s="751"/>
      <c r="HOO128" s="751"/>
      <c r="HOP128" s="751"/>
      <c r="HOQ128" s="751"/>
      <c r="HOR128" s="751"/>
      <c r="HOS128" s="751"/>
      <c r="HOT128" s="751"/>
      <c r="HOU128" s="751"/>
      <c r="HOV128" s="751"/>
      <c r="HOW128" s="751"/>
      <c r="HOX128" s="751"/>
      <c r="HOY128" s="751"/>
      <c r="HOZ128" s="751"/>
      <c r="HPA128" s="751"/>
      <c r="HPB128" s="751"/>
      <c r="HPC128" s="751"/>
      <c r="HPD128" s="751"/>
      <c r="HPE128" s="751"/>
      <c r="HPF128" s="751"/>
      <c r="HPG128" s="751"/>
      <c r="HPH128" s="751"/>
      <c r="HPI128" s="751"/>
      <c r="HPJ128" s="751"/>
      <c r="HPK128" s="751"/>
      <c r="HPL128" s="751"/>
      <c r="HPM128" s="751"/>
      <c r="HPN128" s="751"/>
      <c r="HPO128" s="751"/>
      <c r="HPP128" s="751"/>
      <c r="HPQ128" s="751"/>
      <c r="HPR128" s="751"/>
      <c r="HPS128" s="751"/>
      <c r="HPT128" s="751"/>
      <c r="HPU128" s="751"/>
      <c r="HPV128" s="751"/>
      <c r="HPW128" s="751"/>
      <c r="HPX128" s="751"/>
      <c r="HPY128" s="751"/>
      <c r="HPZ128" s="751"/>
      <c r="HQA128" s="751"/>
      <c r="HQB128" s="751"/>
      <c r="HQC128" s="751"/>
      <c r="HQD128" s="751"/>
      <c r="HQE128" s="751"/>
      <c r="HQF128" s="751"/>
      <c r="HQG128" s="751"/>
      <c r="HQH128" s="751"/>
      <c r="HQI128" s="751"/>
      <c r="HQJ128" s="751"/>
      <c r="HQK128" s="751"/>
      <c r="HQL128" s="751"/>
      <c r="HQM128" s="751"/>
      <c r="HQN128" s="751"/>
      <c r="HQO128" s="751"/>
      <c r="HQP128" s="751"/>
      <c r="HQQ128" s="751"/>
      <c r="HQR128" s="751"/>
      <c r="HQS128" s="751"/>
      <c r="HQT128" s="751"/>
      <c r="HQU128" s="751"/>
      <c r="HQV128" s="751"/>
      <c r="HQW128" s="751"/>
      <c r="HQX128" s="751"/>
      <c r="HQY128" s="751"/>
      <c r="HQZ128" s="751"/>
      <c r="HRA128" s="751"/>
      <c r="HRB128" s="751"/>
      <c r="HRC128" s="751"/>
      <c r="HRD128" s="751"/>
      <c r="HRE128" s="751"/>
      <c r="HRF128" s="751"/>
      <c r="HRG128" s="751"/>
      <c r="HRH128" s="751"/>
      <c r="HRI128" s="751"/>
      <c r="HRJ128" s="751"/>
      <c r="HRK128" s="751"/>
      <c r="HRL128" s="751"/>
      <c r="HRM128" s="751"/>
      <c r="HRN128" s="751"/>
      <c r="HRO128" s="751"/>
      <c r="HRP128" s="751"/>
      <c r="HRQ128" s="751"/>
      <c r="HRR128" s="751"/>
      <c r="HRS128" s="751"/>
      <c r="HRT128" s="751"/>
      <c r="HRU128" s="751"/>
      <c r="HRV128" s="751"/>
      <c r="HRW128" s="751"/>
      <c r="HRX128" s="751"/>
      <c r="HRY128" s="751"/>
      <c r="HRZ128" s="751"/>
      <c r="HSA128" s="751"/>
      <c r="HSB128" s="751"/>
      <c r="HSC128" s="751"/>
      <c r="HSD128" s="751"/>
      <c r="HSE128" s="751"/>
      <c r="HSF128" s="751"/>
      <c r="HSG128" s="751"/>
      <c r="HSH128" s="751"/>
      <c r="HSI128" s="751"/>
      <c r="HSJ128" s="751"/>
      <c r="HSK128" s="751"/>
      <c r="HSL128" s="751"/>
      <c r="HSM128" s="751"/>
      <c r="HSN128" s="751"/>
      <c r="HSO128" s="751"/>
      <c r="HSP128" s="751"/>
      <c r="HSQ128" s="751"/>
      <c r="HSR128" s="751"/>
      <c r="HSS128" s="751"/>
      <c r="HST128" s="751"/>
      <c r="HSU128" s="751"/>
      <c r="HSV128" s="751"/>
      <c r="HSW128" s="751"/>
      <c r="HSX128" s="751"/>
      <c r="HSY128" s="751"/>
      <c r="HSZ128" s="751"/>
      <c r="HTA128" s="751"/>
      <c r="HTB128" s="751"/>
      <c r="HTC128" s="751"/>
      <c r="HTD128" s="751"/>
      <c r="HTE128" s="751"/>
      <c r="HTF128" s="751"/>
      <c r="HTG128" s="751"/>
      <c r="HTH128" s="751"/>
      <c r="HTI128" s="751"/>
      <c r="HTJ128" s="751"/>
      <c r="HTK128" s="751"/>
      <c r="HTL128" s="751"/>
      <c r="HTM128" s="751"/>
      <c r="HTN128" s="751"/>
      <c r="HTO128" s="751"/>
      <c r="HTP128" s="751"/>
      <c r="HTQ128" s="751"/>
      <c r="HTR128" s="751"/>
      <c r="HTS128" s="751"/>
      <c r="HTT128" s="751"/>
      <c r="HTU128" s="751"/>
      <c r="HTV128" s="751"/>
      <c r="HTW128" s="751"/>
      <c r="HTX128" s="751"/>
      <c r="HTY128" s="751"/>
      <c r="HTZ128" s="751"/>
      <c r="HUA128" s="751"/>
      <c r="HUB128" s="751"/>
      <c r="HUC128" s="751"/>
      <c r="HUD128" s="751"/>
      <c r="HUE128" s="751"/>
      <c r="HUF128" s="751"/>
      <c r="HUG128" s="751"/>
      <c r="HUH128" s="751"/>
      <c r="HUI128" s="751"/>
      <c r="HUJ128" s="751"/>
      <c r="HUK128" s="751"/>
      <c r="HUL128" s="751"/>
      <c r="HUM128" s="751"/>
      <c r="HUN128" s="751"/>
      <c r="HUO128" s="751"/>
      <c r="HUP128" s="751"/>
      <c r="HUQ128" s="751"/>
      <c r="HUR128" s="751"/>
      <c r="HUS128" s="751"/>
      <c r="HUT128" s="751"/>
      <c r="HUU128" s="751"/>
      <c r="HUV128" s="751"/>
      <c r="HUW128" s="751"/>
      <c r="HUX128" s="751"/>
      <c r="HUY128" s="751"/>
      <c r="HUZ128" s="751"/>
      <c r="HVA128" s="751"/>
      <c r="HVB128" s="751"/>
      <c r="HVC128" s="751"/>
      <c r="HVD128" s="751"/>
      <c r="HVE128" s="751"/>
      <c r="HVF128" s="751"/>
      <c r="HVG128" s="751"/>
      <c r="HVH128" s="751"/>
      <c r="HVI128" s="751"/>
      <c r="HVJ128" s="751"/>
      <c r="HVK128" s="751"/>
      <c r="HVL128" s="751"/>
      <c r="HVM128" s="751"/>
      <c r="HVN128" s="751"/>
      <c r="HVO128" s="751"/>
      <c r="HVP128" s="751"/>
      <c r="HVQ128" s="751"/>
      <c r="HVR128" s="751"/>
      <c r="HVS128" s="751"/>
      <c r="HVT128" s="751"/>
      <c r="HVU128" s="751"/>
      <c r="HVV128" s="751"/>
      <c r="HVW128" s="751"/>
      <c r="HVX128" s="751"/>
      <c r="HVY128" s="751"/>
      <c r="HVZ128" s="751"/>
      <c r="HWA128" s="751"/>
      <c r="HWB128" s="751"/>
      <c r="HWC128" s="751"/>
      <c r="HWD128" s="751"/>
      <c r="HWE128" s="751"/>
      <c r="HWF128" s="751"/>
      <c r="HWG128" s="751"/>
      <c r="HWH128" s="751"/>
      <c r="HWI128" s="751"/>
      <c r="HWJ128" s="751"/>
      <c r="HWK128" s="751"/>
      <c r="HWL128" s="751"/>
      <c r="HWM128" s="751"/>
      <c r="HWN128" s="751"/>
      <c r="HWO128" s="751"/>
      <c r="HWP128" s="751"/>
      <c r="HWQ128" s="751"/>
      <c r="HWR128" s="751"/>
      <c r="HWS128" s="751"/>
      <c r="HWT128" s="751"/>
      <c r="HWU128" s="751"/>
      <c r="HWV128" s="751"/>
      <c r="HWW128" s="751"/>
      <c r="HWX128" s="751"/>
      <c r="HWY128" s="751"/>
      <c r="HWZ128" s="751"/>
      <c r="HXA128" s="751"/>
      <c r="HXB128" s="751"/>
      <c r="HXC128" s="751"/>
      <c r="HXD128" s="751"/>
      <c r="HXE128" s="751"/>
      <c r="HXF128" s="751"/>
      <c r="HXG128" s="751"/>
      <c r="HXH128" s="751"/>
      <c r="HXI128" s="751"/>
      <c r="HXJ128" s="751"/>
      <c r="HXK128" s="751"/>
      <c r="HXL128" s="751"/>
      <c r="HXM128" s="751"/>
      <c r="HXN128" s="751"/>
      <c r="HXO128" s="751"/>
      <c r="HXP128" s="751"/>
      <c r="HXQ128" s="751"/>
      <c r="HXR128" s="751"/>
      <c r="HXS128" s="751"/>
      <c r="HXT128" s="751"/>
      <c r="HXU128" s="751"/>
      <c r="HXV128" s="751"/>
      <c r="HXW128" s="751"/>
      <c r="HXX128" s="751"/>
      <c r="HXY128" s="751"/>
      <c r="HXZ128" s="751"/>
      <c r="HYA128" s="751"/>
      <c r="HYB128" s="751"/>
      <c r="HYC128" s="751"/>
      <c r="HYD128" s="751"/>
      <c r="HYE128" s="751"/>
      <c r="HYF128" s="751"/>
      <c r="HYG128" s="751"/>
      <c r="HYH128" s="751"/>
      <c r="HYI128" s="751"/>
      <c r="HYJ128" s="751"/>
      <c r="HYK128" s="751"/>
      <c r="HYL128" s="751"/>
      <c r="HYM128" s="751"/>
      <c r="HYN128" s="751"/>
      <c r="HYO128" s="751"/>
      <c r="HYP128" s="751"/>
      <c r="HYQ128" s="751"/>
      <c r="HYR128" s="751"/>
      <c r="HYS128" s="751"/>
      <c r="HYT128" s="751"/>
      <c r="HYU128" s="751"/>
      <c r="HYV128" s="751"/>
      <c r="HYW128" s="751"/>
      <c r="HYX128" s="751"/>
      <c r="HYY128" s="751"/>
      <c r="HYZ128" s="751"/>
      <c r="HZA128" s="751"/>
      <c r="HZB128" s="751"/>
      <c r="HZC128" s="751"/>
      <c r="HZD128" s="751"/>
      <c r="HZE128" s="751"/>
      <c r="HZF128" s="751"/>
      <c r="HZG128" s="751"/>
      <c r="HZH128" s="751"/>
      <c r="HZI128" s="751"/>
      <c r="HZJ128" s="751"/>
      <c r="HZK128" s="751"/>
      <c r="HZL128" s="751"/>
      <c r="HZM128" s="751"/>
      <c r="HZN128" s="751"/>
      <c r="HZO128" s="751"/>
      <c r="HZP128" s="751"/>
      <c r="HZQ128" s="751"/>
      <c r="HZR128" s="751"/>
      <c r="HZS128" s="751"/>
      <c r="HZT128" s="751"/>
      <c r="HZU128" s="751"/>
      <c r="HZV128" s="751"/>
      <c r="HZW128" s="751"/>
      <c r="HZX128" s="751"/>
      <c r="HZY128" s="751"/>
      <c r="HZZ128" s="751"/>
      <c r="IAA128" s="751"/>
      <c r="IAB128" s="751"/>
      <c r="IAC128" s="751"/>
      <c r="IAD128" s="751"/>
      <c r="IAE128" s="751"/>
      <c r="IAF128" s="751"/>
      <c r="IAG128" s="751"/>
      <c r="IAH128" s="751"/>
      <c r="IAI128" s="751"/>
      <c r="IAJ128" s="751"/>
      <c r="IAK128" s="751"/>
      <c r="IAL128" s="751"/>
      <c r="IAM128" s="751"/>
      <c r="IAN128" s="751"/>
      <c r="IAO128" s="751"/>
      <c r="IAP128" s="751"/>
      <c r="IAQ128" s="751"/>
      <c r="IAR128" s="751"/>
      <c r="IAS128" s="751"/>
      <c r="IAT128" s="751"/>
      <c r="IAU128" s="751"/>
      <c r="IAV128" s="751"/>
      <c r="IAW128" s="751"/>
      <c r="IAX128" s="751"/>
      <c r="IAY128" s="751"/>
      <c r="IAZ128" s="751"/>
      <c r="IBA128" s="751"/>
      <c r="IBB128" s="751"/>
      <c r="IBC128" s="751"/>
      <c r="IBD128" s="751"/>
      <c r="IBE128" s="751"/>
      <c r="IBF128" s="751"/>
      <c r="IBG128" s="751"/>
      <c r="IBH128" s="751"/>
      <c r="IBI128" s="751"/>
      <c r="IBJ128" s="751"/>
      <c r="IBK128" s="751"/>
      <c r="IBL128" s="751"/>
      <c r="IBM128" s="751"/>
      <c r="IBN128" s="751"/>
      <c r="IBO128" s="751"/>
      <c r="IBP128" s="751"/>
      <c r="IBQ128" s="751"/>
      <c r="IBR128" s="751"/>
      <c r="IBS128" s="751"/>
      <c r="IBT128" s="751"/>
      <c r="IBU128" s="751"/>
      <c r="IBV128" s="751"/>
      <c r="IBW128" s="751"/>
      <c r="IBX128" s="751"/>
      <c r="IBY128" s="751"/>
      <c r="IBZ128" s="751"/>
      <c r="ICA128" s="751"/>
      <c r="ICB128" s="751"/>
      <c r="ICC128" s="751"/>
      <c r="ICD128" s="751"/>
      <c r="ICE128" s="751"/>
      <c r="ICF128" s="751"/>
      <c r="ICG128" s="751"/>
      <c r="ICH128" s="751"/>
      <c r="ICI128" s="751"/>
      <c r="ICJ128" s="751"/>
      <c r="ICK128" s="751"/>
      <c r="ICL128" s="751"/>
      <c r="ICM128" s="751"/>
      <c r="ICN128" s="751"/>
      <c r="ICO128" s="751"/>
      <c r="ICP128" s="751"/>
      <c r="ICQ128" s="751"/>
      <c r="ICR128" s="751"/>
      <c r="ICS128" s="751"/>
      <c r="ICT128" s="751"/>
      <c r="ICU128" s="751"/>
      <c r="ICV128" s="751"/>
      <c r="ICW128" s="751"/>
      <c r="ICX128" s="751"/>
      <c r="ICY128" s="751"/>
      <c r="ICZ128" s="751"/>
      <c r="IDA128" s="751"/>
      <c r="IDB128" s="751"/>
      <c r="IDC128" s="751"/>
      <c r="IDD128" s="751"/>
      <c r="IDE128" s="751"/>
      <c r="IDF128" s="751"/>
      <c r="IDG128" s="751"/>
      <c r="IDH128" s="751"/>
      <c r="IDI128" s="751"/>
      <c r="IDJ128" s="751"/>
      <c r="IDK128" s="751"/>
      <c r="IDL128" s="751"/>
      <c r="IDM128" s="751"/>
      <c r="IDN128" s="751"/>
      <c r="IDO128" s="751"/>
      <c r="IDP128" s="751"/>
      <c r="IDQ128" s="751"/>
      <c r="IDR128" s="751"/>
      <c r="IDS128" s="751"/>
      <c r="IDT128" s="751"/>
      <c r="IDU128" s="751"/>
      <c r="IDV128" s="751"/>
      <c r="IDW128" s="751"/>
      <c r="IDX128" s="751"/>
      <c r="IDY128" s="751"/>
      <c r="IDZ128" s="751"/>
      <c r="IEA128" s="751"/>
      <c r="IEB128" s="751"/>
      <c r="IEC128" s="751"/>
      <c r="IED128" s="751"/>
      <c r="IEE128" s="751"/>
      <c r="IEF128" s="751"/>
      <c r="IEG128" s="751"/>
      <c r="IEH128" s="751"/>
      <c r="IEI128" s="751"/>
      <c r="IEJ128" s="751"/>
      <c r="IEK128" s="751"/>
      <c r="IEL128" s="751"/>
      <c r="IEM128" s="751"/>
      <c r="IEN128" s="751"/>
      <c r="IEO128" s="751"/>
      <c r="IEP128" s="751"/>
      <c r="IEQ128" s="751"/>
      <c r="IER128" s="751"/>
      <c r="IES128" s="751"/>
      <c r="IET128" s="751"/>
      <c r="IEU128" s="751"/>
      <c r="IEV128" s="751"/>
      <c r="IEW128" s="751"/>
      <c r="IEX128" s="751"/>
      <c r="IEY128" s="751"/>
      <c r="IEZ128" s="751"/>
      <c r="IFA128" s="751"/>
      <c r="IFB128" s="751"/>
      <c r="IFC128" s="751"/>
      <c r="IFD128" s="751"/>
      <c r="IFE128" s="751"/>
      <c r="IFF128" s="751"/>
      <c r="IFG128" s="751"/>
      <c r="IFH128" s="751"/>
      <c r="IFI128" s="751"/>
      <c r="IFJ128" s="751"/>
      <c r="IFK128" s="751"/>
      <c r="IFL128" s="751"/>
      <c r="IFM128" s="751"/>
      <c r="IFN128" s="751"/>
      <c r="IFO128" s="751"/>
      <c r="IFP128" s="751"/>
      <c r="IFQ128" s="751"/>
      <c r="IFR128" s="751"/>
      <c r="IFS128" s="751"/>
      <c r="IFT128" s="751"/>
      <c r="IFU128" s="751"/>
      <c r="IFV128" s="751"/>
      <c r="IFW128" s="751"/>
      <c r="IFX128" s="751"/>
      <c r="IFY128" s="751"/>
      <c r="IFZ128" s="751"/>
      <c r="IGA128" s="751"/>
      <c r="IGB128" s="751"/>
      <c r="IGC128" s="751"/>
      <c r="IGD128" s="751"/>
      <c r="IGE128" s="751"/>
      <c r="IGF128" s="751"/>
      <c r="IGG128" s="751"/>
      <c r="IGH128" s="751"/>
      <c r="IGI128" s="751"/>
      <c r="IGJ128" s="751"/>
      <c r="IGK128" s="751"/>
      <c r="IGL128" s="751"/>
      <c r="IGM128" s="751"/>
      <c r="IGN128" s="751"/>
      <c r="IGO128" s="751"/>
      <c r="IGP128" s="751"/>
      <c r="IGQ128" s="751"/>
      <c r="IGR128" s="751"/>
      <c r="IGS128" s="751"/>
      <c r="IGT128" s="751"/>
      <c r="IGU128" s="751"/>
      <c r="IGV128" s="751"/>
      <c r="IGW128" s="751"/>
      <c r="IGX128" s="751"/>
      <c r="IGY128" s="751"/>
      <c r="IGZ128" s="751"/>
      <c r="IHA128" s="751"/>
      <c r="IHB128" s="751"/>
      <c r="IHC128" s="751"/>
      <c r="IHD128" s="751"/>
      <c r="IHE128" s="751"/>
      <c r="IHF128" s="751"/>
      <c r="IHG128" s="751"/>
      <c r="IHH128" s="751"/>
      <c r="IHI128" s="751"/>
      <c r="IHJ128" s="751"/>
      <c r="IHK128" s="751"/>
      <c r="IHL128" s="751"/>
      <c r="IHM128" s="751"/>
      <c r="IHN128" s="751"/>
      <c r="IHO128" s="751"/>
      <c r="IHP128" s="751"/>
      <c r="IHQ128" s="751"/>
      <c r="IHR128" s="751"/>
      <c r="IHS128" s="751"/>
      <c r="IHT128" s="751"/>
      <c r="IHU128" s="751"/>
      <c r="IHV128" s="751"/>
      <c r="IHW128" s="751"/>
      <c r="IHX128" s="751"/>
      <c r="IHY128" s="751"/>
      <c r="IHZ128" s="751"/>
      <c r="IIA128" s="751"/>
      <c r="IIB128" s="751"/>
      <c r="IIC128" s="751"/>
      <c r="IID128" s="751"/>
      <c r="IIE128" s="751"/>
      <c r="IIF128" s="751"/>
      <c r="IIG128" s="751"/>
      <c r="IIH128" s="751"/>
      <c r="III128" s="751"/>
      <c r="IIJ128" s="751"/>
      <c r="IIK128" s="751"/>
      <c r="IIL128" s="751"/>
      <c r="IIM128" s="751"/>
      <c r="IIN128" s="751"/>
      <c r="IIO128" s="751"/>
      <c r="IIP128" s="751"/>
      <c r="IIQ128" s="751"/>
      <c r="IIR128" s="751"/>
      <c r="IIS128" s="751"/>
      <c r="IIT128" s="751"/>
      <c r="IIU128" s="751"/>
      <c r="IIV128" s="751"/>
      <c r="IIW128" s="751"/>
      <c r="IIX128" s="751"/>
      <c r="IIY128" s="751"/>
      <c r="IIZ128" s="751"/>
      <c r="IJA128" s="751"/>
      <c r="IJB128" s="751"/>
      <c r="IJC128" s="751"/>
      <c r="IJD128" s="751"/>
      <c r="IJE128" s="751"/>
      <c r="IJF128" s="751"/>
      <c r="IJG128" s="751"/>
      <c r="IJH128" s="751"/>
      <c r="IJI128" s="751"/>
      <c r="IJJ128" s="751"/>
      <c r="IJK128" s="751"/>
      <c r="IJL128" s="751"/>
      <c r="IJM128" s="751"/>
      <c r="IJN128" s="751"/>
      <c r="IJO128" s="751"/>
      <c r="IJP128" s="751"/>
      <c r="IJQ128" s="751"/>
      <c r="IJR128" s="751"/>
      <c r="IJS128" s="751"/>
      <c r="IJT128" s="751"/>
      <c r="IJU128" s="751"/>
      <c r="IJV128" s="751"/>
      <c r="IJW128" s="751"/>
      <c r="IJX128" s="751"/>
      <c r="IJY128" s="751"/>
      <c r="IJZ128" s="751"/>
      <c r="IKA128" s="751"/>
      <c r="IKB128" s="751"/>
      <c r="IKC128" s="751"/>
      <c r="IKD128" s="751"/>
      <c r="IKE128" s="751"/>
      <c r="IKF128" s="751"/>
      <c r="IKG128" s="751"/>
      <c r="IKH128" s="751"/>
      <c r="IKI128" s="751"/>
      <c r="IKJ128" s="751"/>
      <c r="IKK128" s="751"/>
      <c r="IKL128" s="751"/>
      <c r="IKM128" s="751"/>
      <c r="IKN128" s="751"/>
      <c r="IKO128" s="751"/>
      <c r="IKP128" s="751"/>
      <c r="IKQ128" s="751"/>
      <c r="IKR128" s="751"/>
      <c r="IKS128" s="751"/>
      <c r="IKT128" s="751"/>
      <c r="IKU128" s="751"/>
      <c r="IKV128" s="751"/>
      <c r="IKW128" s="751"/>
      <c r="IKX128" s="751"/>
      <c r="IKY128" s="751"/>
      <c r="IKZ128" s="751"/>
      <c r="ILA128" s="751"/>
      <c r="ILB128" s="751"/>
      <c r="ILC128" s="751"/>
      <c r="ILD128" s="751"/>
      <c r="ILE128" s="751"/>
      <c r="ILF128" s="751"/>
      <c r="ILG128" s="751"/>
      <c r="ILH128" s="751"/>
      <c r="ILI128" s="751"/>
      <c r="ILJ128" s="751"/>
      <c r="ILK128" s="751"/>
      <c r="ILL128" s="751"/>
      <c r="ILM128" s="751"/>
      <c r="ILN128" s="751"/>
      <c r="ILO128" s="751"/>
      <c r="ILP128" s="751"/>
      <c r="ILQ128" s="751"/>
      <c r="ILR128" s="751"/>
      <c r="ILS128" s="751"/>
      <c r="ILT128" s="751"/>
      <c r="ILU128" s="751"/>
      <c r="ILV128" s="751"/>
      <c r="ILW128" s="751"/>
      <c r="ILX128" s="751"/>
      <c r="ILY128" s="751"/>
      <c r="ILZ128" s="751"/>
      <c r="IMA128" s="751"/>
      <c r="IMB128" s="751"/>
      <c r="IMC128" s="751"/>
      <c r="IMD128" s="751"/>
      <c r="IME128" s="751"/>
      <c r="IMF128" s="751"/>
      <c r="IMG128" s="751"/>
      <c r="IMH128" s="751"/>
      <c r="IMI128" s="751"/>
      <c r="IMJ128" s="751"/>
      <c r="IMK128" s="751"/>
      <c r="IML128" s="751"/>
      <c r="IMM128" s="751"/>
      <c r="IMN128" s="751"/>
      <c r="IMO128" s="751"/>
      <c r="IMP128" s="751"/>
      <c r="IMQ128" s="751"/>
      <c r="IMR128" s="751"/>
      <c r="IMS128" s="751"/>
      <c r="IMT128" s="751"/>
      <c r="IMU128" s="751"/>
      <c r="IMV128" s="751"/>
      <c r="IMW128" s="751"/>
      <c r="IMX128" s="751"/>
      <c r="IMY128" s="751"/>
      <c r="IMZ128" s="751"/>
      <c r="INA128" s="751"/>
      <c r="INB128" s="751"/>
      <c r="INC128" s="751"/>
      <c r="IND128" s="751"/>
      <c r="INE128" s="751"/>
      <c r="INF128" s="751"/>
      <c r="ING128" s="751"/>
      <c r="INH128" s="751"/>
      <c r="INI128" s="751"/>
      <c r="INJ128" s="751"/>
      <c r="INK128" s="751"/>
      <c r="INL128" s="751"/>
      <c r="INM128" s="751"/>
      <c r="INN128" s="751"/>
      <c r="INO128" s="751"/>
      <c r="INP128" s="751"/>
      <c r="INQ128" s="751"/>
      <c r="INR128" s="751"/>
      <c r="INS128" s="751"/>
      <c r="INT128" s="751"/>
      <c r="INU128" s="751"/>
      <c r="INV128" s="751"/>
      <c r="INW128" s="751"/>
      <c r="INX128" s="751"/>
      <c r="INY128" s="751"/>
      <c r="INZ128" s="751"/>
      <c r="IOA128" s="751"/>
      <c r="IOB128" s="751"/>
      <c r="IOC128" s="751"/>
      <c r="IOD128" s="751"/>
      <c r="IOE128" s="751"/>
      <c r="IOF128" s="751"/>
      <c r="IOG128" s="751"/>
      <c r="IOH128" s="751"/>
      <c r="IOI128" s="751"/>
      <c r="IOJ128" s="751"/>
      <c r="IOK128" s="751"/>
      <c r="IOL128" s="751"/>
      <c r="IOM128" s="751"/>
      <c r="ION128" s="751"/>
      <c r="IOO128" s="751"/>
      <c r="IOP128" s="751"/>
      <c r="IOQ128" s="751"/>
      <c r="IOR128" s="751"/>
      <c r="IOS128" s="751"/>
      <c r="IOT128" s="751"/>
      <c r="IOU128" s="751"/>
      <c r="IOV128" s="751"/>
      <c r="IOW128" s="751"/>
      <c r="IOX128" s="751"/>
      <c r="IOY128" s="751"/>
      <c r="IOZ128" s="751"/>
      <c r="IPA128" s="751"/>
      <c r="IPB128" s="751"/>
      <c r="IPC128" s="751"/>
      <c r="IPD128" s="751"/>
      <c r="IPE128" s="751"/>
      <c r="IPF128" s="751"/>
      <c r="IPG128" s="751"/>
      <c r="IPH128" s="751"/>
      <c r="IPI128" s="751"/>
      <c r="IPJ128" s="751"/>
      <c r="IPK128" s="751"/>
      <c r="IPL128" s="751"/>
      <c r="IPM128" s="751"/>
      <c r="IPN128" s="751"/>
      <c r="IPO128" s="751"/>
      <c r="IPP128" s="751"/>
      <c r="IPQ128" s="751"/>
      <c r="IPR128" s="751"/>
      <c r="IPS128" s="751"/>
      <c r="IPT128" s="751"/>
      <c r="IPU128" s="751"/>
      <c r="IPV128" s="751"/>
      <c r="IPW128" s="751"/>
      <c r="IPX128" s="751"/>
      <c r="IPY128" s="751"/>
      <c r="IPZ128" s="751"/>
      <c r="IQA128" s="751"/>
      <c r="IQB128" s="751"/>
      <c r="IQC128" s="751"/>
      <c r="IQD128" s="751"/>
      <c r="IQE128" s="751"/>
      <c r="IQF128" s="751"/>
      <c r="IQG128" s="751"/>
      <c r="IQH128" s="751"/>
      <c r="IQI128" s="751"/>
      <c r="IQJ128" s="751"/>
      <c r="IQK128" s="751"/>
      <c r="IQL128" s="751"/>
      <c r="IQM128" s="751"/>
      <c r="IQN128" s="751"/>
      <c r="IQO128" s="751"/>
      <c r="IQP128" s="751"/>
      <c r="IQQ128" s="751"/>
      <c r="IQR128" s="751"/>
      <c r="IQS128" s="751"/>
      <c r="IQT128" s="751"/>
      <c r="IQU128" s="751"/>
      <c r="IQV128" s="751"/>
      <c r="IQW128" s="751"/>
      <c r="IQX128" s="751"/>
      <c r="IQY128" s="751"/>
      <c r="IQZ128" s="751"/>
      <c r="IRA128" s="751"/>
      <c r="IRB128" s="751"/>
      <c r="IRC128" s="751"/>
      <c r="IRD128" s="751"/>
      <c r="IRE128" s="751"/>
      <c r="IRF128" s="751"/>
      <c r="IRG128" s="751"/>
      <c r="IRH128" s="751"/>
      <c r="IRI128" s="751"/>
      <c r="IRJ128" s="751"/>
      <c r="IRK128" s="751"/>
      <c r="IRL128" s="751"/>
      <c r="IRM128" s="751"/>
      <c r="IRN128" s="751"/>
      <c r="IRO128" s="751"/>
      <c r="IRP128" s="751"/>
      <c r="IRQ128" s="751"/>
      <c r="IRR128" s="751"/>
      <c r="IRS128" s="751"/>
      <c r="IRT128" s="751"/>
      <c r="IRU128" s="751"/>
      <c r="IRV128" s="751"/>
      <c r="IRW128" s="751"/>
      <c r="IRX128" s="751"/>
      <c r="IRY128" s="751"/>
      <c r="IRZ128" s="751"/>
      <c r="ISA128" s="751"/>
      <c r="ISB128" s="751"/>
      <c r="ISC128" s="751"/>
      <c r="ISD128" s="751"/>
      <c r="ISE128" s="751"/>
      <c r="ISF128" s="751"/>
      <c r="ISG128" s="751"/>
      <c r="ISH128" s="751"/>
      <c r="ISI128" s="751"/>
      <c r="ISJ128" s="751"/>
      <c r="ISK128" s="751"/>
      <c r="ISL128" s="751"/>
      <c r="ISM128" s="751"/>
      <c r="ISN128" s="751"/>
      <c r="ISO128" s="751"/>
      <c r="ISP128" s="751"/>
      <c r="ISQ128" s="751"/>
      <c r="ISR128" s="751"/>
      <c r="ISS128" s="751"/>
      <c r="IST128" s="751"/>
      <c r="ISU128" s="751"/>
      <c r="ISV128" s="751"/>
      <c r="ISW128" s="751"/>
      <c r="ISX128" s="751"/>
      <c r="ISY128" s="751"/>
      <c r="ISZ128" s="751"/>
      <c r="ITA128" s="751"/>
      <c r="ITB128" s="751"/>
      <c r="ITC128" s="751"/>
      <c r="ITD128" s="751"/>
      <c r="ITE128" s="751"/>
      <c r="ITF128" s="751"/>
      <c r="ITG128" s="751"/>
      <c r="ITH128" s="751"/>
      <c r="ITI128" s="751"/>
      <c r="ITJ128" s="751"/>
      <c r="ITK128" s="751"/>
      <c r="ITL128" s="751"/>
      <c r="ITM128" s="751"/>
      <c r="ITN128" s="751"/>
      <c r="ITO128" s="751"/>
      <c r="ITP128" s="751"/>
      <c r="ITQ128" s="751"/>
      <c r="ITR128" s="751"/>
      <c r="ITS128" s="751"/>
      <c r="ITT128" s="751"/>
      <c r="ITU128" s="751"/>
      <c r="ITV128" s="751"/>
      <c r="ITW128" s="751"/>
      <c r="ITX128" s="751"/>
      <c r="ITY128" s="751"/>
      <c r="ITZ128" s="751"/>
      <c r="IUA128" s="751"/>
      <c r="IUB128" s="751"/>
      <c r="IUC128" s="751"/>
      <c r="IUD128" s="751"/>
      <c r="IUE128" s="751"/>
      <c r="IUF128" s="751"/>
      <c r="IUG128" s="751"/>
      <c r="IUH128" s="751"/>
      <c r="IUI128" s="751"/>
      <c r="IUJ128" s="751"/>
      <c r="IUK128" s="751"/>
      <c r="IUL128" s="751"/>
      <c r="IUM128" s="751"/>
      <c r="IUN128" s="751"/>
      <c r="IUO128" s="751"/>
      <c r="IUP128" s="751"/>
      <c r="IUQ128" s="751"/>
      <c r="IUR128" s="751"/>
      <c r="IUS128" s="751"/>
      <c r="IUT128" s="751"/>
      <c r="IUU128" s="751"/>
      <c r="IUV128" s="751"/>
      <c r="IUW128" s="751"/>
      <c r="IUX128" s="751"/>
      <c r="IUY128" s="751"/>
      <c r="IUZ128" s="751"/>
      <c r="IVA128" s="751"/>
      <c r="IVB128" s="751"/>
      <c r="IVC128" s="751"/>
      <c r="IVD128" s="751"/>
      <c r="IVE128" s="751"/>
      <c r="IVF128" s="751"/>
      <c r="IVG128" s="751"/>
      <c r="IVH128" s="751"/>
      <c r="IVI128" s="751"/>
      <c r="IVJ128" s="751"/>
      <c r="IVK128" s="751"/>
      <c r="IVL128" s="751"/>
      <c r="IVM128" s="751"/>
      <c r="IVN128" s="751"/>
      <c r="IVO128" s="751"/>
      <c r="IVP128" s="751"/>
      <c r="IVQ128" s="751"/>
      <c r="IVR128" s="751"/>
      <c r="IVS128" s="751"/>
      <c r="IVT128" s="751"/>
      <c r="IVU128" s="751"/>
      <c r="IVV128" s="751"/>
      <c r="IVW128" s="751"/>
      <c r="IVX128" s="751"/>
      <c r="IVY128" s="751"/>
      <c r="IVZ128" s="751"/>
      <c r="IWA128" s="751"/>
      <c r="IWB128" s="751"/>
      <c r="IWC128" s="751"/>
      <c r="IWD128" s="751"/>
      <c r="IWE128" s="751"/>
      <c r="IWF128" s="751"/>
      <c r="IWG128" s="751"/>
      <c r="IWH128" s="751"/>
      <c r="IWI128" s="751"/>
      <c r="IWJ128" s="751"/>
      <c r="IWK128" s="751"/>
      <c r="IWL128" s="751"/>
      <c r="IWM128" s="751"/>
      <c r="IWN128" s="751"/>
      <c r="IWO128" s="751"/>
      <c r="IWP128" s="751"/>
      <c r="IWQ128" s="751"/>
      <c r="IWR128" s="751"/>
      <c r="IWS128" s="751"/>
      <c r="IWT128" s="751"/>
      <c r="IWU128" s="751"/>
      <c r="IWV128" s="751"/>
      <c r="IWW128" s="751"/>
      <c r="IWX128" s="751"/>
      <c r="IWY128" s="751"/>
      <c r="IWZ128" s="751"/>
      <c r="IXA128" s="751"/>
      <c r="IXB128" s="751"/>
      <c r="IXC128" s="751"/>
      <c r="IXD128" s="751"/>
      <c r="IXE128" s="751"/>
      <c r="IXF128" s="751"/>
      <c r="IXG128" s="751"/>
      <c r="IXH128" s="751"/>
      <c r="IXI128" s="751"/>
      <c r="IXJ128" s="751"/>
      <c r="IXK128" s="751"/>
      <c r="IXL128" s="751"/>
      <c r="IXM128" s="751"/>
      <c r="IXN128" s="751"/>
      <c r="IXO128" s="751"/>
      <c r="IXP128" s="751"/>
      <c r="IXQ128" s="751"/>
      <c r="IXR128" s="751"/>
      <c r="IXS128" s="751"/>
      <c r="IXT128" s="751"/>
      <c r="IXU128" s="751"/>
      <c r="IXV128" s="751"/>
      <c r="IXW128" s="751"/>
      <c r="IXX128" s="751"/>
      <c r="IXY128" s="751"/>
      <c r="IXZ128" s="751"/>
      <c r="IYA128" s="751"/>
      <c r="IYB128" s="751"/>
      <c r="IYC128" s="751"/>
      <c r="IYD128" s="751"/>
      <c r="IYE128" s="751"/>
      <c r="IYF128" s="751"/>
      <c r="IYG128" s="751"/>
      <c r="IYH128" s="751"/>
      <c r="IYI128" s="751"/>
      <c r="IYJ128" s="751"/>
      <c r="IYK128" s="751"/>
      <c r="IYL128" s="751"/>
      <c r="IYM128" s="751"/>
      <c r="IYN128" s="751"/>
      <c r="IYO128" s="751"/>
      <c r="IYP128" s="751"/>
      <c r="IYQ128" s="751"/>
      <c r="IYR128" s="751"/>
      <c r="IYS128" s="751"/>
      <c r="IYT128" s="751"/>
      <c r="IYU128" s="751"/>
      <c r="IYV128" s="751"/>
      <c r="IYW128" s="751"/>
      <c r="IYX128" s="751"/>
      <c r="IYY128" s="751"/>
      <c r="IYZ128" s="751"/>
      <c r="IZA128" s="751"/>
      <c r="IZB128" s="751"/>
      <c r="IZC128" s="751"/>
      <c r="IZD128" s="751"/>
      <c r="IZE128" s="751"/>
      <c r="IZF128" s="751"/>
      <c r="IZG128" s="751"/>
      <c r="IZH128" s="751"/>
      <c r="IZI128" s="751"/>
      <c r="IZJ128" s="751"/>
      <c r="IZK128" s="751"/>
      <c r="IZL128" s="751"/>
      <c r="IZM128" s="751"/>
      <c r="IZN128" s="751"/>
      <c r="IZO128" s="751"/>
      <c r="IZP128" s="751"/>
      <c r="IZQ128" s="751"/>
      <c r="IZR128" s="751"/>
      <c r="IZS128" s="751"/>
      <c r="IZT128" s="751"/>
      <c r="IZU128" s="751"/>
      <c r="IZV128" s="751"/>
      <c r="IZW128" s="751"/>
      <c r="IZX128" s="751"/>
      <c r="IZY128" s="751"/>
      <c r="IZZ128" s="751"/>
      <c r="JAA128" s="751"/>
      <c r="JAB128" s="751"/>
      <c r="JAC128" s="751"/>
      <c r="JAD128" s="751"/>
      <c r="JAE128" s="751"/>
      <c r="JAF128" s="751"/>
      <c r="JAG128" s="751"/>
      <c r="JAH128" s="751"/>
      <c r="JAI128" s="751"/>
      <c r="JAJ128" s="751"/>
      <c r="JAK128" s="751"/>
      <c r="JAL128" s="751"/>
      <c r="JAM128" s="751"/>
      <c r="JAN128" s="751"/>
      <c r="JAO128" s="751"/>
      <c r="JAP128" s="751"/>
      <c r="JAQ128" s="751"/>
      <c r="JAR128" s="751"/>
      <c r="JAS128" s="751"/>
      <c r="JAT128" s="751"/>
      <c r="JAU128" s="751"/>
      <c r="JAV128" s="751"/>
      <c r="JAW128" s="751"/>
      <c r="JAX128" s="751"/>
      <c r="JAY128" s="751"/>
      <c r="JAZ128" s="751"/>
      <c r="JBA128" s="751"/>
      <c r="JBB128" s="751"/>
      <c r="JBC128" s="751"/>
      <c r="JBD128" s="751"/>
      <c r="JBE128" s="751"/>
      <c r="JBF128" s="751"/>
      <c r="JBG128" s="751"/>
      <c r="JBH128" s="751"/>
      <c r="JBI128" s="751"/>
      <c r="JBJ128" s="751"/>
      <c r="JBK128" s="751"/>
      <c r="JBL128" s="751"/>
      <c r="JBM128" s="751"/>
      <c r="JBN128" s="751"/>
      <c r="JBO128" s="751"/>
      <c r="JBP128" s="751"/>
      <c r="JBQ128" s="751"/>
      <c r="JBR128" s="751"/>
      <c r="JBS128" s="751"/>
      <c r="JBT128" s="751"/>
      <c r="JBU128" s="751"/>
      <c r="JBV128" s="751"/>
      <c r="JBW128" s="751"/>
      <c r="JBX128" s="751"/>
      <c r="JBY128" s="751"/>
      <c r="JBZ128" s="751"/>
      <c r="JCA128" s="751"/>
      <c r="JCB128" s="751"/>
      <c r="JCC128" s="751"/>
      <c r="JCD128" s="751"/>
      <c r="JCE128" s="751"/>
      <c r="JCF128" s="751"/>
      <c r="JCG128" s="751"/>
      <c r="JCH128" s="751"/>
      <c r="JCI128" s="751"/>
      <c r="JCJ128" s="751"/>
      <c r="JCK128" s="751"/>
      <c r="JCL128" s="751"/>
      <c r="JCM128" s="751"/>
      <c r="JCN128" s="751"/>
      <c r="JCO128" s="751"/>
      <c r="JCP128" s="751"/>
      <c r="JCQ128" s="751"/>
      <c r="JCR128" s="751"/>
      <c r="JCS128" s="751"/>
      <c r="JCT128" s="751"/>
      <c r="JCU128" s="751"/>
      <c r="JCV128" s="751"/>
      <c r="JCW128" s="751"/>
      <c r="JCX128" s="751"/>
      <c r="JCY128" s="751"/>
      <c r="JCZ128" s="751"/>
      <c r="JDA128" s="751"/>
      <c r="JDB128" s="751"/>
      <c r="JDC128" s="751"/>
      <c r="JDD128" s="751"/>
      <c r="JDE128" s="751"/>
      <c r="JDF128" s="751"/>
      <c r="JDG128" s="751"/>
      <c r="JDH128" s="751"/>
      <c r="JDI128" s="751"/>
      <c r="JDJ128" s="751"/>
      <c r="JDK128" s="751"/>
      <c r="JDL128" s="751"/>
      <c r="JDM128" s="751"/>
      <c r="JDN128" s="751"/>
      <c r="JDO128" s="751"/>
      <c r="JDP128" s="751"/>
      <c r="JDQ128" s="751"/>
      <c r="JDR128" s="751"/>
      <c r="JDS128" s="751"/>
      <c r="JDT128" s="751"/>
      <c r="JDU128" s="751"/>
      <c r="JDV128" s="751"/>
      <c r="JDW128" s="751"/>
      <c r="JDX128" s="751"/>
      <c r="JDY128" s="751"/>
      <c r="JDZ128" s="751"/>
      <c r="JEA128" s="751"/>
      <c r="JEB128" s="751"/>
      <c r="JEC128" s="751"/>
      <c r="JED128" s="751"/>
      <c r="JEE128" s="751"/>
      <c r="JEF128" s="751"/>
      <c r="JEG128" s="751"/>
      <c r="JEH128" s="751"/>
      <c r="JEI128" s="751"/>
      <c r="JEJ128" s="751"/>
      <c r="JEK128" s="751"/>
      <c r="JEL128" s="751"/>
      <c r="JEM128" s="751"/>
      <c r="JEN128" s="751"/>
      <c r="JEO128" s="751"/>
      <c r="JEP128" s="751"/>
      <c r="JEQ128" s="751"/>
      <c r="JER128" s="751"/>
      <c r="JES128" s="751"/>
      <c r="JET128" s="751"/>
      <c r="JEU128" s="751"/>
      <c r="JEV128" s="751"/>
      <c r="JEW128" s="751"/>
      <c r="JEX128" s="751"/>
      <c r="JEY128" s="751"/>
      <c r="JEZ128" s="751"/>
      <c r="JFA128" s="751"/>
      <c r="JFB128" s="751"/>
      <c r="JFC128" s="751"/>
      <c r="JFD128" s="751"/>
      <c r="JFE128" s="751"/>
      <c r="JFF128" s="751"/>
      <c r="JFG128" s="751"/>
      <c r="JFH128" s="751"/>
      <c r="JFI128" s="751"/>
      <c r="JFJ128" s="751"/>
      <c r="JFK128" s="751"/>
      <c r="JFL128" s="751"/>
      <c r="JFM128" s="751"/>
      <c r="JFN128" s="751"/>
      <c r="JFO128" s="751"/>
      <c r="JFP128" s="751"/>
      <c r="JFQ128" s="751"/>
      <c r="JFR128" s="751"/>
      <c r="JFS128" s="751"/>
      <c r="JFT128" s="751"/>
      <c r="JFU128" s="751"/>
      <c r="JFV128" s="751"/>
      <c r="JFW128" s="751"/>
      <c r="JFX128" s="751"/>
      <c r="JFY128" s="751"/>
      <c r="JFZ128" s="751"/>
      <c r="JGA128" s="751"/>
      <c r="JGB128" s="751"/>
      <c r="JGC128" s="751"/>
      <c r="JGD128" s="751"/>
      <c r="JGE128" s="751"/>
      <c r="JGF128" s="751"/>
      <c r="JGG128" s="751"/>
      <c r="JGH128" s="751"/>
      <c r="JGI128" s="751"/>
      <c r="JGJ128" s="751"/>
      <c r="JGK128" s="751"/>
      <c r="JGL128" s="751"/>
      <c r="JGM128" s="751"/>
      <c r="JGN128" s="751"/>
      <c r="JGO128" s="751"/>
      <c r="JGP128" s="751"/>
      <c r="JGQ128" s="751"/>
      <c r="JGR128" s="751"/>
      <c r="JGS128" s="751"/>
      <c r="JGT128" s="751"/>
      <c r="JGU128" s="751"/>
      <c r="JGV128" s="751"/>
      <c r="JGW128" s="751"/>
      <c r="JGX128" s="751"/>
      <c r="JGY128" s="751"/>
      <c r="JGZ128" s="751"/>
      <c r="JHA128" s="751"/>
      <c r="JHB128" s="751"/>
      <c r="JHC128" s="751"/>
      <c r="JHD128" s="751"/>
      <c r="JHE128" s="751"/>
      <c r="JHF128" s="751"/>
      <c r="JHG128" s="751"/>
      <c r="JHH128" s="751"/>
      <c r="JHI128" s="751"/>
      <c r="JHJ128" s="751"/>
      <c r="JHK128" s="751"/>
      <c r="JHL128" s="751"/>
      <c r="JHM128" s="751"/>
      <c r="JHN128" s="751"/>
      <c r="JHO128" s="751"/>
      <c r="JHP128" s="751"/>
      <c r="JHQ128" s="751"/>
      <c r="JHR128" s="751"/>
      <c r="JHS128" s="751"/>
      <c r="JHT128" s="751"/>
      <c r="JHU128" s="751"/>
      <c r="JHV128" s="751"/>
      <c r="JHW128" s="751"/>
      <c r="JHX128" s="751"/>
      <c r="JHY128" s="751"/>
      <c r="JHZ128" s="751"/>
      <c r="JIA128" s="751"/>
      <c r="JIB128" s="751"/>
      <c r="JIC128" s="751"/>
      <c r="JID128" s="751"/>
      <c r="JIE128" s="751"/>
      <c r="JIF128" s="751"/>
      <c r="JIG128" s="751"/>
      <c r="JIH128" s="751"/>
      <c r="JII128" s="751"/>
      <c r="JIJ128" s="751"/>
      <c r="JIK128" s="751"/>
      <c r="JIL128" s="751"/>
      <c r="JIM128" s="751"/>
      <c r="JIN128" s="751"/>
      <c r="JIO128" s="751"/>
      <c r="JIP128" s="751"/>
      <c r="JIQ128" s="751"/>
      <c r="JIR128" s="751"/>
      <c r="JIS128" s="751"/>
      <c r="JIT128" s="751"/>
      <c r="JIU128" s="751"/>
      <c r="JIV128" s="751"/>
      <c r="JIW128" s="751"/>
      <c r="JIX128" s="751"/>
      <c r="JIY128" s="751"/>
      <c r="JIZ128" s="751"/>
      <c r="JJA128" s="751"/>
      <c r="JJB128" s="751"/>
      <c r="JJC128" s="751"/>
      <c r="JJD128" s="751"/>
      <c r="JJE128" s="751"/>
      <c r="JJF128" s="751"/>
      <c r="JJG128" s="751"/>
      <c r="JJH128" s="751"/>
      <c r="JJI128" s="751"/>
      <c r="JJJ128" s="751"/>
      <c r="JJK128" s="751"/>
      <c r="JJL128" s="751"/>
      <c r="JJM128" s="751"/>
      <c r="JJN128" s="751"/>
      <c r="JJO128" s="751"/>
      <c r="JJP128" s="751"/>
      <c r="JJQ128" s="751"/>
      <c r="JJR128" s="751"/>
      <c r="JJS128" s="751"/>
      <c r="JJT128" s="751"/>
      <c r="JJU128" s="751"/>
      <c r="JJV128" s="751"/>
      <c r="JJW128" s="751"/>
      <c r="JJX128" s="751"/>
      <c r="JJY128" s="751"/>
      <c r="JJZ128" s="751"/>
      <c r="JKA128" s="751"/>
      <c r="JKB128" s="751"/>
      <c r="JKC128" s="751"/>
      <c r="JKD128" s="751"/>
      <c r="JKE128" s="751"/>
      <c r="JKF128" s="751"/>
      <c r="JKG128" s="751"/>
      <c r="JKH128" s="751"/>
      <c r="JKI128" s="751"/>
      <c r="JKJ128" s="751"/>
      <c r="JKK128" s="751"/>
      <c r="JKL128" s="751"/>
      <c r="JKM128" s="751"/>
      <c r="JKN128" s="751"/>
      <c r="JKO128" s="751"/>
      <c r="JKP128" s="751"/>
      <c r="JKQ128" s="751"/>
      <c r="JKR128" s="751"/>
      <c r="JKS128" s="751"/>
      <c r="JKT128" s="751"/>
      <c r="JKU128" s="751"/>
      <c r="JKV128" s="751"/>
      <c r="JKW128" s="751"/>
      <c r="JKX128" s="751"/>
      <c r="JKY128" s="751"/>
      <c r="JKZ128" s="751"/>
      <c r="JLA128" s="751"/>
      <c r="JLB128" s="751"/>
      <c r="JLC128" s="751"/>
      <c r="JLD128" s="751"/>
      <c r="JLE128" s="751"/>
      <c r="JLF128" s="751"/>
      <c r="JLG128" s="751"/>
      <c r="JLH128" s="751"/>
      <c r="JLI128" s="751"/>
      <c r="JLJ128" s="751"/>
      <c r="JLK128" s="751"/>
      <c r="JLL128" s="751"/>
      <c r="JLM128" s="751"/>
      <c r="JLN128" s="751"/>
      <c r="JLO128" s="751"/>
      <c r="JLP128" s="751"/>
      <c r="JLQ128" s="751"/>
      <c r="JLR128" s="751"/>
      <c r="JLS128" s="751"/>
      <c r="JLT128" s="751"/>
      <c r="JLU128" s="751"/>
      <c r="JLV128" s="751"/>
      <c r="JLW128" s="751"/>
      <c r="JLX128" s="751"/>
      <c r="JLY128" s="751"/>
      <c r="JLZ128" s="751"/>
      <c r="JMA128" s="751"/>
      <c r="JMB128" s="751"/>
      <c r="JMC128" s="751"/>
      <c r="JMD128" s="751"/>
      <c r="JME128" s="751"/>
      <c r="JMF128" s="751"/>
      <c r="JMG128" s="751"/>
      <c r="JMH128" s="751"/>
      <c r="JMI128" s="751"/>
      <c r="JMJ128" s="751"/>
      <c r="JMK128" s="751"/>
      <c r="JML128" s="751"/>
      <c r="JMM128" s="751"/>
      <c r="JMN128" s="751"/>
      <c r="JMO128" s="751"/>
      <c r="JMP128" s="751"/>
      <c r="JMQ128" s="751"/>
      <c r="JMR128" s="751"/>
      <c r="JMS128" s="751"/>
      <c r="JMT128" s="751"/>
      <c r="JMU128" s="751"/>
      <c r="JMV128" s="751"/>
      <c r="JMW128" s="751"/>
      <c r="JMX128" s="751"/>
      <c r="JMY128" s="751"/>
      <c r="JMZ128" s="751"/>
      <c r="JNA128" s="751"/>
      <c r="JNB128" s="751"/>
      <c r="JNC128" s="751"/>
      <c r="JND128" s="751"/>
      <c r="JNE128" s="751"/>
      <c r="JNF128" s="751"/>
      <c r="JNG128" s="751"/>
      <c r="JNH128" s="751"/>
      <c r="JNI128" s="751"/>
      <c r="JNJ128" s="751"/>
      <c r="JNK128" s="751"/>
      <c r="JNL128" s="751"/>
      <c r="JNM128" s="751"/>
      <c r="JNN128" s="751"/>
      <c r="JNO128" s="751"/>
      <c r="JNP128" s="751"/>
      <c r="JNQ128" s="751"/>
      <c r="JNR128" s="751"/>
      <c r="JNS128" s="751"/>
      <c r="JNT128" s="751"/>
      <c r="JNU128" s="751"/>
      <c r="JNV128" s="751"/>
      <c r="JNW128" s="751"/>
      <c r="JNX128" s="751"/>
      <c r="JNY128" s="751"/>
      <c r="JNZ128" s="751"/>
      <c r="JOA128" s="751"/>
      <c r="JOB128" s="751"/>
      <c r="JOC128" s="751"/>
      <c r="JOD128" s="751"/>
      <c r="JOE128" s="751"/>
      <c r="JOF128" s="751"/>
      <c r="JOG128" s="751"/>
      <c r="JOH128" s="751"/>
      <c r="JOI128" s="751"/>
      <c r="JOJ128" s="751"/>
      <c r="JOK128" s="751"/>
      <c r="JOL128" s="751"/>
      <c r="JOM128" s="751"/>
      <c r="JON128" s="751"/>
      <c r="JOO128" s="751"/>
      <c r="JOP128" s="751"/>
      <c r="JOQ128" s="751"/>
      <c r="JOR128" s="751"/>
      <c r="JOS128" s="751"/>
      <c r="JOT128" s="751"/>
      <c r="JOU128" s="751"/>
      <c r="JOV128" s="751"/>
      <c r="JOW128" s="751"/>
      <c r="JOX128" s="751"/>
      <c r="JOY128" s="751"/>
      <c r="JOZ128" s="751"/>
      <c r="JPA128" s="751"/>
      <c r="JPB128" s="751"/>
      <c r="JPC128" s="751"/>
      <c r="JPD128" s="751"/>
      <c r="JPE128" s="751"/>
      <c r="JPF128" s="751"/>
      <c r="JPG128" s="751"/>
      <c r="JPH128" s="751"/>
      <c r="JPI128" s="751"/>
      <c r="JPJ128" s="751"/>
      <c r="JPK128" s="751"/>
      <c r="JPL128" s="751"/>
      <c r="JPM128" s="751"/>
      <c r="JPN128" s="751"/>
      <c r="JPO128" s="751"/>
      <c r="JPP128" s="751"/>
      <c r="JPQ128" s="751"/>
      <c r="JPR128" s="751"/>
      <c r="JPS128" s="751"/>
      <c r="JPT128" s="751"/>
      <c r="JPU128" s="751"/>
      <c r="JPV128" s="751"/>
      <c r="JPW128" s="751"/>
      <c r="JPX128" s="751"/>
      <c r="JPY128" s="751"/>
      <c r="JPZ128" s="751"/>
      <c r="JQA128" s="751"/>
      <c r="JQB128" s="751"/>
      <c r="JQC128" s="751"/>
      <c r="JQD128" s="751"/>
      <c r="JQE128" s="751"/>
      <c r="JQF128" s="751"/>
      <c r="JQG128" s="751"/>
      <c r="JQH128" s="751"/>
      <c r="JQI128" s="751"/>
      <c r="JQJ128" s="751"/>
      <c r="JQK128" s="751"/>
      <c r="JQL128" s="751"/>
      <c r="JQM128" s="751"/>
      <c r="JQN128" s="751"/>
      <c r="JQO128" s="751"/>
      <c r="JQP128" s="751"/>
      <c r="JQQ128" s="751"/>
      <c r="JQR128" s="751"/>
      <c r="JQS128" s="751"/>
      <c r="JQT128" s="751"/>
      <c r="JQU128" s="751"/>
      <c r="JQV128" s="751"/>
      <c r="JQW128" s="751"/>
      <c r="JQX128" s="751"/>
      <c r="JQY128" s="751"/>
      <c r="JQZ128" s="751"/>
      <c r="JRA128" s="751"/>
      <c r="JRB128" s="751"/>
      <c r="JRC128" s="751"/>
      <c r="JRD128" s="751"/>
      <c r="JRE128" s="751"/>
      <c r="JRF128" s="751"/>
      <c r="JRG128" s="751"/>
      <c r="JRH128" s="751"/>
      <c r="JRI128" s="751"/>
      <c r="JRJ128" s="751"/>
      <c r="JRK128" s="751"/>
      <c r="JRL128" s="751"/>
      <c r="JRM128" s="751"/>
      <c r="JRN128" s="751"/>
      <c r="JRO128" s="751"/>
      <c r="JRP128" s="751"/>
      <c r="JRQ128" s="751"/>
      <c r="JRR128" s="751"/>
      <c r="JRS128" s="751"/>
      <c r="JRT128" s="751"/>
      <c r="JRU128" s="751"/>
      <c r="JRV128" s="751"/>
      <c r="JRW128" s="751"/>
      <c r="JRX128" s="751"/>
      <c r="JRY128" s="751"/>
      <c r="JRZ128" s="751"/>
      <c r="JSA128" s="751"/>
      <c r="JSB128" s="751"/>
      <c r="JSC128" s="751"/>
      <c r="JSD128" s="751"/>
      <c r="JSE128" s="751"/>
      <c r="JSF128" s="751"/>
      <c r="JSG128" s="751"/>
      <c r="JSH128" s="751"/>
      <c r="JSI128" s="751"/>
      <c r="JSJ128" s="751"/>
      <c r="JSK128" s="751"/>
      <c r="JSL128" s="751"/>
      <c r="JSM128" s="751"/>
      <c r="JSN128" s="751"/>
      <c r="JSO128" s="751"/>
      <c r="JSP128" s="751"/>
      <c r="JSQ128" s="751"/>
      <c r="JSR128" s="751"/>
      <c r="JSS128" s="751"/>
      <c r="JST128" s="751"/>
      <c r="JSU128" s="751"/>
      <c r="JSV128" s="751"/>
      <c r="JSW128" s="751"/>
      <c r="JSX128" s="751"/>
      <c r="JSY128" s="751"/>
      <c r="JSZ128" s="751"/>
      <c r="JTA128" s="751"/>
      <c r="JTB128" s="751"/>
      <c r="JTC128" s="751"/>
      <c r="JTD128" s="751"/>
      <c r="JTE128" s="751"/>
      <c r="JTF128" s="751"/>
      <c r="JTG128" s="751"/>
      <c r="JTH128" s="751"/>
      <c r="JTI128" s="751"/>
      <c r="JTJ128" s="751"/>
      <c r="JTK128" s="751"/>
      <c r="JTL128" s="751"/>
      <c r="JTM128" s="751"/>
      <c r="JTN128" s="751"/>
      <c r="JTO128" s="751"/>
      <c r="JTP128" s="751"/>
      <c r="JTQ128" s="751"/>
      <c r="JTR128" s="751"/>
      <c r="JTS128" s="751"/>
      <c r="JTT128" s="751"/>
      <c r="JTU128" s="751"/>
      <c r="JTV128" s="751"/>
      <c r="JTW128" s="751"/>
      <c r="JTX128" s="751"/>
      <c r="JTY128" s="751"/>
      <c r="JTZ128" s="751"/>
      <c r="JUA128" s="751"/>
      <c r="JUB128" s="751"/>
      <c r="JUC128" s="751"/>
      <c r="JUD128" s="751"/>
      <c r="JUE128" s="751"/>
      <c r="JUF128" s="751"/>
      <c r="JUG128" s="751"/>
      <c r="JUH128" s="751"/>
      <c r="JUI128" s="751"/>
      <c r="JUJ128" s="751"/>
      <c r="JUK128" s="751"/>
      <c r="JUL128" s="751"/>
      <c r="JUM128" s="751"/>
      <c r="JUN128" s="751"/>
      <c r="JUO128" s="751"/>
      <c r="JUP128" s="751"/>
      <c r="JUQ128" s="751"/>
      <c r="JUR128" s="751"/>
      <c r="JUS128" s="751"/>
      <c r="JUT128" s="751"/>
      <c r="JUU128" s="751"/>
      <c r="JUV128" s="751"/>
      <c r="JUW128" s="751"/>
      <c r="JUX128" s="751"/>
      <c r="JUY128" s="751"/>
      <c r="JUZ128" s="751"/>
      <c r="JVA128" s="751"/>
      <c r="JVB128" s="751"/>
      <c r="JVC128" s="751"/>
      <c r="JVD128" s="751"/>
      <c r="JVE128" s="751"/>
      <c r="JVF128" s="751"/>
      <c r="JVG128" s="751"/>
      <c r="JVH128" s="751"/>
      <c r="JVI128" s="751"/>
      <c r="JVJ128" s="751"/>
      <c r="JVK128" s="751"/>
      <c r="JVL128" s="751"/>
      <c r="JVM128" s="751"/>
      <c r="JVN128" s="751"/>
      <c r="JVO128" s="751"/>
      <c r="JVP128" s="751"/>
      <c r="JVQ128" s="751"/>
      <c r="JVR128" s="751"/>
      <c r="JVS128" s="751"/>
      <c r="JVT128" s="751"/>
      <c r="JVU128" s="751"/>
      <c r="JVV128" s="751"/>
      <c r="JVW128" s="751"/>
      <c r="JVX128" s="751"/>
      <c r="JVY128" s="751"/>
      <c r="JVZ128" s="751"/>
      <c r="JWA128" s="751"/>
      <c r="JWB128" s="751"/>
      <c r="JWC128" s="751"/>
      <c r="JWD128" s="751"/>
      <c r="JWE128" s="751"/>
      <c r="JWF128" s="751"/>
      <c r="JWG128" s="751"/>
      <c r="JWH128" s="751"/>
      <c r="JWI128" s="751"/>
      <c r="JWJ128" s="751"/>
      <c r="JWK128" s="751"/>
      <c r="JWL128" s="751"/>
      <c r="JWM128" s="751"/>
      <c r="JWN128" s="751"/>
      <c r="JWO128" s="751"/>
      <c r="JWP128" s="751"/>
      <c r="JWQ128" s="751"/>
      <c r="JWR128" s="751"/>
      <c r="JWS128" s="751"/>
      <c r="JWT128" s="751"/>
      <c r="JWU128" s="751"/>
      <c r="JWV128" s="751"/>
      <c r="JWW128" s="751"/>
      <c r="JWX128" s="751"/>
      <c r="JWY128" s="751"/>
      <c r="JWZ128" s="751"/>
      <c r="JXA128" s="751"/>
      <c r="JXB128" s="751"/>
      <c r="JXC128" s="751"/>
      <c r="JXD128" s="751"/>
      <c r="JXE128" s="751"/>
      <c r="JXF128" s="751"/>
      <c r="JXG128" s="751"/>
      <c r="JXH128" s="751"/>
      <c r="JXI128" s="751"/>
      <c r="JXJ128" s="751"/>
      <c r="JXK128" s="751"/>
      <c r="JXL128" s="751"/>
      <c r="JXM128" s="751"/>
      <c r="JXN128" s="751"/>
      <c r="JXO128" s="751"/>
      <c r="JXP128" s="751"/>
      <c r="JXQ128" s="751"/>
      <c r="JXR128" s="751"/>
      <c r="JXS128" s="751"/>
      <c r="JXT128" s="751"/>
      <c r="JXU128" s="751"/>
      <c r="JXV128" s="751"/>
      <c r="JXW128" s="751"/>
      <c r="JXX128" s="751"/>
      <c r="JXY128" s="751"/>
      <c r="JXZ128" s="751"/>
      <c r="JYA128" s="751"/>
      <c r="JYB128" s="751"/>
      <c r="JYC128" s="751"/>
      <c r="JYD128" s="751"/>
      <c r="JYE128" s="751"/>
      <c r="JYF128" s="751"/>
      <c r="JYG128" s="751"/>
      <c r="JYH128" s="751"/>
      <c r="JYI128" s="751"/>
      <c r="JYJ128" s="751"/>
      <c r="JYK128" s="751"/>
      <c r="JYL128" s="751"/>
      <c r="JYM128" s="751"/>
      <c r="JYN128" s="751"/>
      <c r="JYO128" s="751"/>
      <c r="JYP128" s="751"/>
      <c r="JYQ128" s="751"/>
      <c r="JYR128" s="751"/>
      <c r="JYS128" s="751"/>
      <c r="JYT128" s="751"/>
      <c r="JYU128" s="751"/>
      <c r="JYV128" s="751"/>
      <c r="JYW128" s="751"/>
      <c r="JYX128" s="751"/>
      <c r="JYY128" s="751"/>
      <c r="JYZ128" s="751"/>
      <c r="JZA128" s="751"/>
      <c r="JZB128" s="751"/>
      <c r="JZC128" s="751"/>
      <c r="JZD128" s="751"/>
      <c r="JZE128" s="751"/>
      <c r="JZF128" s="751"/>
      <c r="JZG128" s="751"/>
      <c r="JZH128" s="751"/>
      <c r="JZI128" s="751"/>
      <c r="JZJ128" s="751"/>
      <c r="JZK128" s="751"/>
      <c r="JZL128" s="751"/>
      <c r="JZM128" s="751"/>
      <c r="JZN128" s="751"/>
      <c r="JZO128" s="751"/>
      <c r="JZP128" s="751"/>
      <c r="JZQ128" s="751"/>
      <c r="JZR128" s="751"/>
      <c r="JZS128" s="751"/>
      <c r="JZT128" s="751"/>
      <c r="JZU128" s="751"/>
      <c r="JZV128" s="751"/>
      <c r="JZW128" s="751"/>
      <c r="JZX128" s="751"/>
      <c r="JZY128" s="751"/>
      <c r="JZZ128" s="751"/>
      <c r="KAA128" s="751"/>
      <c r="KAB128" s="751"/>
      <c r="KAC128" s="751"/>
      <c r="KAD128" s="751"/>
      <c r="KAE128" s="751"/>
      <c r="KAF128" s="751"/>
      <c r="KAG128" s="751"/>
      <c r="KAH128" s="751"/>
      <c r="KAI128" s="751"/>
      <c r="KAJ128" s="751"/>
      <c r="KAK128" s="751"/>
      <c r="KAL128" s="751"/>
      <c r="KAM128" s="751"/>
      <c r="KAN128" s="751"/>
      <c r="KAO128" s="751"/>
      <c r="KAP128" s="751"/>
      <c r="KAQ128" s="751"/>
      <c r="KAR128" s="751"/>
      <c r="KAS128" s="751"/>
      <c r="KAT128" s="751"/>
      <c r="KAU128" s="751"/>
      <c r="KAV128" s="751"/>
      <c r="KAW128" s="751"/>
      <c r="KAX128" s="751"/>
      <c r="KAY128" s="751"/>
      <c r="KAZ128" s="751"/>
      <c r="KBA128" s="751"/>
      <c r="KBB128" s="751"/>
      <c r="KBC128" s="751"/>
      <c r="KBD128" s="751"/>
      <c r="KBE128" s="751"/>
      <c r="KBF128" s="751"/>
      <c r="KBG128" s="751"/>
      <c r="KBH128" s="751"/>
      <c r="KBI128" s="751"/>
      <c r="KBJ128" s="751"/>
      <c r="KBK128" s="751"/>
      <c r="KBL128" s="751"/>
      <c r="KBM128" s="751"/>
      <c r="KBN128" s="751"/>
      <c r="KBO128" s="751"/>
      <c r="KBP128" s="751"/>
      <c r="KBQ128" s="751"/>
      <c r="KBR128" s="751"/>
      <c r="KBS128" s="751"/>
      <c r="KBT128" s="751"/>
      <c r="KBU128" s="751"/>
      <c r="KBV128" s="751"/>
      <c r="KBW128" s="751"/>
      <c r="KBX128" s="751"/>
      <c r="KBY128" s="751"/>
      <c r="KBZ128" s="751"/>
      <c r="KCA128" s="751"/>
      <c r="KCB128" s="751"/>
      <c r="KCC128" s="751"/>
      <c r="KCD128" s="751"/>
      <c r="KCE128" s="751"/>
      <c r="KCF128" s="751"/>
      <c r="KCG128" s="751"/>
      <c r="KCH128" s="751"/>
      <c r="KCI128" s="751"/>
      <c r="KCJ128" s="751"/>
      <c r="KCK128" s="751"/>
      <c r="KCL128" s="751"/>
      <c r="KCM128" s="751"/>
      <c r="KCN128" s="751"/>
      <c r="KCO128" s="751"/>
      <c r="KCP128" s="751"/>
      <c r="KCQ128" s="751"/>
      <c r="KCR128" s="751"/>
      <c r="KCS128" s="751"/>
      <c r="KCT128" s="751"/>
      <c r="KCU128" s="751"/>
      <c r="KCV128" s="751"/>
      <c r="KCW128" s="751"/>
      <c r="KCX128" s="751"/>
      <c r="KCY128" s="751"/>
      <c r="KCZ128" s="751"/>
      <c r="KDA128" s="751"/>
      <c r="KDB128" s="751"/>
      <c r="KDC128" s="751"/>
      <c r="KDD128" s="751"/>
      <c r="KDE128" s="751"/>
      <c r="KDF128" s="751"/>
      <c r="KDG128" s="751"/>
      <c r="KDH128" s="751"/>
      <c r="KDI128" s="751"/>
      <c r="KDJ128" s="751"/>
      <c r="KDK128" s="751"/>
      <c r="KDL128" s="751"/>
      <c r="KDM128" s="751"/>
      <c r="KDN128" s="751"/>
      <c r="KDO128" s="751"/>
      <c r="KDP128" s="751"/>
      <c r="KDQ128" s="751"/>
      <c r="KDR128" s="751"/>
      <c r="KDS128" s="751"/>
      <c r="KDT128" s="751"/>
      <c r="KDU128" s="751"/>
      <c r="KDV128" s="751"/>
      <c r="KDW128" s="751"/>
      <c r="KDX128" s="751"/>
      <c r="KDY128" s="751"/>
      <c r="KDZ128" s="751"/>
      <c r="KEA128" s="751"/>
      <c r="KEB128" s="751"/>
      <c r="KEC128" s="751"/>
      <c r="KED128" s="751"/>
      <c r="KEE128" s="751"/>
      <c r="KEF128" s="751"/>
      <c r="KEG128" s="751"/>
      <c r="KEH128" s="751"/>
      <c r="KEI128" s="751"/>
      <c r="KEJ128" s="751"/>
      <c r="KEK128" s="751"/>
      <c r="KEL128" s="751"/>
      <c r="KEM128" s="751"/>
      <c r="KEN128" s="751"/>
      <c r="KEO128" s="751"/>
      <c r="KEP128" s="751"/>
      <c r="KEQ128" s="751"/>
      <c r="KER128" s="751"/>
      <c r="KES128" s="751"/>
      <c r="KET128" s="751"/>
      <c r="KEU128" s="751"/>
      <c r="KEV128" s="751"/>
      <c r="KEW128" s="751"/>
      <c r="KEX128" s="751"/>
      <c r="KEY128" s="751"/>
      <c r="KEZ128" s="751"/>
      <c r="KFA128" s="751"/>
      <c r="KFB128" s="751"/>
      <c r="KFC128" s="751"/>
      <c r="KFD128" s="751"/>
      <c r="KFE128" s="751"/>
      <c r="KFF128" s="751"/>
      <c r="KFG128" s="751"/>
      <c r="KFH128" s="751"/>
      <c r="KFI128" s="751"/>
      <c r="KFJ128" s="751"/>
      <c r="KFK128" s="751"/>
      <c r="KFL128" s="751"/>
      <c r="KFM128" s="751"/>
      <c r="KFN128" s="751"/>
      <c r="KFO128" s="751"/>
      <c r="KFP128" s="751"/>
      <c r="KFQ128" s="751"/>
      <c r="KFR128" s="751"/>
      <c r="KFS128" s="751"/>
      <c r="KFT128" s="751"/>
      <c r="KFU128" s="751"/>
      <c r="KFV128" s="751"/>
      <c r="KFW128" s="751"/>
      <c r="KFX128" s="751"/>
      <c r="KFY128" s="751"/>
      <c r="KFZ128" s="751"/>
      <c r="KGA128" s="751"/>
      <c r="KGB128" s="751"/>
      <c r="KGC128" s="751"/>
      <c r="KGD128" s="751"/>
      <c r="KGE128" s="751"/>
      <c r="KGF128" s="751"/>
      <c r="KGG128" s="751"/>
      <c r="KGH128" s="751"/>
      <c r="KGI128" s="751"/>
      <c r="KGJ128" s="751"/>
      <c r="KGK128" s="751"/>
      <c r="KGL128" s="751"/>
      <c r="KGM128" s="751"/>
      <c r="KGN128" s="751"/>
      <c r="KGO128" s="751"/>
      <c r="KGP128" s="751"/>
      <c r="KGQ128" s="751"/>
      <c r="KGR128" s="751"/>
      <c r="KGS128" s="751"/>
      <c r="KGT128" s="751"/>
      <c r="KGU128" s="751"/>
      <c r="KGV128" s="751"/>
      <c r="KGW128" s="751"/>
      <c r="KGX128" s="751"/>
      <c r="KGY128" s="751"/>
      <c r="KGZ128" s="751"/>
      <c r="KHA128" s="751"/>
      <c r="KHB128" s="751"/>
      <c r="KHC128" s="751"/>
      <c r="KHD128" s="751"/>
      <c r="KHE128" s="751"/>
      <c r="KHF128" s="751"/>
      <c r="KHG128" s="751"/>
      <c r="KHH128" s="751"/>
      <c r="KHI128" s="751"/>
      <c r="KHJ128" s="751"/>
      <c r="KHK128" s="751"/>
      <c r="KHL128" s="751"/>
      <c r="KHM128" s="751"/>
      <c r="KHN128" s="751"/>
      <c r="KHO128" s="751"/>
      <c r="KHP128" s="751"/>
      <c r="KHQ128" s="751"/>
      <c r="KHR128" s="751"/>
      <c r="KHS128" s="751"/>
      <c r="KHT128" s="751"/>
      <c r="KHU128" s="751"/>
      <c r="KHV128" s="751"/>
      <c r="KHW128" s="751"/>
      <c r="KHX128" s="751"/>
      <c r="KHY128" s="751"/>
      <c r="KHZ128" s="751"/>
      <c r="KIA128" s="751"/>
      <c r="KIB128" s="751"/>
      <c r="KIC128" s="751"/>
      <c r="KID128" s="751"/>
      <c r="KIE128" s="751"/>
      <c r="KIF128" s="751"/>
      <c r="KIG128" s="751"/>
      <c r="KIH128" s="751"/>
      <c r="KII128" s="751"/>
      <c r="KIJ128" s="751"/>
      <c r="KIK128" s="751"/>
      <c r="KIL128" s="751"/>
      <c r="KIM128" s="751"/>
      <c r="KIN128" s="751"/>
      <c r="KIO128" s="751"/>
      <c r="KIP128" s="751"/>
      <c r="KIQ128" s="751"/>
      <c r="KIR128" s="751"/>
      <c r="KIS128" s="751"/>
      <c r="KIT128" s="751"/>
      <c r="KIU128" s="751"/>
      <c r="KIV128" s="751"/>
      <c r="KIW128" s="751"/>
      <c r="KIX128" s="751"/>
      <c r="KIY128" s="751"/>
      <c r="KIZ128" s="751"/>
      <c r="KJA128" s="751"/>
      <c r="KJB128" s="751"/>
      <c r="KJC128" s="751"/>
      <c r="KJD128" s="751"/>
      <c r="KJE128" s="751"/>
      <c r="KJF128" s="751"/>
      <c r="KJG128" s="751"/>
      <c r="KJH128" s="751"/>
      <c r="KJI128" s="751"/>
      <c r="KJJ128" s="751"/>
      <c r="KJK128" s="751"/>
      <c r="KJL128" s="751"/>
      <c r="KJM128" s="751"/>
      <c r="KJN128" s="751"/>
      <c r="KJO128" s="751"/>
      <c r="KJP128" s="751"/>
      <c r="KJQ128" s="751"/>
      <c r="KJR128" s="751"/>
      <c r="KJS128" s="751"/>
      <c r="KJT128" s="751"/>
      <c r="KJU128" s="751"/>
      <c r="KJV128" s="751"/>
      <c r="KJW128" s="751"/>
      <c r="KJX128" s="751"/>
      <c r="KJY128" s="751"/>
      <c r="KJZ128" s="751"/>
      <c r="KKA128" s="751"/>
      <c r="KKB128" s="751"/>
      <c r="KKC128" s="751"/>
      <c r="KKD128" s="751"/>
      <c r="KKE128" s="751"/>
      <c r="KKF128" s="751"/>
      <c r="KKG128" s="751"/>
      <c r="KKH128" s="751"/>
      <c r="KKI128" s="751"/>
      <c r="KKJ128" s="751"/>
      <c r="KKK128" s="751"/>
      <c r="KKL128" s="751"/>
      <c r="KKM128" s="751"/>
      <c r="KKN128" s="751"/>
      <c r="KKO128" s="751"/>
      <c r="KKP128" s="751"/>
      <c r="KKQ128" s="751"/>
      <c r="KKR128" s="751"/>
      <c r="KKS128" s="751"/>
      <c r="KKT128" s="751"/>
      <c r="KKU128" s="751"/>
      <c r="KKV128" s="751"/>
      <c r="KKW128" s="751"/>
      <c r="KKX128" s="751"/>
      <c r="KKY128" s="751"/>
      <c r="KKZ128" s="751"/>
      <c r="KLA128" s="751"/>
      <c r="KLB128" s="751"/>
      <c r="KLC128" s="751"/>
      <c r="KLD128" s="751"/>
      <c r="KLE128" s="751"/>
      <c r="KLF128" s="751"/>
      <c r="KLG128" s="751"/>
      <c r="KLH128" s="751"/>
      <c r="KLI128" s="751"/>
      <c r="KLJ128" s="751"/>
      <c r="KLK128" s="751"/>
      <c r="KLL128" s="751"/>
      <c r="KLM128" s="751"/>
      <c r="KLN128" s="751"/>
      <c r="KLO128" s="751"/>
      <c r="KLP128" s="751"/>
      <c r="KLQ128" s="751"/>
      <c r="KLR128" s="751"/>
      <c r="KLS128" s="751"/>
      <c r="KLT128" s="751"/>
      <c r="KLU128" s="751"/>
      <c r="KLV128" s="751"/>
      <c r="KLW128" s="751"/>
      <c r="KLX128" s="751"/>
      <c r="KLY128" s="751"/>
      <c r="KLZ128" s="751"/>
      <c r="KMA128" s="751"/>
      <c r="KMB128" s="751"/>
      <c r="KMC128" s="751"/>
      <c r="KMD128" s="751"/>
      <c r="KME128" s="751"/>
      <c r="KMF128" s="751"/>
      <c r="KMG128" s="751"/>
      <c r="KMH128" s="751"/>
      <c r="KMI128" s="751"/>
      <c r="KMJ128" s="751"/>
      <c r="KMK128" s="751"/>
      <c r="KML128" s="751"/>
      <c r="KMM128" s="751"/>
      <c r="KMN128" s="751"/>
      <c r="KMO128" s="751"/>
      <c r="KMP128" s="751"/>
      <c r="KMQ128" s="751"/>
      <c r="KMR128" s="751"/>
      <c r="KMS128" s="751"/>
      <c r="KMT128" s="751"/>
      <c r="KMU128" s="751"/>
      <c r="KMV128" s="751"/>
      <c r="KMW128" s="751"/>
      <c r="KMX128" s="751"/>
      <c r="KMY128" s="751"/>
      <c r="KMZ128" s="751"/>
      <c r="KNA128" s="751"/>
      <c r="KNB128" s="751"/>
      <c r="KNC128" s="751"/>
      <c r="KND128" s="751"/>
      <c r="KNE128" s="751"/>
      <c r="KNF128" s="751"/>
      <c r="KNG128" s="751"/>
      <c r="KNH128" s="751"/>
      <c r="KNI128" s="751"/>
      <c r="KNJ128" s="751"/>
      <c r="KNK128" s="751"/>
      <c r="KNL128" s="751"/>
      <c r="KNM128" s="751"/>
      <c r="KNN128" s="751"/>
      <c r="KNO128" s="751"/>
      <c r="KNP128" s="751"/>
      <c r="KNQ128" s="751"/>
      <c r="KNR128" s="751"/>
      <c r="KNS128" s="751"/>
      <c r="KNT128" s="751"/>
      <c r="KNU128" s="751"/>
      <c r="KNV128" s="751"/>
      <c r="KNW128" s="751"/>
      <c r="KNX128" s="751"/>
      <c r="KNY128" s="751"/>
      <c r="KNZ128" s="751"/>
      <c r="KOA128" s="751"/>
      <c r="KOB128" s="751"/>
      <c r="KOC128" s="751"/>
      <c r="KOD128" s="751"/>
      <c r="KOE128" s="751"/>
      <c r="KOF128" s="751"/>
      <c r="KOG128" s="751"/>
      <c r="KOH128" s="751"/>
      <c r="KOI128" s="751"/>
      <c r="KOJ128" s="751"/>
      <c r="KOK128" s="751"/>
      <c r="KOL128" s="751"/>
      <c r="KOM128" s="751"/>
      <c r="KON128" s="751"/>
      <c r="KOO128" s="751"/>
      <c r="KOP128" s="751"/>
      <c r="KOQ128" s="751"/>
      <c r="KOR128" s="751"/>
      <c r="KOS128" s="751"/>
      <c r="KOT128" s="751"/>
      <c r="KOU128" s="751"/>
      <c r="KOV128" s="751"/>
      <c r="KOW128" s="751"/>
      <c r="KOX128" s="751"/>
      <c r="KOY128" s="751"/>
      <c r="KOZ128" s="751"/>
      <c r="KPA128" s="751"/>
      <c r="KPB128" s="751"/>
      <c r="KPC128" s="751"/>
      <c r="KPD128" s="751"/>
      <c r="KPE128" s="751"/>
      <c r="KPF128" s="751"/>
      <c r="KPG128" s="751"/>
      <c r="KPH128" s="751"/>
      <c r="KPI128" s="751"/>
      <c r="KPJ128" s="751"/>
      <c r="KPK128" s="751"/>
      <c r="KPL128" s="751"/>
      <c r="KPM128" s="751"/>
      <c r="KPN128" s="751"/>
      <c r="KPO128" s="751"/>
      <c r="KPP128" s="751"/>
      <c r="KPQ128" s="751"/>
      <c r="KPR128" s="751"/>
      <c r="KPS128" s="751"/>
      <c r="KPT128" s="751"/>
      <c r="KPU128" s="751"/>
      <c r="KPV128" s="751"/>
      <c r="KPW128" s="751"/>
      <c r="KPX128" s="751"/>
      <c r="KPY128" s="751"/>
      <c r="KPZ128" s="751"/>
      <c r="KQA128" s="751"/>
      <c r="KQB128" s="751"/>
      <c r="KQC128" s="751"/>
      <c r="KQD128" s="751"/>
      <c r="KQE128" s="751"/>
      <c r="KQF128" s="751"/>
      <c r="KQG128" s="751"/>
      <c r="KQH128" s="751"/>
      <c r="KQI128" s="751"/>
      <c r="KQJ128" s="751"/>
      <c r="KQK128" s="751"/>
      <c r="KQL128" s="751"/>
      <c r="KQM128" s="751"/>
      <c r="KQN128" s="751"/>
      <c r="KQO128" s="751"/>
      <c r="KQP128" s="751"/>
      <c r="KQQ128" s="751"/>
      <c r="KQR128" s="751"/>
      <c r="KQS128" s="751"/>
      <c r="KQT128" s="751"/>
      <c r="KQU128" s="751"/>
      <c r="KQV128" s="751"/>
      <c r="KQW128" s="751"/>
      <c r="KQX128" s="751"/>
      <c r="KQY128" s="751"/>
      <c r="KQZ128" s="751"/>
      <c r="KRA128" s="751"/>
      <c r="KRB128" s="751"/>
      <c r="KRC128" s="751"/>
      <c r="KRD128" s="751"/>
      <c r="KRE128" s="751"/>
      <c r="KRF128" s="751"/>
      <c r="KRG128" s="751"/>
      <c r="KRH128" s="751"/>
      <c r="KRI128" s="751"/>
      <c r="KRJ128" s="751"/>
      <c r="KRK128" s="751"/>
      <c r="KRL128" s="751"/>
      <c r="KRM128" s="751"/>
      <c r="KRN128" s="751"/>
      <c r="KRO128" s="751"/>
      <c r="KRP128" s="751"/>
      <c r="KRQ128" s="751"/>
      <c r="KRR128" s="751"/>
      <c r="KRS128" s="751"/>
      <c r="KRT128" s="751"/>
      <c r="KRU128" s="751"/>
      <c r="KRV128" s="751"/>
      <c r="KRW128" s="751"/>
      <c r="KRX128" s="751"/>
      <c r="KRY128" s="751"/>
      <c r="KRZ128" s="751"/>
      <c r="KSA128" s="751"/>
      <c r="KSB128" s="751"/>
      <c r="KSC128" s="751"/>
      <c r="KSD128" s="751"/>
      <c r="KSE128" s="751"/>
      <c r="KSF128" s="751"/>
      <c r="KSG128" s="751"/>
      <c r="KSH128" s="751"/>
      <c r="KSI128" s="751"/>
      <c r="KSJ128" s="751"/>
      <c r="KSK128" s="751"/>
      <c r="KSL128" s="751"/>
      <c r="KSM128" s="751"/>
      <c r="KSN128" s="751"/>
      <c r="KSO128" s="751"/>
      <c r="KSP128" s="751"/>
      <c r="KSQ128" s="751"/>
      <c r="KSR128" s="751"/>
      <c r="KSS128" s="751"/>
      <c r="KST128" s="751"/>
      <c r="KSU128" s="751"/>
      <c r="KSV128" s="751"/>
      <c r="KSW128" s="751"/>
      <c r="KSX128" s="751"/>
      <c r="KSY128" s="751"/>
      <c r="KSZ128" s="751"/>
      <c r="KTA128" s="751"/>
      <c r="KTB128" s="751"/>
      <c r="KTC128" s="751"/>
      <c r="KTD128" s="751"/>
      <c r="KTE128" s="751"/>
      <c r="KTF128" s="751"/>
      <c r="KTG128" s="751"/>
      <c r="KTH128" s="751"/>
      <c r="KTI128" s="751"/>
      <c r="KTJ128" s="751"/>
      <c r="KTK128" s="751"/>
      <c r="KTL128" s="751"/>
      <c r="KTM128" s="751"/>
      <c r="KTN128" s="751"/>
      <c r="KTO128" s="751"/>
      <c r="KTP128" s="751"/>
      <c r="KTQ128" s="751"/>
      <c r="KTR128" s="751"/>
      <c r="KTS128" s="751"/>
      <c r="KTT128" s="751"/>
      <c r="KTU128" s="751"/>
      <c r="KTV128" s="751"/>
      <c r="KTW128" s="751"/>
      <c r="KTX128" s="751"/>
      <c r="KTY128" s="751"/>
      <c r="KTZ128" s="751"/>
      <c r="KUA128" s="751"/>
      <c r="KUB128" s="751"/>
      <c r="KUC128" s="751"/>
      <c r="KUD128" s="751"/>
      <c r="KUE128" s="751"/>
      <c r="KUF128" s="751"/>
      <c r="KUG128" s="751"/>
      <c r="KUH128" s="751"/>
      <c r="KUI128" s="751"/>
      <c r="KUJ128" s="751"/>
      <c r="KUK128" s="751"/>
      <c r="KUL128" s="751"/>
      <c r="KUM128" s="751"/>
      <c r="KUN128" s="751"/>
      <c r="KUO128" s="751"/>
      <c r="KUP128" s="751"/>
      <c r="KUQ128" s="751"/>
      <c r="KUR128" s="751"/>
      <c r="KUS128" s="751"/>
      <c r="KUT128" s="751"/>
      <c r="KUU128" s="751"/>
      <c r="KUV128" s="751"/>
      <c r="KUW128" s="751"/>
      <c r="KUX128" s="751"/>
      <c r="KUY128" s="751"/>
      <c r="KUZ128" s="751"/>
      <c r="KVA128" s="751"/>
      <c r="KVB128" s="751"/>
      <c r="KVC128" s="751"/>
      <c r="KVD128" s="751"/>
      <c r="KVE128" s="751"/>
      <c r="KVF128" s="751"/>
      <c r="KVG128" s="751"/>
      <c r="KVH128" s="751"/>
      <c r="KVI128" s="751"/>
      <c r="KVJ128" s="751"/>
      <c r="KVK128" s="751"/>
      <c r="KVL128" s="751"/>
      <c r="KVM128" s="751"/>
      <c r="KVN128" s="751"/>
      <c r="KVO128" s="751"/>
      <c r="KVP128" s="751"/>
      <c r="KVQ128" s="751"/>
      <c r="KVR128" s="751"/>
      <c r="KVS128" s="751"/>
      <c r="KVT128" s="751"/>
      <c r="KVU128" s="751"/>
      <c r="KVV128" s="751"/>
      <c r="KVW128" s="751"/>
      <c r="KVX128" s="751"/>
      <c r="KVY128" s="751"/>
      <c r="KVZ128" s="751"/>
      <c r="KWA128" s="751"/>
      <c r="KWB128" s="751"/>
      <c r="KWC128" s="751"/>
      <c r="KWD128" s="751"/>
      <c r="KWE128" s="751"/>
      <c r="KWF128" s="751"/>
      <c r="KWG128" s="751"/>
      <c r="KWH128" s="751"/>
      <c r="KWI128" s="751"/>
      <c r="KWJ128" s="751"/>
      <c r="KWK128" s="751"/>
      <c r="KWL128" s="751"/>
      <c r="KWM128" s="751"/>
      <c r="KWN128" s="751"/>
      <c r="KWO128" s="751"/>
      <c r="KWP128" s="751"/>
      <c r="KWQ128" s="751"/>
      <c r="KWR128" s="751"/>
      <c r="KWS128" s="751"/>
      <c r="KWT128" s="751"/>
      <c r="KWU128" s="751"/>
      <c r="KWV128" s="751"/>
      <c r="KWW128" s="751"/>
      <c r="KWX128" s="751"/>
      <c r="KWY128" s="751"/>
      <c r="KWZ128" s="751"/>
      <c r="KXA128" s="751"/>
      <c r="KXB128" s="751"/>
      <c r="KXC128" s="751"/>
      <c r="KXD128" s="751"/>
      <c r="KXE128" s="751"/>
      <c r="KXF128" s="751"/>
      <c r="KXG128" s="751"/>
      <c r="KXH128" s="751"/>
      <c r="KXI128" s="751"/>
      <c r="KXJ128" s="751"/>
      <c r="KXK128" s="751"/>
      <c r="KXL128" s="751"/>
      <c r="KXM128" s="751"/>
      <c r="KXN128" s="751"/>
      <c r="KXO128" s="751"/>
      <c r="KXP128" s="751"/>
      <c r="KXQ128" s="751"/>
      <c r="KXR128" s="751"/>
      <c r="KXS128" s="751"/>
      <c r="KXT128" s="751"/>
      <c r="KXU128" s="751"/>
      <c r="KXV128" s="751"/>
      <c r="KXW128" s="751"/>
      <c r="KXX128" s="751"/>
      <c r="KXY128" s="751"/>
      <c r="KXZ128" s="751"/>
      <c r="KYA128" s="751"/>
      <c r="KYB128" s="751"/>
      <c r="KYC128" s="751"/>
      <c r="KYD128" s="751"/>
      <c r="KYE128" s="751"/>
      <c r="KYF128" s="751"/>
      <c r="KYG128" s="751"/>
      <c r="KYH128" s="751"/>
      <c r="KYI128" s="751"/>
      <c r="KYJ128" s="751"/>
      <c r="KYK128" s="751"/>
      <c r="KYL128" s="751"/>
      <c r="KYM128" s="751"/>
      <c r="KYN128" s="751"/>
      <c r="KYO128" s="751"/>
      <c r="KYP128" s="751"/>
      <c r="KYQ128" s="751"/>
      <c r="KYR128" s="751"/>
      <c r="KYS128" s="751"/>
      <c r="KYT128" s="751"/>
      <c r="KYU128" s="751"/>
      <c r="KYV128" s="751"/>
      <c r="KYW128" s="751"/>
      <c r="KYX128" s="751"/>
      <c r="KYY128" s="751"/>
      <c r="KYZ128" s="751"/>
      <c r="KZA128" s="751"/>
      <c r="KZB128" s="751"/>
      <c r="KZC128" s="751"/>
      <c r="KZD128" s="751"/>
      <c r="KZE128" s="751"/>
      <c r="KZF128" s="751"/>
      <c r="KZG128" s="751"/>
      <c r="KZH128" s="751"/>
      <c r="KZI128" s="751"/>
      <c r="KZJ128" s="751"/>
      <c r="KZK128" s="751"/>
      <c r="KZL128" s="751"/>
      <c r="KZM128" s="751"/>
      <c r="KZN128" s="751"/>
      <c r="KZO128" s="751"/>
      <c r="KZP128" s="751"/>
      <c r="KZQ128" s="751"/>
      <c r="KZR128" s="751"/>
      <c r="KZS128" s="751"/>
      <c r="KZT128" s="751"/>
      <c r="KZU128" s="751"/>
      <c r="KZV128" s="751"/>
      <c r="KZW128" s="751"/>
      <c r="KZX128" s="751"/>
      <c r="KZY128" s="751"/>
      <c r="KZZ128" s="751"/>
      <c r="LAA128" s="751"/>
      <c r="LAB128" s="751"/>
      <c r="LAC128" s="751"/>
      <c r="LAD128" s="751"/>
      <c r="LAE128" s="751"/>
      <c r="LAF128" s="751"/>
      <c r="LAG128" s="751"/>
      <c r="LAH128" s="751"/>
      <c r="LAI128" s="751"/>
      <c r="LAJ128" s="751"/>
      <c r="LAK128" s="751"/>
      <c r="LAL128" s="751"/>
      <c r="LAM128" s="751"/>
      <c r="LAN128" s="751"/>
      <c r="LAO128" s="751"/>
      <c r="LAP128" s="751"/>
      <c r="LAQ128" s="751"/>
      <c r="LAR128" s="751"/>
      <c r="LAS128" s="751"/>
      <c r="LAT128" s="751"/>
      <c r="LAU128" s="751"/>
      <c r="LAV128" s="751"/>
      <c r="LAW128" s="751"/>
      <c r="LAX128" s="751"/>
      <c r="LAY128" s="751"/>
      <c r="LAZ128" s="751"/>
      <c r="LBA128" s="751"/>
      <c r="LBB128" s="751"/>
      <c r="LBC128" s="751"/>
      <c r="LBD128" s="751"/>
      <c r="LBE128" s="751"/>
      <c r="LBF128" s="751"/>
      <c r="LBG128" s="751"/>
      <c r="LBH128" s="751"/>
      <c r="LBI128" s="751"/>
      <c r="LBJ128" s="751"/>
      <c r="LBK128" s="751"/>
      <c r="LBL128" s="751"/>
      <c r="LBM128" s="751"/>
      <c r="LBN128" s="751"/>
      <c r="LBO128" s="751"/>
      <c r="LBP128" s="751"/>
      <c r="LBQ128" s="751"/>
      <c r="LBR128" s="751"/>
      <c r="LBS128" s="751"/>
      <c r="LBT128" s="751"/>
      <c r="LBU128" s="751"/>
      <c r="LBV128" s="751"/>
      <c r="LBW128" s="751"/>
      <c r="LBX128" s="751"/>
      <c r="LBY128" s="751"/>
      <c r="LBZ128" s="751"/>
      <c r="LCA128" s="751"/>
      <c r="LCB128" s="751"/>
      <c r="LCC128" s="751"/>
      <c r="LCD128" s="751"/>
      <c r="LCE128" s="751"/>
      <c r="LCF128" s="751"/>
      <c r="LCG128" s="751"/>
      <c r="LCH128" s="751"/>
      <c r="LCI128" s="751"/>
      <c r="LCJ128" s="751"/>
      <c r="LCK128" s="751"/>
      <c r="LCL128" s="751"/>
      <c r="LCM128" s="751"/>
      <c r="LCN128" s="751"/>
      <c r="LCO128" s="751"/>
      <c r="LCP128" s="751"/>
      <c r="LCQ128" s="751"/>
      <c r="LCR128" s="751"/>
      <c r="LCS128" s="751"/>
      <c r="LCT128" s="751"/>
      <c r="LCU128" s="751"/>
      <c r="LCV128" s="751"/>
      <c r="LCW128" s="751"/>
      <c r="LCX128" s="751"/>
      <c r="LCY128" s="751"/>
      <c r="LCZ128" s="751"/>
      <c r="LDA128" s="751"/>
      <c r="LDB128" s="751"/>
      <c r="LDC128" s="751"/>
      <c r="LDD128" s="751"/>
      <c r="LDE128" s="751"/>
      <c r="LDF128" s="751"/>
      <c r="LDG128" s="751"/>
      <c r="LDH128" s="751"/>
      <c r="LDI128" s="751"/>
      <c r="LDJ128" s="751"/>
      <c r="LDK128" s="751"/>
      <c r="LDL128" s="751"/>
      <c r="LDM128" s="751"/>
      <c r="LDN128" s="751"/>
      <c r="LDO128" s="751"/>
      <c r="LDP128" s="751"/>
      <c r="LDQ128" s="751"/>
      <c r="LDR128" s="751"/>
      <c r="LDS128" s="751"/>
      <c r="LDT128" s="751"/>
      <c r="LDU128" s="751"/>
      <c r="LDV128" s="751"/>
      <c r="LDW128" s="751"/>
      <c r="LDX128" s="751"/>
      <c r="LDY128" s="751"/>
      <c r="LDZ128" s="751"/>
      <c r="LEA128" s="751"/>
      <c r="LEB128" s="751"/>
      <c r="LEC128" s="751"/>
      <c r="LED128" s="751"/>
      <c r="LEE128" s="751"/>
      <c r="LEF128" s="751"/>
      <c r="LEG128" s="751"/>
      <c r="LEH128" s="751"/>
      <c r="LEI128" s="751"/>
      <c r="LEJ128" s="751"/>
      <c r="LEK128" s="751"/>
      <c r="LEL128" s="751"/>
      <c r="LEM128" s="751"/>
      <c r="LEN128" s="751"/>
      <c r="LEO128" s="751"/>
      <c r="LEP128" s="751"/>
      <c r="LEQ128" s="751"/>
      <c r="LER128" s="751"/>
      <c r="LES128" s="751"/>
      <c r="LET128" s="751"/>
      <c r="LEU128" s="751"/>
      <c r="LEV128" s="751"/>
      <c r="LEW128" s="751"/>
      <c r="LEX128" s="751"/>
      <c r="LEY128" s="751"/>
      <c r="LEZ128" s="751"/>
      <c r="LFA128" s="751"/>
      <c r="LFB128" s="751"/>
      <c r="LFC128" s="751"/>
      <c r="LFD128" s="751"/>
      <c r="LFE128" s="751"/>
      <c r="LFF128" s="751"/>
      <c r="LFG128" s="751"/>
      <c r="LFH128" s="751"/>
      <c r="LFI128" s="751"/>
      <c r="LFJ128" s="751"/>
      <c r="LFK128" s="751"/>
      <c r="LFL128" s="751"/>
      <c r="LFM128" s="751"/>
      <c r="LFN128" s="751"/>
      <c r="LFO128" s="751"/>
      <c r="LFP128" s="751"/>
      <c r="LFQ128" s="751"/>
      <c r="LFR128" s="751"/>
      <c r="LFS128" s="751"/>
      <c r="LFT128" s="751"/>
      <c r="LFU128" s="751"/>
      <c r="LFV128" s="751"/>
      <c r="LFW128" s="751"/>
      <c r="LFX128" s="751"/>
      <c r="LFY128" s="751"/>
      <c r="LFZ128" s="751"/>
      <c r="LGA128" s="751"/>
      <c r="LGB128" s="751"/>
      <c r="LGC128" s="751"/>
      <c r="LGD128" s="751"/>
      <c r="LGE128" s="751"/>
      <c r="LGF128" s="751"/>
      <c r="LGG128" s="751"/>
      <c r="LGH128" s="751"/>
      <c r="LGI128" s="751"/>
      <c r="LGJ128" s="751"/>
      <c r="LGK128" s="751"/>
      <c r="LGL128" s="751"/>
      <c r="LGM128" s="751"/>
      <c r="LGN128" s="751"/>
      <c r="LGO128" s="751"/>
      <c r="LGP128" s="751"/>
      <c r="LGQ128" s="751"/>
      <c r="LGR128" s="751"/>
      <c r="LGS128" s="751"/>
      <c r="LGT128" s="751"/>
      <c r="LGU128" s="751"/>
      <c r="LGV128" s="751"/>
      <c r="LGW128" s="751"/>
      <c r="LGX128" s="751"/>
      <c r="LGY128" s="751"/>
      <c r="LGZ128" s="751"/>
      <c r="LHA128" s="751"/>
      <c r="LHB128" s="751"/>
      <c r="LHC128" s="751"/>
      <c r="LHD128" s="751"/>
      <c r="LHE128" s="751"/>
      <c r="LHF128" s="751"/>
      <c r="LHG128" s="751"/>
      <c r="LHH128" s="751"/>
      <c r="LHI128" s="751"/>
      <c r="LHJ128" s="751"/>
      <c r="LHK128" s="751"/>
      <c r="LHL128" s="751"/>
      <c r="LHM128" s="751"/>
      <c r="LHN128" s="751"/>
      <c r="LHO128" s="751"/>
      <c r="LHP128" s="751"/>
      <c r="LHQ128" s="751"/>
      <c r="LHR128" s="751"/>
      <c r="LHS128" s="751"/>
      <c r="LHT128" s="751"/>
      <c r="LHU128" s="751"/>
      <c r="LHV128" s="751"/>
      <c r="LHW128" s="751"/>
      <c r="LHX128" s="751"/>
      <c r="LHY128" s="751"/>
      <c r="LHZ128" s="751"/>
      <c r="LIA128" s="751"/>
      <c r="LIB128" s="751"/>
      <c r="LIC128" s="751"/>
      <c r="LID128" s="751"/>
      <c r="LIE128" s="751"/>
      <c r="LIF128" s="751"/>
      <c r="LIG128" s="751"/>
      <c r="LIH128" s="751"/>
      <c r="LII128" s="751"/>
      <c r="LIJ128" s="751"/>
      <c r="LIK128" s="751"/>
      <c r="LIL128" s="751"/>
      <c r="LIM128" s="751"/>
      <c r="LIN128" s="751"/>
      <c r="LIO128" s="751"/>
      <c r="LIP128" s="751"/>
      <c r="LIQ128" s="751"/>
      <c r="LIR128" s="751"/>
      <c r="LIS128" s="751"/>
      <c r="LIT128" s="751"/>
      <c r="LIU128" s="751"/>
      <c r="LIV128" s="751"/>
      <c r="LIW128" s="751"/>
      <c r="LIX128" s="751"/>
      <c r="LIY128" s="751"/>
      <c r="LIZ128" s="751"/>
      <c r="LJA128" s="751"/>
      <c r="LJB128" s="751"/>
      <c r="LJC128" s="751"/>
      <c r="LJD128" s="751"/>
      <c r="LJE128" s="751"/>
      <c r="LJF128" s="751"/>
      <c r="LJG128" s="751"/>
      <c r="LJH128" s="751"/>
      <c r="LJI128" s="751"/>
      <c r="LJJ128" s="751"/>
      <c r="LJK128" s="751"/>
      <c r="LJL128" s="751"/>
      <c r="LJM128" s="751"/>
      <c r="LJN128" s="751"/>
      <c r="LJO128" s="751"/>
      <c r="LJP128" s="751"/>
      <c r="LJQ128" s="751"/>
      <c r="LJR128" s="751"/>
      <c r="LJS128" s="751"/>
      <c r="LJT128" s="751"/>
      <c r="LJU128" s="751"/>
      <c r="LJV128" s="751"/>
      <c r="LJW128" s="751"/>
      <c r="LJX128" s="751"/>
      <c r="LJY128" s="751"/>
      <c r="LJZ128" s="751"/>
      <c r="LKA128" s="751"/>
      <c r="LKB128" s="751"/>
      <c r="LKC128" s="751"/>
      <c r="LKD128" s="751"/>
      <c r="LKE128" s="751"/>
      <c r="LKF128" s="751"/>
      <c r="LKG128" s="751"/>
      <c r="LKH128" s="751"/>
      <c r="LKI128" s="751"/>
      <c r="LKJ128" s="751"/>
      <c r="LKK128" s="751"/>
      <c r="LKL128" s="751"/>
      <c r="LKM128" s="751"/>
      <c r="LKN128" s="751"/>
      <c r="LKO128" s="751"/>
      <c r="LKP128" s="751"/>
      <c r="LKQ128" s="751"/>
      <c r="LKR128" s="751"/>
      <c r="LKS128" s="751"/>
      <c r="LKT128" s="751"/>
      <c r="LKU128" s="751"/>
      <c r="LKV128" s="751"/>
      <c r="LKW128" s="751"/>
      <c r="LKX128" s="751"/>
      <c r="LKY128" s="751"/>
      <c r="LKZ128" s="751"/>
      <c r="LLA128" s="751"/>
      <c r="LLB128" s="751"/>
      <c r="LLC128" s="751"/>
      <c r="LLD128" s="751"/>
      <c r="LLE128" s="751"/>
      <c r="LLF128" s="751"/>
      <c r="LLG128" s="751"/>
      <c r="LLH128" s="751"/>
      <c r="LLI128" s="751"/>
      <c r="LLJ128" s="751"/>
      <c r="LLK128" s="751"/>
      <c r="LLL128" s="751"/>
      <c r="LLM128" s="751"/>
      <c r="LLN128" s="751"/>
      <c r="LLO128" s="751"/>
      <c r="LLP128" s="751"/>
      <c r="LLQ128" s="751"/>
      <c r="LLR128" s="751"/>
      <c r="LLS128" s="751"/>
      <c r="LLT128" s="751"/>
      <c r="LLU128" s="751"/>
      <c r="LLV128" s="751"/>
      <c r="LLW128" s="751"/>
      <c r="LLX128" s="751"/>
      <c r="LLY128" s="751"/>
      <c r="LLZ128" s="751"/>
      <c r="LMA128" s="751"/>
      <c r="LMB128" s="751"/>
      <c r="LMC128" s="751"/>
      <c r="LMD128" s="751"/>
      <c r="LME128" s="751"/>
      <c r="LMF128" s="751"/>
      <c r="LMG128" s="751"/>
      <c r="LMH128" s="751"/>
      <c r="LMI128" s="751"/>
      <c r="LMJ128" s="751"/>
      <c r="LMK128" s="751"/>
      <c r="LML128" s="751"/>
      <c r="LMM128" s="751"/>
      <c r="LMN128" s="751"/>
      <c r="LMO128" s="751"/>
      <c r="LMP128" s="751"/>
      <c r="LMQ128" s="751"/>
      <c r="LMR128" s="751"/>
      <c r="LMS128" s="751"/>
      <c r="LMT128" s="751"/>
      <c r="LMU128" s="751"/>
      <c r="LMV128" s="751"/>
      <c r="LMW128" s="751"/>
      <c r="LMX128" s="751"/>
      <c r="LMY128" s="751"/>
      <c r="LMZ128" s="751"/>
      <c r="LNA128" s="751"/>
      <c r="LNB128" s="751"/>
      <c r="LNC128" s="751"/>
      <c r="LND128" s="751"/>
      <c r="LNE128" s="751"/>
      <c r="LNF128" s="751"/>
      <c r="LNG128" s="751"/>
      <c r="LNH128" s="751"/>
      <c r="LNI128" s="751"/>
      <c r="LNJ128" s="751"/>
      <c r="LNK128" s="751"/>
      <c r="LNL128" s="751"/>
      <c r="LNM128" s="751"/>
      <c r="LNN128" s="751"/>
      <c r="LNO128" s="751"/>
      <c r="LNP128" s="751"/>
      <c r="LNQ128" s="751"/>
      <c r="LNR128" s="751"/>
      <c r="LNS128" s="751"/>
      <c r="LNT128" s="751"/>
      <c r="LNU128" s="751"/>
      <c r="LNV128" s="751"/>
      <c r="LNW128" s="751"/>
      <c r="LNX128" s="751"/>
      <c r="LNY128" s="751"/>
      <c r="LNZ128" s="751"/>
      <c r="LOA128" s="751"/>
      <c r="LOB128" s="751"/>
      <c r="LOC128" s="751"/>
      <c r="LOD128" s="751"/>
      <c r="LOE128" s="751"/>
      <c r="LOF128" s="751"/>
      <c r="LOG128" s="751"/>
      <c r="LOH128" s="751"/>
      <c r="LOI128" s="751"/>
      <c r="LOJ128" s="751"/>
      <c r="LOK128" s="751"/>
      <c r="LOL128" s="751"/>
      <c r="LOM128" s="751"/>
      <c r="LON128" s="751"/>
      <c r="LOO128" s="751"/>
      <c r="LOP128" s="751"/>
      <c r="LOQ128" s="751"/>
      <c r="LOR128" s="751"/>
      <c r="LOS128" s="751"/>
      <c r="LOT128" s="751"/>
      <c r="LOU128" s="751"/>
      <c r="LOV128" s="751"/>
      <c r="LOW128" s="751"/>
      <c r="LOX128" s="751"/>
      <c r="LOY128" s="751"/>
      <c r="LOZ128" s="751"/>
      <c r="LPA128" s="751"/>
      <c r="LPB128" s="751"/>
      <c r="LPC128" s="751"/>
      <c r="LPD128" s="751"/>
      <c r="LPE128" s="751"/>
      <c r="LPF128" s="751"/>
      <c r="LPG128" s="751"/>
      <c r="LPH128" s="751"/>
      <c r="LPI128" s="751"/>
      <c r="LPJ128" s="751"/>
      <c r="LPK128" s="751"/>
      <c r="LPL128" s="751"/>
      <c r="LPM128" s="751"/>
      <c r="LPN128" s="751"/>
      <c r="LPO128" s="751"/>
      <c r="LPP128" s="751"/>
      <c r="LPQ128" s="751"/>
      <c r="LPR128" s="751"/>
      <c r="LPS128" s="751"/>
      <c r="LPT128" s="751"/>
      <c r="LPU128" s="751"/>
      <c r="LPV128" s="751"/>
      <c r="LPW128" s="751"/>
      <c r="LPX128" s="751"/>
      <c r="LPY128" s="751"/>
      <c r="LPZ128" s="751"/>
      <c r="LQA128" s="751"/>
      <c r="LQB128" s="751"/>
      <c r="LQC128" s="751"/>
      <c r="LQD128" s="751"/>
      <c r="LQE128" s="751"/>
      <c r="LQF128" s="751"/>
      <c r="LQG128" s="751"/>
      <c r="LQH128" s="751"/>
      <c r="LQI128" s="751"/>
      <c r="LQJ128" s="751"/>
      <c r="LQK128" s="751"/>
      <c r="LQL128" s="751"/>
      <c r="LQM128" s="751"/>
      <c r="LQN128" s="751"/>
      <c r="LQO128" s="751"/>
      <c r="LQP128" s="751"/>
      <c r="LQQ128" s="751"/>
      <c r="LQR128" s="751"/>
      <c r="LQS128" s="751"/>
      <c r="LQT128" s="751"/>
      <c r="LQU128" s="751"/>
      <c r="LQV128" s="751"/>
      <c r="LQW128" s="751"/>
      <c r="LQX128" s="751"/>
      <c r="LQY128" s="751"/>
      <c r="LQZ128" s="751"/>
      <c r="LRA128" s="751"/>
      <c r="LRB128" s="751"/>
      <c r="LRC128" s="751"/>
      <c r="LRD128" s="751"/>
      <c r="LRE128" s="751"/>
      <c r="LRF128" s="751"/>
      <c r="LRG128" s="751"/>
      <c r="LRH128" s="751"/>
      <c r="LRI128" s="751"/>
      <c r="LRJ128" s="751"/>
      <c r="LRK128" s="751"/>
      <c r="LRL128" s="751"/>
      <c r="LRM128" s="751"/>
      <c r="LRN128" s="751"/>
      <c r="LRO128" s="751"/>
      <c r="LRP128" s="751"/>
      <c r="LRQ128" s="751"/>
      <c r="LRR128" s="751"/>
      <c r="LRS128" s="751"/>
      <c r="LRT128" s="751"/>
      <c r="LRU128" s="751"/>
      <c r="LRV128" s="751"/>
      <c r="LRW128" s="751"/>
      <c r="LRX128" s="751"/>
      <c r="LRY128" s="751"/>
      <c r="LRZ128" s="751"/>
      <c r="LSA128" s="751"/>
      <c r="LSB128" s="751"/>
      <c r="LSC128" s="751"/>
      <c r="LSD128" s="751"/>
      <c r="LSE128" s="751"/>
      <c r="LSF128" s="751"/>
      <c r="LSG128" s="751"/>
      <c r="LSH128" s="751"/>
      <c r="LSI128" s="751"/>
      <c r="LSJ128" s="751"/>
      <c r="LSK128" s="751"/>
      <c r="LSL128" s="751"/>
      <c r="LSM128" s="751"/>
      <c r="LSN128" s="751"/>
      <c r="LSO128" s="751"/>
      <c r="LSP128" s="751"/>
      <c r="LSQ128" s="751"/>
      <c r="LSR128" s="751"/>
      <c r="LSS128" s="751"/>
      <c r="LST128" s="751"/>
      <c r="LSU128" s="751"/>
      <c r="LSV128" s="751"/>
      <c r="LSW128" s="751"/>
      <c r="LSX128" s="751"/>
      <c r="LSY128" s="751"/>
      <c r="LSZ128" s="751"/>
      <c r="LTA128" s="751"/>
      <c r="LTB128" s="751"/>
      <c r="LTC128" s="751"/>
      <c r="LTD128" s="751"/>
      <c r="LTE128" s="751"/>
      <c r="LTF128" s="751"/>
      <c r="LTG128" s="751"/>
      <c r="LTH128" s="751"/>
      <c r="LTI128" s="751"/>
      <c r="LTJ128" s="751"/>
      <c r="LTK128" s="751"/>
      <c r="LTL128" s="751"/>
      <c r="LTM128" s="751"/>
      <c r="LTN128" s="751"/>
      <c r="LTO128" s="751"/>
      <c r="LTP128" s="751"/>
      <c r="LTQ128" s="751"/>
      <c r="LTR128" s="751"/>
      <c r="LTS128" s="751"/>
      <c r="LTT128" s="751"/>
      <c r="LTU128" s="751"/>
      <c r="LTV128" s="751"/>
      <c r="LTW128" s="751"/>
      <c r="LTX128" s="751"/>
      <c r="LTY128" s="751"/>
      <c r="LTZ128" s="751"/>
      <c r="LUA128" s="751"/>
      <c r="LUB128" s="751"/>
      <c r="LUC128" s="751"/>
      <c r="LUD128" s="751"/>
      <c r="LUE128" s="751"/>
      <c r="LUF128" s="751"/>
      <c r="LUG128" s="751"/>
      <c r="LUH128" s="751"/>
      <c r="LUI128" s="751"/>
      <c r="LUJ128" s="751"/>
      <c r="LUK128" s="751"/>
      <c r="LUL128" s="751"/>
      <c r="LUM128" s="751"/>
      <c r="LUN128" s="751"/>
      <c r="LUO128" s="751"/>
      <c r="LUP128" s="751"/>
      <c r="LUQ128" s="751"/>
      <c r="LUR128" s="751"/>
      <c r="LUS128" s="751"/>
      <c r="LUT128" s="751"/>
      <c r="LUU128" s="751"/>
      <c r="LUV128" s="751"/>
      <c r="LUW128" s="751"/>
      <c r="LUX128" s="751"/>
      <c r="LUY128" s="751"/>
      <c r="LUZ128" s="751"/>
      <c r="LVA128" s="751"/>
      <c r="LVB128" s="751"/>
      <c r="LVC128" s="751"/>
      <c r="LVD128" s="751"/>
      <c r="LVE128" s="751"/>
      <c r="LVF128" s="751"/>
      <c r="LVG128" s="751"/>
      <c r="LVH128" s="751"/>
      <c r="LVI128" s="751"/>
      <c r="LVJ128" s="751"/>
      <c r="LVK128" s="751"/>
      <c r="LVL128" s="751"/>
      <c r="LVM128" s="751"/>
      <c r="LVN128" s="751"/>
      <c r="LVO128" s="751"/>
      <c r="LVP128" s="751"/>
      <c r="LVQ128" s="751"/>
      <c r="LVR128" s="751"/>
      <c r="LVS128" s="751"/>
      <c r="LVT128" s="751"/>
      <c r="LVU128" s="751"/>
      <c r="LVV128" s="751"/>
      <c r="LVW128" s="751"/>
      <c r="LVX128" s="751"/>
      <c r="LVY128" s="751"/>
      <c r="LVZ128" s="751"/>
      <c r="LWA128" s="751"/>
      <c r="LWB128" s="751"/>
      <c r="LWC128" s="751"/>
      <c r="LWD128" s="751"/>
      <c r="LWE128" s="751"/>
      <c r="LWF128" s="751"/>
      <c r="LWG128" s="751"/>
      <c r="LWH128" s="751"/>
      <c r="LWI128" s="751"/>
      <c r="LWJ128" s="751"/>
      <c r="LWK128" s="751"/>
      <c r="LWL128" s="751"/>
      <c r="LWM128" s="751"/>
      <c r="LWN128" s="751"/>
      <c r="LWO128" s="751"/>
      <c r="LWP128" s="751"/>
      <c r="LWQ128" s="751"/>
      <c r="LWR128" s="751"/>
      <c r="LWS128" s="751"/>
      <c r="LWT128" s="751"/>
      <c r="LWU128" s="751"/>
      <c r="LWV128" s="751"/>
      <c r="LWW128" s="751"/>
      <c r="LWX128" s="751"/>
      <c r="LWY128" s="751"/>
      <c r="LWZ128" s="751"/>
      <c r="LXA128" s="751"/>
      <c r="LXB128" s="751"/>
      <c r="LXC128" s="751"/>
      <c r="LXD128" s="751"/>
      <c r="LXE128" s="751"/>
      <c r="LXF128" s="751"/>
      <c r="LXG128" s="751"/>
      <c r="LXH128" s="751"/>
      <c r="LXI128" s="751"/>
      <c r="LXJ128" s="751"/>
      <c r="LXK128" s="751"/>
      <c r="LXL128" s="751"/>
      <c r="LXM128" s="751"/>
      <c r="LXN128" s="751"/>
      <c r="LXO128" s="751"/>
      <c r="LXP128" s="751"/>
      <c r="LXQ128" s="751"/>
      <c r="LXR128" s="751"/>
      <c r="LXS128" s="751"/>
      <c r="LXT128" s="751"/>
      <c r="LXU128" s="751"/>
      <c r="LXV128" s="751"/>
      <c r="LXW128" s="751"/>
      <c r="LXX128" s="751"/>
      <c r="LXY128" s="751"/>
      <c r="LXZ128" s="751"/>
      <c r="LYA128" s="751"/>
      <c r="LYB128" s="751"/>
      <c r="LYC128" s="751"/>
      <c r="LYD128" s="751"/>
      <c r="LYE128" s="751"/>
      <c r="LYF128" s="751"/>
      <c r="LYG128" s="751"/>
      <c r="LYH128" s="751"/>
      <c r="LYI128" s="751"/>
      <c r="LYJ128" s="751"/>
      <c r="LYK128" s="751"/>
      <c r="LYL128" s="751"/>
      <c r="LYM128" s="751"/>
      <c r="LYN128" s="751"/>
      <c r="LYO128" s="751"/>
      <c r="LYP128" s="751"/>
      <c r="LYQ128" s="751"/>
      <c r="LYR128" s="751"/>
      <c r="LYS128" s="751"/>
      <c r="LYT128" s="751"/>
      <c r="LYU128" s="751"/>
      <c r="LYV128" s="751"/>
      <c r="LYW128" s="751"/>
      <c r="LYX128" s="751"/>
      <c r="LYY128" s="751"/>
      <c r="LYZ128" s="751"/>
      <c r="LZA128" s="751"/>
      <c r="LZB128" s="751"/>
      <c r="LZC128" s="751"/>
      <c r="LZD128" s="751"/>
      <c r="LZE128" s="751"/>
      <c r="LZF128" s="751"/>
      <c r="LZG128" s="751"/>
      <c r="LZH128" s="751"/>
      <c r="LZI128" s="751"/>
      <c r="LZJ128" s="751"/>
      <c r="LZK128" s="751"/>
      <c r="LZL128" s="751"/>
      <c r="LZM128" s="751"/>
      <c r="LZN128" s="751"/>
      <c r="LZO128" s="751"/>
      <c r="LZP128" s="751"/>
      <c r="LZQ128" s="751"/>
      <c r="LZR128" s="751"/>
      <c r="LZS128" s="751"/>
      <c r="LZT128" s="751"/>
      <c r="LZU128" s="751"/>
      <c r="LZV128" s="751"/>
      <c r="LZW128" s="751"/>
      <c r="LZX128" s="751"/>
      <c r="LZY128" s="751"/>
      <c r="LZZ128" s="751"/>
      <c r="MAA128" s="751"/>
      <c r="MAB128" s="751"/>
      <c r="MAC128" s="751"/>
      <c r="MAD128" s="751"/>
      <c r="MAE128" s="751"/>
      <c r="MAF128" s="751"/>
      <c r="MAG128" s="751"/>
      <c r="MAH128" s="751"/>
      <c r="MAI128" s="751"/>
      <c r="MAJ128" s="751"/>
      <c r="MAK128" s="751"/>
      <c r="MAL128" s="751"/>
      <c r="MAM128" s="751"/>
      <c r="MAN128" s="751"/>
      <c r="MAO128" s="751"/>
      <c r="MAP128" s="751"/>
      <c r="MAQ128" s="751"/>
      <c r="MAR128" s="751"/>
      <c r="MAS128" s="751"/>
      <c r="MAT128" s="751"/>
      <c r="MAU128" s="751"/>
      <c r="MAV128" s="751"/>
      <c r="MAW128" s="751"/>
      <c r="MAX128" s="751"/>
      <c r="MAY128" s="751"/>
      <c r="MAZ128" s="751"/>
      <c r="MBA128" s="751"/>
      <c r="MBB128" s="751"/>
      <c r="MBC128" s="751"/>
      <c r="MBD128" s="751"/>
      <c r="MBE128" s="751"/>
      <c r="MBF128" s="751"/>
      <c r="MBG128" s="751"/>
      <c r="MBH128" s="751"/>
      <c r="MBI128" s="751"/>
      <c r="MBJ128" s="751"/>
      <c r="MBK128" s="751"/>
      <c r="MBL128" s="751"/>
      <c r="MBM128" s="751"/>
      <c r="MBN128" s="751"/>
      <c r="MBO128" s="751"/>
      <c r="MBP128" s="751"/>
      <c r="MBQ128" s="751"/>
      <c r="MBR128" s="751"/>
      <c r="MBS128" s="751"/>
      <c r="MBT128" s="751"/>
      <c r="MBU128" s="751"/>
      <c r="MBV128" s="751"/>
      <c r="MBW128" s="751"/>
      <c r="MBX128" s="751"/>
      <c r="MBY128" s="751"/>
      <c r="MBZ128" s="751"/>
      <c r="MCA128" s="751"/>
      <c r="MCB128" s="751"/>
      <c r="MCC128" s="751"/>
      <c r="MCD128" s="751"/>
      <c r="MCE128" s="751"/>
      <c r="MCF128" s="751"/>
      <c r="MCG128" s="751"/>
      <c r="MCH128" s="751"/>
      <c r="MCI128" s="751"/>
      <c r="MCJ128" s="751"/>
      <c r="MCK128" s="751"/>
      <c r="MCL128" s="751"/>
      <c r="MCM128" s="751"/>
      <c r="MCN128" s="751"/>
      <c r="MCO128" s="751"/>
      <c r="MCP128" s="751"/>
      <c r="MCQ128" s="751"/>
      <c r="MCR128" s="751"/>
      <c r="MCS128" s="751"/>
      <c r="MCT128" s="751"/>
      <c r="MCU128" s="751"/>
      <c r="MCV128" s="751"/>
      <c r="MCW128" s="751"/>
      <c r="MCX128" s="751"/>
      <c r="MCY128" s="751"/>
      <c r="MCZ128" s="751"/>
      <c r="MDA128" s="751"/>
      <c r="MDB128" s="751"/>
      <c r="MDC128" s="751"/>
      <c r="MDD128" s="751"/>
      <c r="MDE128" s="751"/>
      <c r="MDF128" s="751"/>
      <c r="MDG128" s="751"/>
      <c r="MDH128" s="751"/>
      <c r="MDI128" s="751"/>
      <c r="MDJ128" s="751"/>
      <c r="MDK128" s="751"/>
      <c r="MDL128" s="751"/>
      <c r="MDM128" s="751"/>
      <c r="MDN128" s="751"/>
      <c r="MDO128" s="751"/>
      <c r="MDP128" s="751"/>
      <c r="MDQ128" s="751"/>
      <c r="MDR128" s="751"/>
      <c r="MDS128" s="751"/>
      <c r="MDT128" s="751"/>
      <c r="MDU128" s="751"/>
      <c r="MDV128" s="751"/>
      <c r="MDW128" s="751"/>
      <c r="MDX128" s="751"/>
      <c r="MDY128" s="751"/>
      <c r="MDZ128" s="751"/>
      <c r="MEA128" s="751"/>
      <c r="MEB128" s="751"/>
      <c r="MEC128" s="751"/>
      <c r="MED128" s="751"/>
      <c r="MEE128" s="751"/>
      <c r="MEF128" s="751"/>
      <c r="MEG128" s="751"/>
      <c r="MEH128" s="751"/>
      <c r="MEI128" s="751"/>
      <c r="MEJ128" s="751"/>
      <c r="MEK128" s="751"/>
      <c r="MEL128" s="751"/>
      <c r="MEM128" s="751"/>
      <c r="MEN128" s="751"/>
      <c r="MEO128" s="751"/>
      <c r="MEP128" s="751"/>
      <c r="MEQ128" s="751"/>
      <c r="MER128" s="751"/>
      <c r="MES128" s="751"/>
      <c r="MET128" s="751"/>
      <c r="MEU128" s="751"/>
      <c r="MEV128" s="751"/>
      <c r="MEW128" s="751"/>
      <c r="MEX128" s="751"/>
      <c r="MEY128" s="751"/>
      <c r="MEZ128" s="751"/>
      <c r="MFA128" s="751"/>
      <c r="MFB128" s="751"/>
      <c r="MFC128" s="751"/>
      <c r="MFD128" s="751"/>
      <c r="MFE128" s="751"/>
      <c r="MFF128" s="751"/>
      <c r="MFG128" s="751"/>
      <c r="MFH128" s="751"/>
      <c r="MFI128" s="751"/>
      <c r="MFJ128" s="751"/>
      <c r="MFK128" s="751"/>
      <c r="MFL128" s="751"/>
      <c r="MFM128" s="751"/>
      <c r="MFN128" s="751"/>
      <c r="MFO128" s="751"/>
      <c r="MFP128" s="751"/>
      <c r="MFQ128" s="751"/>
      <c r="MFR128" s="751"/>
      <c r="MFS128" s="751"/>
      <c r="MFT128" s="751"/>
      <c r="MFU128" s="751"/>
      <c r="MFV128" s="751"/>
      <c r="MFW128" s="751"/>
      <c r="MFX128" s="751"/>
      <c r="MFY128" s="751"/>
      <c r="MFZ128" s="751"/>
      <c r="MGA128" s="751"/>
      <c r="MGB128" s="751"/>
      <c r="MGC128" s="751"/>
      <c r="MGD128" s="751"/>
      <c r="MGE128" s="751"/>
      <c r="MGF128" s="751"/>
      <c r="MGG128" s="751"/>
      <c r="MGH128" s="751"/>
      <c r="MGI128" s="751"/>
      <c r="MGJ128" s="751"/>
      <c r="MGK128" s="751"/>
      <c r="MGL128" s="751"/>
      <c r="MGM128" s="751"/>
      <c r="MGN128" s="751"/>
      <c r="MGO128" s="751"/>
      <c r="MGP128" s="751"/>
      <c r="MGQ128" s="751"/>
      <c r="MGR128" s="751"/>
      <c r="MGS128" s="751"/>
      <c r="MGT128" s="751"/>
      <c r="MGU128" s="751"/>
      <c r="MGV128" s="751"/>
      <c r="MGW128" s="751"/>
      <c r="MGX128" s="751"/>
      <c r="MGY128" s="751"/>
      <c r="MGZ128" s="751"/>
      <c r="MHA128" s="751"/>
      <c r="MHB128" s="751"/>
      <c r="MHC128" s="751"/>
      <c r="MHD128" s="751"/>
      <c r="MHE128" s="751"/>
      <c r="MHF128" s="751"/>
      <c r="MHG128" s="751"/>
      <c r="MHH128" s="751"/>
      <c r="MHI128" s="751"/>
      <c r="MHJ128" s="751"/>
      <c r="MHK128" s="751"/>
      <c r="MHL128" s="751"/>
      <c r="MHM128" s="751"/>
      <c r="MHN128" s="751"/>
      <c r="MHO128" s="751"/>
      <c r="MHP128" s="751"/>
      <c r="MHQ128" s="751"/>
      <c r="MHR128" s="751"/>
      <c r="MHS128" s="751"/>
      <c r="MHT128" s="751"/>
      <c r="MHU128" s="751"/>
      <c r="MHV128" s="751"/>
      <c r="MHW128" s="751"/>
      <c r="MHX128" s="751"/>
      <c r="MHY128" s="751"/>
      <c r="MHZ128" s="751"/>
      <c r="MIA128" s="751"/>
      <c r="MIB128" s="751"/>
      <c r="MIC128" s="751"/>
      <c r="MID128" s="751"/>
      <c r="MIE128" s="751"/>
      <c r="MIF128" s="751"/>
      <c r="MIG128" s="751"/>
      <c r="MIH128" s="751"/>
      <c r="MII128" s="751"/>
      <c r="MIJ128" s="751"/>
      <c r="MIK128" s="751"/>
      <c r="MIL128" s="751"/>
      <c r="MIM128" s="751"/>
      <c r="MIN128" s="751"/>
      <c r="MIO128" s="751"/>
      <c r="MIP128" s="751"/>
      <c r="MIQ128" s="751"/>
      <c r="MIR128" s="751"/>
      <c r="MIS128" s="751"/>
      <c r="MIT128" s="751"/>
      <c r="MIU128" s="751"/>
      <c r="MIV128" s="751"/>
      <c r="MIW128" s="751"/>
      <c r="MIX128" s="751"/>
      <c r="MIY128" s="751"/>
      <c r="MIZ128" s="751"/>
      <c r="MJA128" s="751"/>
      <c r="MJB128" s="751"/>
      <c r="MJC128" s="751"/>
      <c r="MJD128" s="751"/>
      <c r="MJE128" s="751"/>
      <c r="MJF128" s="751"/>
      <c r="MJG128" s="751"/>
      <c r="MJH128" s="751"/>
      <c r="MJI128" s="751"/>
      <c r="MJJ128" s="751"/>
      <c r="MJK128" s="751"/>
      <c r="MJL128" s="751"/>
      <c r="MJM128" s="751"/>
      <c r="MJN128" s="751"/>
      <c r="MJO128" s="751"/>
      <c r="MJP128" s="751"/>
      <c r="MJQ128" s="751"/>
      <c r="MJR128" s="751"/>
      <c r="MJS128" s="751"/>
      <c r="MJT128" s="751"/>
      <c r="MJU128" s="751"/>
      <c r="MJV128" s="751"/>
      <c r="MJW128" s="751"/>
      <c r="MJX128" s="751"/>
      <c r="MJY128" s="751"/>
      <c r="MJZ128" s="751"/>
      <c r="MKA128" s="751"/>
      <c r="MKB128" s="751"/>
      <c r="MKC128" s="751"/>
      <c r="MKD128" s="751"/>
      <c r="MKE128" s="751"/>
      <c r="MKF128" s="751"/>
      <c r="MKG128" s="751"/>
      <c r="MKH128" s="751"/>
      <c r="MKI128" s="751"/>
      <c r="MKJ128" s="751"/>
      <c r="MKK128" s="751"/>
      <c r="MKL128" s="751"/>
      <c r="MKM128" s="751"/>
      <c r="MKN128" s="751"/>
      <c r="MKO128" s="751"/>
      <c r="MKP128" s="751"/>
      <c r="MKQ128" s="751"/>
      <c r="MKR128" s="751"/>
      <c r="MKS128" s="751"/>
      <c r="MKT128" s="751"/>
      <c r="MKU128" s="751"/>
      <c r="MKV128" s="751"/>
      <c r="MKW128" s="751"/>
      <c r="MKX128" s="751"/>
      <c r="MKY128" s="751"/>
      <c r="MKZ128" s="751"/>
      <c r="MLA128" s="751"/>
      <c r="MLB128" s="751"/>
      <c r="MLC128" s="751"/>
      <c r="MLD128" s="751"/>
      <c r="MLE128" s="751"/>
      <c r="MLF128" s="751"/>
      <c r="MLG128" s="751"/>
      <c r="MLH128" s="751"/>
      <c r="MLI128" s="751"/>
      <c r="MLJ128" s="751"/>
      <c r="MLK128" s="751"/>
      <c r="MLL128" s="751"/>
      <c r="MLM128" s="751"/>
      <c r="MLN128" s="751"/>
      <c r="MLO128" s="751"/>
      <c r="MLP128" s="751"/>
      <c r="MLQ128" s="751"/>
      <c r="MLR128" s="751"/>
      <c r="MLS128" s="751"/>
      <c r="MLT128" s="751"/>
      <c r="MLU128" s="751"/>
      <c r="MLV128" s="751"/>
      <c r="MLW128" s="751"/>
      <c r="MLX128" s="751"/>
      <c r="MLY128" s="751"/>
      <c r="MLZ128" s="751"/>
      <c r="MMA128" s="751"/>
      <c r="MMB128" s="751"/>
      <c r="MMC128" s="751"/>
      <c r="MMD128" s="751"/>
      <c r="MME128" s="751"/>
      <c r="MMF128" s="751"/>
      <c r="MMG128" s="751"/>
      <c r="MMH128" s="751"/>
      <c r="MMI128" s="751"/>
      <c r="MMJ128" s="751"/>
      <c r="MMK128" s="751"/>
      <c r="MML128" s="751"/>
      <c r="MMM128" s="751"/>
      <c r="MMN128" s="751"/>
      <c r="MMO128" s="751"/>
      <c r="MMP128" s="751"/>
      <c r="MMQ128" s="751"/>
      <c r="MMR128" s="751"/>
      <c r="MMS128" s="751"/>
      <c r="MMT128" s="751"/>
      <c r="MMU128" s="751"/>
      <c r="MMV128" s="751"/>
      <c r="MMW128" s="751"/>
      <c r="MMX128" s="751"/>
      <c r="MMY128" s="751"/>
      <c r="MMZ128" s="751"/>
      <c r="MNA128" s="751"/>
      <c r="MNB128" s="751"/>
      <c r="MNC128" s="751"/>
      <c r="MND128" s="751"/>
      <c r="MNE128" s="751"/>
      <c r="MNF128" s="751"/>
      <c r="MNG128" s="751"/>
      <c r="MNH128" s="751"/>
      <c r="MNI128" s="751"/>
      <c r="MNJ128" s="751"/>
      <c r="MNK128" s="751"/>
      <c r="MNL128" s="751"/>
      <c r="MNM128" s="751"/>
      <c r="MNN128" s="751"/>
      <c r="MNO128" s="751"/>
      <c r="MNP128" s="751"/>
      <c r="MNQ128" s="751"/>
      <c r="MNR128" s="751"/>
      <c r="MNS128" s="751"/>
      <c r="MNT128" s="751"/>
      <c r="MNU128" s="751"/>
      <c r="MNV128" s="751"/>
      <c r="MNW128" s="751"/>
      <c r="MNX128" s="751"/>
      <c r="MNY128" s="751"/>
      <c r="MNZ128" s="751"/>
      <c r="MOA128" s="751"/>
      <c r="MOB128" s="751"/>
      <c r="MOC128" s="751"/>
      <c r="MOD128" s="751"/>
      <c r="MOE128" s="751"/>
      <c r="MOF128" s="751"/>
      <c r="MOG128" s="751"/>
      <c r="MOH128" s="751"/>
      <c r="MOI128" s="751"/>
      <c r="MOJ128" s="751"/>
      <c r="MOK128" s="751"/>
      <c r="MOL128" s="751"/>
      <c r="MOM128" s="751"/>
      <c r="MON128" s="751"/>
      <c r="MOO128" s="751"/>
      <c r="MOP128" s="751"/>
      <c r="MOQ128" s="751"/>
      <c r="MOR128" s="751"/>
      <c r="MOS128" s="751"/>
      <c r="MOT128" s="751"/>
      <c r="MOU128" s="751"/>
      <c r="MOV128" s="751"/>
      <c r="MOW128" s="751"/>
      <c r="MOX128" s="751"/>
      <c r="MOY128" s="751"/>
      <c r="MOZ128" s="751"/>
      <c r="MPA128" s="751"/>
      <c r="MPB128" s="751"/>
      <c r="MPC128" s="751"/>
      <c r="MPD128" s="751"/>
      <c r="MPE128" s="751"/>
      <c r="MPF128" s="751"/>
      <c r="MPG128" s="751"/>
      <c r="MPH128" s="751"/>
      <c r="MPI128" s="751"/>
      <c r="MPJ128" s="751"/>
      <c r="MPK128" s="751"/>
      <c r="MPL128" s="751"/>
      <c r="MPM128" s="751"/>
      <c r="MPN128" s="751"/>
      <c r="MPO128" s="751"/>
      <c r="MPP128" s="751"/>
      <c r="MPQ128" s="751"/>
      <c r="MPR128" s="751"/>
      <c r="MPS128" s="751"/>
      <c r="MPT128" s="751"/>
      <c r="MPU128" s="751"/>
      <c r="MPV128" s="751"/>
      <c r="MPW128" s="751"/>
      <c r="MPX128" s="751"/>
      <c r="MPY128" s="751"/>
      <c r="MPZ128" s="751"/>
      <c r="MQA128" s="751"/>
      <c r="MQB128" s="751"/>
      <c r="MQC128" s="751"/>
      <c r="MQD128" s="751"/>
      <c r="MQE128" s="751"/>
      <c r="MQF128" s="751"/>
      <c r="MQG128" s="751"/>
      <c r="MQH128" s="751"/>
      <c r="MQI128" s="751"/>
      <c r="MQJ128" s="751"/>
      <c r="MQK128" s="751"/>
      <c r="MQL128" s="751"/>
      <c r="MQM128" s="751"/>
      <c r="MQN128" s="751"/>
      <c r="MQO128" s="751"/>
      <c r="MQP128" s="751"/>
      <c r="MQQ128" s="751"/>
      <c r="MQR128" s="751"/>
      <c r="MQS128" s="751"/>
      <c r="MQT128" s="751"/>
      <c r="MQU128" s="751"/>
      <c r="MQV128" s="751"/>
      <c r="MQW128" s="751"/>
      <c r="MQX128" s="751"/>
      <c r="MQY128" s="751"/>
      <c r="MQZ128" s="751"/>
      <c r="MRA128" s="751"/>
      <c r="MRB128" s="751"/>
      <c r="MRC128" s="751"/>
      <c r="MRD128" s="751"/>
      <c r="MRE128" s="751"/>
      <c r="MRF128" s="751"/>
      <c r="MRG128" s="751"/>
      <c r="MRH128" s="751"/>
      <c r="MRI128" s="751"/>
      <c r="MRJ128" s="751"/>
      <c r="MRK128" s="751"/>
      <c r="MRL128" s="751"/>
      <c r="MRM128" s="751"/>
      <c r="MRN128" s="751"/>
      <c r="MRO128" s="751"/>
      <c r="MRP128" s="751"/>
      <c r="MRQ128" s="751"/>
      <c r="MRR128" s="751"/>
      <c r="MRS128" s="751"/>
      <c r="MRT128" s="751"/>
      <c r="MRU128" s="751"/>
      <c r="MRV128" s="751"/>
      <c r="MRW128" s="751"/>
      <c r="MRX128" s="751"/>
      <c r="MRY128" s="751"/>
      <c r="MRZ128" s="751"/>
      <c r="MSA128" s="751"/>
      <c r="MSB128" s="751"/>
      <c r="MSC128" s="751"/>
      <c r="MSD128" s="751"/>
      <c r="MSE128" s="751"/>
      <c r="MSF128" s="751"/>
      <c r="MSG128" s="751"/>
      <c r="MSH128" s="751"/>
      <c r="MSI128" s="751"/>
      <c r="MSJ128" s="751"/>
      <c r="MSK128" s="751"/>
      <c r="MSL128" s="751"/>
      <c r="MSM128" s="751"/>
      <c r="MSN128" s="751"/>
      <c r="MSO128" s="751"/>
      <c r="MSP128" s="751"/>
      <c r="MSQ128" s="751"/>
      <c r="MSR128" s="751"/>
      <c r="MSS128" s="751"/>
      <c r="MST128" s="751"/>
      <c r="MSU128" s="751"/>
      <c r="MSV128" s="751"/>
      <c r="MSW128" s="751"/>
      <c r="MSX128" s="751"/>
      <c r="MSY128" s="751"/>
      <c r="MSZ128" s="751"/>
      <c r="MTA128" s="751"/>
      <c r="MTB128" s="751"/>
      <c r="MTC128" s="751"/>
      <c r="MTD128" s="751"/>
      <c r="MTE128" s="751"/>
      <c r="MTF128" s="751"/>
      <c r="MTG128" s="751"/>
      <c r="MTH128" s="751"/>
      <c r="MTI128" s="751"/>
      <c r="MTJ128" s="751"/>
      <c r="MTK128" s="751"/>
      <c r="MTL128" s="751"/>
      <c r="MTM128" s="751"/>
      <c r="MTN128" s="751"/>
      <c r="MTO128" s="751"/>
      <c r="MTP128" s="751"/>
      <c r="MTQ128" s="751"/>
      <c r="MTR128" s="751"/>
      <c r="MTS128" s="751"/>
      <c r="MTT128" s="751"/>
      <c r="MTU128" s="751"/>
      <c r="MTV128" s="751"/>
      <c r="MTW128" s="751"/>
      <c r="MTX128" s="751"/>
      <c r="MTY128" s="751"/>
      <c r="MTZ128" s="751"/>
      <c r="MUA128" s="751"/>
      <c r="MUB128" s="751"/>
      <c r="MUC128" s="751"/>
      <c r="MUD128" s="751"/>
      <c r="MUE128" s="751"/>
      <c r="MUF128" s="751"/>
      <c r="MUG128" s="751"/>
      <c r="MUH128" s="751"/>
      <c r="MUI128" s="751"/>
      <c r="MUJ128" s="751"/>
      <c r="MUK128" s="751"/>
      <c r="MUL128" s="751"/>
      <c r="MUM128" s="751"/>
      <c r="MUN128" s="751"/>
      <c r="MUO128" s="751"/>
      <c r="MUP128" s="751"/>
      <c r="MUQ128" s="751"/>
      <c r="MUR128" s="751"/>
      <c r="MUS128" s="751"/>
      <c r="MUT128" s="751"/>
      <c r="MUU128" s="751"/>
      <c r="MUV128" s="751"/>
      <c r="MUW128" s="751"/>
      <c r="MUX128" s="751"/>
      <c r="MUY128" s="751"/>
      <c r="MUZ128" s="751"/>
      <c r="MVA128" s="751"/>
      <c r="MVB128" s="751"/>
      <c r="MVC128" s="751"/>
      <c r="MVD128" s="751"/>
      <c r="MVE128" s="751"/>
      <c r="MVF128" s="751"/>
      <c r="MVG128" s="751"/>
      <c r="MVH128" s="751"/>
      <c r="MVI128" s="751"/>
      <c r="MVJ128" s="751"/>
      <c r="MVK128" s="751"/>
      <c r="MVL128" s="751"/>
      <c r="MVM128" s="751"/>
      <c r="MVN128" s="751"/>
      <c r="MVO128" s="751"/>
      <c r="MVP128" s="751"/>
      <c r="MVQ128" s="751"/>
      <c r="MVR128" s="751"/>
      <c r="MVS128" s="751"/>
      <c r="MVT128" s="751"/>
      <c r="MVU128" s="751"/>
      <c r="MVV128" s="751"/>
      <c r="MVW128" s="751"/>
      <c r="MVX128" s="751"/>
      <c r="MVY128" s="751"/>
      <c r="MVZ128" s="751"/>
      <c r="MWA128" s="751"/>
      <c r="MWB128" s="751"/>
      <c r="MWC128" s="751"/>
      <c r="MWD128" s="751"/>
      <c r="MWE128" s="751"/>
      <c r="MWF128" s="751"/>
      <c r="MWG128" s="751"/>
      <c r="MWH128" s="751"/>
      <c r="MWI128" s="751"/>
      <c r="MWJ128" s="751"/>
      <c r="MWK128" s="751"/>
      <c r="MWL128" s="751"/>
      <c r="MWM128" s="751"/>
      <c r="MWN128" s="751"/>
      <c r="MWO128" s="751"/>
      <c r="MWP128" s="751"/>
      <c r="MWQ128" s="751"/>
      <c r="MWR128" s="751"/>
      <c r="MWS128" s="751"/>
      <c r="MWT128" s="751"/>
      <c r="MWU128" s="751"/>
      <c r="MWV128" s="751"/>
      <c r="MWW128" s="751"/>
      <c r="MWX128" s="751"/>
      <c r="MWY128" s="751"/>
      <c r="MWZ128" s="751"/>
      <c r="MXA128" s="751"/>
      <c r="MXB128" s="751"/>
      <c r="MXC128" s="751"/>
      <c r="MXD128" s="751"/>
      <c r="MXE128" s="751"/>
      <c r="MXF128" s="751"/>
      <c r="MXG128" s="751"/>
      <c r="MXH128" s="751"/>
      <c r="MXI128" s="751"/>
      <c r="MXJ128" s="751"/>
      <c r="MXK128" s="751"/>
      <c r="MXL128" s="751"/>
      <c r="MXM128" s="751"/>
      <c r="MXN128" s="751"/>
      <c r="MXO128" s="751"/>
      <c r="MXP128" s="751"/>
      <c r="MXQ128" s="751"/>
      <c r="MXR128" s="751"/>
      <c r="MXS128" s="751"/>
      <c r="MXT128" s="751"/>
      <c r="MXU128" s="751"/>
      <c r="MXV128" s="751"/>
      <c r="MXW128" s="751"/>
      <c r="MXX128" s="751"/>
      <c r="MXY128" s="751"/>
      <c r="MXZ128" s="751"/>
      <c r="MYA128" s="751"/>
      <c r="MYB128" s="751"/>
      <c r="MYC128" s="751"/>
      <c r="MYD128" s="751"/>
      <c r="MYE128" s="751"/>
      <c r="MYF128" s="751"/>
      <c r="MYG128" s="751"/>
      <c r="MYH128" s="751"/>
      <c r="MYI128" s="751"/>
      <c r="MYJ128" s="751"/>
      <c r="MYK128" s="751"/>
      <c r="MYL128" s="751"/>
      <c r="MYM128" s="751"/>
      <c r="MYN128" s="751"/>
      <c r="MYO128" s="751"/>
      <c r="MYP128" s="751"/>
      <c r="MYQ128" s="751"/>
      <c r="MYR128" s="751"/>
      <c r="MYS128" s="751"/>
      <c r="MYT128" s="751"/>
      <c r="MYU128" s="751"/>
      <c r="MYV128" s="751"/>
      <c r="MYW128" s="751"/>
      <c r="MYX128" s="751"/>
      <c r="MYY128" s="751"/>
      <c r="MYZ128" s="751"/>
      <c r="MZA128" s="751"/>
      <c r="MZB128" s="751"/>
      <c r="MZC128" s="751"/>
      <c r="MZD128" s="751"/>
      <c r="MZE128" s="751"/>
      <c r="MZF128" s="751"/>
      <c r="MZG128" s="751"/>
      <c r="MZH128" s="751"/>
      <c r="MZI128" s="751"/>
      <c r="MZJ128" s="751"/>
      <c r="MZK128" s="751"/>
      <c r="MZL128" s="751"/>
      <c r="MZM128" s="751"/>
      <c r="MZN128" s="751"/>
      <c r="MZO128" s="751"/>
      <c r="MZP128" s="751"/>
      <c r="MZQ128" s="751"/>
      <c r="MZR128" s="751"/>
      <c r="MZS128" s="751"/>
      <c r="MZT128" s="751"/>
      <c r="MZU128" s="751"/>
      <c r="MZV128" s="751"/>
      <c r="MZW128" s="751"/>
      <c r="MZX128" s="751"/>
      <c r="MZY128" s="751"/>
      <c r="MZZ128" s="751"/>
      <c r="NAA128" s="751"/>
      <c r="NAB128" s="751"/>
      <c r="NAC128" s="751"/>
      <c r="NAD128" s="751"/>
      <c r="NAE128" s="751"/>
      <c r="NAF128" s="751"/>
      <c r="NAG128" s="751"/>
      <c r="NAH128" s="751"/>
      <c r="NAI128" s="751"/>
      <c r="NAJ128" s="751"/>
      <c r="NAK128" s="751"/>
      <c r="NAL128" s="751"/>
      <c r="NAM128" s="751"/>
      <c r="NAN128" s="751"/>
      <c r="NAO128" s="751"/>
      <c r="NAP128" s="751"/>
      <c r="NAQ128" s="751"/>
      <c r="NAR128" s="751"/>
      <c r="NAS128" s="751"/>
      <c r="NAT128" s="751"/>
      <c r="NAU128" s="751"/>
      <c r="NAV128" s="751"/>
      <c r="NAW128" s="751"/>
      <c r="NAX128" s="751"/>
      <c r="NAY128" s="751"/>
      <c r="NAZ128" s="751"/>
      <c r="NBA128" s="751"/>
      <c r="NBB128" s="751"/>
      <c r="NBC128" s="751"/>
      <c r="NBD128" s="751"/>
      <c r="NBE128" s="751"/>
      <c r="NBF128" s="751"/>
      <c r="NBG128" s="751"/>
      <c r="NBH128" s="751"/>
      <c r="NBI128" s="751"/>
      <c r="NBJ128" s="751"/>
      <c r="NBK128" s="751"/>
      <c r="NBL128" s="751"/>
      <c r="NBM128" s="751"/>
      <c r="NBN128" s="751"/>
      <c r="NBO128" s="751"/>
      <c r="NBP128" s="751"/>
      <c r="NBQ128" s="751"/>
      <c r="NBR128" s="751"/>
      <c r="NBS128" s="751"/>
      <c r="NBT128" s="751"/>
      <c r="NBU128" s="751"/>
      <c r="NBV128" s="751"/>
      <c r="NBW128" s="751"/>
      <c r="NBX128" s="751"/>
      <c r="NBY128" s="751"/>
      <c r="NBZ128" s="751"/>
      <c r="NCA128" s="751"/>
      <c r="NCB128" s="751"/>
      <c r="NCC128" s="751"/>
      <c r="NCD128" s="751"/>
      <c r="NCE128" s="751"/>
      <c r="NCF128" s="751"/>
      <c r="NCG128" s="751"/>
      <c r="NCH128" s="751"/>
      <c r="NCI128" s="751"/>
      <c r="NCJ128" s="751"/>
      <c r="NCK128" s="751"/>
      <c r="NCL128" s="751"/>
      <c r="NCM128" s="751"/>
      <c r="NCN128" s="751"/>
      <c r="NCO128" s="751"/>
      <c r="NCP128" s="751"/>
      <c r="NCQ128" s="751"/>
      <c r="NCR128" s="751"/>
      <c r="NCS128" s="751"/>
      <c r="NCT128" s="751"/>
      <c r="NCU128" s="751"/>
      <c r="NCV128" s="751"/>
      <c r="NCW128" s="751"/>
      <c r="NCX128" s="751"/>
      <c r="NCY128" s="751"/>
      <c r="NCZ128" s="751"/>
      <c r="NDA128" s="751"/>
      <c r="NDB128" s="751"/>
      <c r="NDC128" s="751"/>
      <c r="NDD128" s="751"/>
      <c r="NDE128" s="751"/>
      <c r="NDF128" s="751"/>
      <c r="NDG128" s="751"/>
      <c r="NDH128" s="751"/>
      <c r="NDI128" s="751"/>
      <c r="NDJ128" s="751"/>
      <c r="NDK128" s="751"/>
      <c r="NDL128" s="751"/>
      <c r="NDM128" s="751"/>
      <c r="NDN128" s="751"/>
      <c r="NDO128" s="751"/>
      <c r="NDP128" s="751"/>
      <c r="NDQ128" s="751"/>
      <c r="NDR128" s="751"/>
      <c r="NDS128" s="751"/>
      <c r="NDT128" s="751"/>
      <c r="NDU128" s="751"/>
      <c r="NDV128" s="751"/>
      <c r="NDW128" s="751"/>
      <c r="NDX128" s="751"/>
      <c r="NDY128" s="751"/>
      <c r="NDZ128" s="751"/>
      <c r="NEA128" s="751"/>
      <c r="NEB128" s="751"/>
      <c r="NEC128" s="751"/>
      <c r="NED128" s="751"/>
      <c r="NEE128" s="751"/>
      <c r="NEF128" s="751"/>
      <c r="NEG128" s="751"/>
      <c r="NEH128" s="751"/>
      <c r="NEI128" s="751"/>
      <c r="NEJ128" s="751"/>
      <c r="NEK128" s="751"/>
      <c r="NEL128" s="751"/>
      <c r="NEM128" s="751"/>
      <c r="NEN128" s="751"/>
      <c r="NEO128" s="751"/>
      <c r="NEP128" s="751"/>
      <c r="NEQ128" s="751"/>
      <c r="NER128" s="751"/>
      <c r="NES128" s="751"/>
      <c r="NET128" s="751"/>
      <c r="NEU128" s="751"/>
      <c r="NEV128" s="751"/>
      <c r="NEW128" s="751"/>
      <c r="NEX128" s="751"/>
      <c r="NEY128" s="751"/>
      <c r="NEZ128" s="751"/>
      <c r="NFA128" s="751"/>
      <c r="NFB128" s="751"/>
      <c r="NFC128" s="751"/>
      <c r="NFD128" s="751"/>
      <c r="NFE128" s="751"/>
      <c r="NFF128" s="751"/>
      <c r="NFG128" s="751"/>
      <c r="NFH128" s="751"/>
      <c r="NFI128" s="751"/>
      <c r="NFJ128" s="751"/>
      <c r="NFK128" s="751"/>
      <c r="NFL128" s="751"/>
      <c r="NFM128" s="751"/>
      <c r="NFN128" s="751"/>
      <c r="NFO128" s="751"/>
      <c r="NFP128" s="751"/>
      <c r="NFQ128" s="751"/>
      <c r="NFR128" s="751"/>
      <c r="NFS128" s="751"/>
      <c r="NFT128" s="751"/>
      <c r="NFU128" s="751"/>
      <c r="NFV128" s="751"/>
      <c r="NFW128" s="751"/>
      <c r="NFX128" s="751"/>
      <c r="NFY128" s="751"/>
      <c r="NFZ128" s="751"/>
      <c r="NGA128" s="751"/>
      <c r="NGB128" s="751"/>
      <c r="NGC128" s="751"/>
      <c r="NGD128" s="751"/>
      <c r="NGE128" s="751"/>
      <c r="NGF128" s="751"/>
      <c r="NGG128" s="751"/>
      <c r="NGH128" s="751"/>
      <c r="NGI128" s="751"/>
      <c r="NGJ128" s="751"/>
      <c r="NGK128" s="751"/>
      <c r="NGL128" s="751"/>
      <c r="NGM128" s="751"/>
      <c r="NGN128" s="751"/>
      <c r="NGO128" s="751"/>
      <c r="NGP128" s="751"/>
      <c r="NGQ128" s="751"/>
      <c r="NGR128" s="751"/>
      <c r="NGS128" s="751"/>
      <c r="NGT128" s="751"/>
      <c r="NGU128" s="751"/>
      <c r="NGV128" s="751"/>
      <c r="NGW128" s="751"/>
      <c r="NGX128" s="751"/>
      <c r="NGY128" s="751"/>
      <c r="NGZ128" s="751"/>
      <c r="NHA128" s="751"/>
      <c r="NHB128" s="751"/>
      <c r="NHC128" s="751"/>
      <c r="NHD128" s="751"/>
      <c r="NHE128" s="751"/>
      <c r="NHF128" s="751"/>
      <c r="NHG128" s="751"/>
      <c r="NHH128" s="751"/>
      <c r="NHI128" s="751"/>
      <c r="NHJ128" s="751"/>
      <c r="NHK128" s="751"/>
      <c r="NHL128" s="751"/>
      <c r="NHM128" s="751"/>
      <c r="NHN128" s="751"/>
      <c r="NHO128" s="751"/>
      <c r="NHP128" s="751"/>
      <c r="NHQ128" s="751"/>
      <c r="NHR128" s="751"/>
      <c r="NHS128" s="751"/>
      <c r="NHT128" s="751"/>
      <c r="NHU128" s="751"/>
      <c r="NHV128" s="751"/>
      <c r="NHW128" s="751"/>
      <c r="NHX128" s="751"/>
      <c r="NHY128" s="751"/>
      <c r="NHZ128" s="751"/>
      <c r="NIA128" s="751"/>
      <c r="NIB128" s="751"/>
      <c r="NIC128" s="751"/>
      <c r="NID128" s="751"/>
      <c r="NIE128" s="751"/>
      <c r="NIF128" s="751"/>
      <c r="NIG128" s="751"/>
      <c r="NIH128" s="751"/>
      <c r="NII128" s="751"/>
      <c r="NIJ128" s="751"/>
      <c r="NIK128" s="751"/>
      <c r="NIL128" s="751"/>
      <c r="NIM128" s="751"/>
      <c r="NIN128" s="751"/>
      <c r="NIO128" s="751"/>
      <c r="NIP128" s="751"/>
      <c r="NIQ128" s="751"/>
      <c r="NIR128" s="751"/>
      <c r="NIS128" s="751"/>
      <c r="NIT128" s="751"/>
      <c r="NIU128" s="751"/>
      <c r="NIV128" s="751"/>
      <c r="NIW128" s="751"/>
      <c r="NIX128" s="751"/>
      <c r="NIY128" s="751"/>
      <c r="NIZ128" s="751"/>
      <c r="NJA128" s="751"/>
      <c r="NJB128" s="751"/>
      <c r="NJC128" s="751"/>
      <c r="NJD128" s="751"/>
      <c r="NJE128" s="751"/>
      <c r="NJF128" s="751"/>
      <c r="NJG128" s="751"/>
      <c r="NJH128" s="751"/>
      <c r="NJI128" s="751"/>
      <c r="NJJ128" s="751"/>
      <c r="NJK128" s="751"/>
      <c r="NJL128" s="751"/>
      <c r="NJM128" s="751"/>
      <c r="NJN128" s="751"/>
      <c r="NJO128" s="751"/>
      <c r="NJP128" s="751"/>
      <c r="NJQ128" s="751"/>
      <c r="NJR128" s="751"/>
      <c r="NJS128" s="751"/>
      <c r="NJT128" s="751"/>
      <c r="NJU128" s="751"/>
      <c r="NJV128" s="751"/>
      <c r="NJW128" s="751"/>
      <c r="NJX128" s="751"/>
      <c r="NJY128" s="751"/>
      <c r="NJZ128" s="751"/>
      <c r="NKA128" s="751"/>
      <c r="NKB128" s="751"/>
      <c r="NKC128" s="751"/>
      <c r="NKD128" s="751"/>
      <c r="NKE128" s="751"/>
      <c r="NKF128" s="751"/>
      <c r="NKG128" s="751"/>
      <c r="NKH128" s="751"/>
      <c r="NKI128" s="751"/>
      <c r="NKJ128" s="751"/>
      <c r="NKK128" s="751"/>
      <c r="NKL128" s="751"/>
      <c r="NKM128" s="751"/>
      <c r="NKN128" s="751"/>
      <c r="NKO128" s="751"/>
      <c r="NKP128" s="751"/>
      <c r="NKQ128" s="751"/>
      <c r="NKR128" s="751"/>
      <c r="NKS128" s="751"/>
      <c r="NKT128" s="751"/>
      <c r="NKU128" s="751"/>
      <c r="NKV128" s="751"/>
      <c r="NKW128" s="751"/>
      <c r="NKX128" s="751"/>
      <c r="NKY128" s="751"/>
      <c r="NKZ128" s="751"/>
      <c r="NLA128" s="751"/>
      <c r="NLB128" s="751"/>
      <c r="NLC128" s="751"/>
      <c r="NLD128" s="751"/>
      <c r="NLE128" s="751"/>
      <c r="NLF128" s="751"/>
      <c r="NLG128" s="751"/>
      <c r="NLH128" s="751"/>
      <c r="NLI128" s="751"/>
      <c r="NLJ128" s="751"/>
      <c r="NLK128" s="751"/>
      <c r="NLL128" s="751"/>
      <c r="NLM128" s="751"/>
      <c r="NLN128" s="751"/>
      <c r="NLO128" s="751"/>
      <c r="NLP128" s="751"/>
      <c r="NLQ128" s="751"/>
      <c r="NLR128" s="751"/>
      <c r="NLS128" s="751"/>
      <c r="NLT128" s="751"/>
      <c r="NLU128" s="751"/>
      <c r="NLV128" s="751"/>
      <c r="NLW128" s="751"/>
      <c r="NLX128" s="751"/>
      <c r="NLY128" s="751"/>
      <c r="NLZ128" s="751"/>
      <c r="NMA128" s="751"/>
      <c r="NMB128" s="751"/>
      <c r="NMC128" s="751"/>
      <c r="NMD128" s="751"/>
      <c r="NME128" s="751"/>
      <c r="NMF128" s="751"/>
      <c r="NMG128" s="751"/>
      <c r="NMH128" s="751"/>
      <c r="NMI128" s="751"/>
      <c r="NMJ128" s="751"/>
      <c r="NMK128" s="751"/>
      <c r="NML128" s="751"/>
      <c r="NMM128" s="751"/>
      <c r="NMN128" s="751"/>
      <c r="NMO128" s="751"/>
      <c r="NMP128" s="751"/>
      <c r="NMQ128" s="751"/>
      <c r="NMR128" s="751"/>
      <c r="NMS128" s="751"/>
      <c r="NMT128" s="751"/>
      <c r="NMU128" s="751"/>
      <c r="NMV128" s="751"/>
      <c r="NMW128" s="751"/>
      <c r="NMX128" s="751"/>
      <c r="NMY128" s="751"/>
      <c r="NMZ128" s="751"/>
      <c r="NNA128" s="751"/>
      <c r="NNB128" s="751"/>
      <c r="NNC128" s="751"/>
      <c r="NND128" s="751"/>
      <c r="NNE128" s="751"/>
      <c r="NNF128" s="751"/>
      <c r="NNG128" s="751"/>
      <c r="NNH128" s="751"/>
      <c r="NNI128" s="751"/>
      <c r="NNJ128" s="751"/>
      <c r="NNK128" s="751"/>
      <c r="NNL128" s="751"/>
      <c r="NNM128" s="751"/>
      <c r="NNN128" s="751"/>
      <c r="NNO128" s="751"/>
      <c r="NNP128" s="751"/>
      <c r="NNQ128" s="751"/>
      <c r="NNR128" s="751"/>
      <c r="NNS128" s="751"/>
      <c r="NNT128" s="751"/>
      <c r="NNU128" s="751"/>
      <c r="NNV128" s="751"/>
      <c r="NNW128" s="751"/>
      <c r="NNX128" s="751"/>
      <c r="NNY128" s="751"/>
      <c r="NNZ128" s="751"/>
      <c r="NOA128" s="751"/>
      <c r="NOB128" s="751"/>
      <c r="NOC128" s="751"/>
      <c r="NOD128" s="751"/>
      <c r="NOE128" s="751"/>
      <c r="NOF128" s="751"/>
      <c r="NOG128" s="751"/>
      <c r="NOH128" s="751"/>
      <c r="NOI128" s="751"/>
      <c r="NOJ128" s="751"/>
      <c r="NOK128" s="751"/>
      <c r="NOL128" s="751"/>
      <c r="NOM128" s="751"/>
      <c r="NON128" s="751"/>
      <c r="NOO128" s="751"/>
      <c r="NOP128" s="751"/>
      <c r="NOQ128" s="751"/>
      <c r="NOR128" s="751"/>
      <c r="NOS128" s="751"/>
      <c r="NOT128" s="751"/>
      <c r="NOU128" s="751"/>
      <c r="NOV128" s="751"/>
      <c r="NOW128" s="751"/>
      <c r="NOX128" s="751"/>
      <c r="NOY128" s="751"/>
      <c r="NOZ128" s="751"/>
      <c r="NPA128" s="751"/>
      <c r="NPB128" s="751"/>
      <c r="NPC128" s="751"/>
      <c r="NPD128" s="751"/>
      <c r="NPE128" s="751"/>
      <c r="NPF128" s="751"/>
      <c r="NPG128" s="751"/>
      <c r="NPH128" s="751"/>
      <c r="NPI128" s="751"/>
      <c r="NPJ128" s="751"/>
      <c r="NPK128" s="751"/>
      <c r="NPL128" s="751"/>
      <c r="NPM128" s="751"/>
      <c r="NPN128" s="751"/>
      <c r="NPO128" s="751"/>
      <c r="NPP128" s="751"/>
      <c r="NPQ128" s="751"/>
      <c r="NPR128" s="751"/>
      <c r="NPS128" s="751"/>
      <c r="NPT128" s="751"/>
      <c r="NPU128" s="751"/>
      <c r="NPV128" s="751"/>
      <c r="NPW128" s="751"/>
      <c r="NPX128" s="751"/>
      <c r="NPY128" s="751"/>
      <c r="NPZ128" s="751"/>
      <c r="NQA128" s="751"/>
      <c r="NQB128" s="751"/>
      <c r="NQC128" s="751"/>
      <c r="NQD128" s="751"/>
      <c r="NQE128" s="751"/>
      <c r="NQF128" s="751"/>
      <c r="NQG128" s="751"/>
      <c r="NQH128" s="751"/>
      <c r="NQI128" s="751"/>
      <c r="NQJ128" s="751"/>
      <c r="NQK128" s="751"/>
      <c r="NQL128" s="751"/>
      <c r="NQM128" s="751"/>
      <c r="NQN128" s="751"/>
      <c r="NQO128" s="751"/>
      <c r="NQP128" s="751"/>
      <c r="NQQ128" s="751"/>
      <c r="NQR128" s="751"/>
      <c r="NQS128" s="751"/>
      <c r="NQT128" s="751"/>
      <c r="NQU128" s="751"/>
      <c r="NQV128" s="751"/>
      <c r="NQW128" s="751"/>
      <c r="NQX128" s="751"/>
      <c r="NQY128" s="751"/>
      <c r="NQZ128" s="751"/>
      <c r="NRA128" s="751"/>
      <c r="NRB128" s="751"/>
      <c r="NRC128" s="751"/>
      <c r="NRD128" s="751"/>
      <c r="NRE128" s="751"/>
      <c r="NRF128" s="751"/>
      <c r="NRG128" s="751"/>
      <c r="NRH128" s="751"/>
      <c r="NRI128" s="751"/>
      <c r="NRJ128" s="751"/>
      <c r="NRK128" s="751"/>
      <c r="NRL128" s="751"/>
      <c r="NRM128" s="751"/>
      <c r="NRN128" s="751"/>
      <c r="NRO128" s="751"/>
      <c r="NRP128" s="751"/>
      <c r="NRQ128" s="751"/>
      <c r="NRR128" s="751"/>
      <c r="NRS128" s="751"/>
      <c r="NRT128" s="751"/>
      <c r="NRU128" s="751"/>
      <c r="NRV128" s="751"/>
      <c r="NRW128" s="751"/>
      <c r="NRX128" s="751"/>
      <c r="NRY128" s="751"/>
      <c r="NRZ128" s="751"/>
      <c r="NSA128" s="751"/>
      <c r="NSB128" s="751"/>
      <c r="NSC128" s="751"/>
      <c r="NSD128" s="751"/>
      <c r="NSE128" s="751"/>
      <c r="NSF128" s="751"/>
      <c r="NSG128" s="751"/>
      <c r="NSH128" s="751"/>
      <c r="NSI128" s="751"/>
      <c r="NSJ128" s="751"/>
      <c r="NSK128" s="751"/>
      <c r="NSL128" s="751"/>
      <c r="NSM128" s="751"/>
      <c r="NSN128" s="751"/>
      <c r="NSO128" s="751"/>
      <c r="NSP128" s="751"/>
      <c r="NSQ128" s="751"/>
      <c r="NSR128" s="751"/>
      <c r="NSS128" s="751"/>
      <c r="NST128" s="751"/>
      <c r="NSU128" s="751"/>
      <c r="NSV128" s="751"/>
      <c r="NSW128" s="751"/>
      <c r="NSX128" s="751"/>
      <c r="NSY128" s="751"/>
      <c r="NSZ128" s="751"/>
      <c r="NTA128" s="751"/>
      <c r="NTB128" s="751"/>
      <c r="NTC128" s="751"/>
      <c r="NTD128" s="751"/>
      <c r="NTE128" s="751"/>
      <c r="NTF128" s="751"/>
      <c r="NTG128" s="751"/>
      <c r="NTH128" s="751"/>
      <c r="NTI128" s="751"/>
      <c r="NTJ128" s="751"/>
      <c r="NTK128" s="751"/>
      <c r="NTL128" s="751"/>
      <c r="NTM128" s="751"/>
      <c r="NTN128" s="751"/>
      <c r="NTO128" s="751"/>
      <c r="NTP128" s="751"/>
      <c r="NTQ128" s="751"/>
      <c r="NTR128" s="751"/>
      <c r="NTS128" s="751"/>
      <c r="NTT128" s="751"/>
      <c r="NTU128" s="751"/>
      <c r="NTV128" s="751"/>
      <c r="NTW128" s="751"/>
      <c r="NTX128" s="751"/>
      <c r="NTY128" s="751"/>
      <c r="NTZ128" s="751"/>
      <c r="NUA128" s="751"/>
      <c r="NUB128" s="751"/>
      <c r="NUC128" s="751"/>
      <c r="NUD128" s="751"/>
      <c r="NUE128" s="751"/>
      <c r="NUF128" s="751"/>
      <c r="NUG128" s="751"/>
      <c r="NUH128" s="751"/>
      <c r="NUI128" s="751"/>
      <c r="NUJ128" s="751"/>
      <c r="NUK128" s="751"/>
      <c r="NUL128" s="751"/>
      <c r="NUM128" s="751"/>
      <c r="NUN128" s="751"/>
      <c r="NUO128" s="751"/>
      <c r="NUP128" s="751"/>
      <c r="NUQ128" s="751"/>
      <c r="NUR128" s="751"/>
      <c r="NUS128" s="751"/>
      <c r="NUT128" s="751"/>
      <c r="NUU128" s="751"/>
      <c r="NUV128" s="751"/>
      <c r="NUW128" s="751"/>
      <c r="NUX128" s="751"/>
      <c r="NUY128" s="751"/>
      <c r="NUZ128" s="751"/>
      <c r="NVA128" s="751"/>
      <c r="NVB128" s="751"/>
      <c r="NVC128" s="751"/>
      <c r="NVD128" s="751"/>
      <c r="NVE128" s="751"/>
      <c r="NVF128" s="751"/>
      <c r="NVG128" s="751"/>
      <c r="NVH128" s="751"/>
      <c r="NVI128" s="751"/>
      <c r="NVJ128" s="751"/>
      <c r="NVK128" s="751"/>
      <c r="NVL128" s="751"/>
      <c r="NVM128" s="751"/>
      <c r="NVN128" s="751"/>
      <c r="NVO128" s="751"/>
      <c r="NVP128" s="751"/>
      <c r="NVQ128" s="751"/>
      <c r="NVR128" s="751"/>
      <c r="NVS128" s="751"/>
      <c r="NVT128" s="751"/>
      <c r="NVU128" s="751"/>
      <c r="NVV128" s="751"/>
      <c r="NVW128" s="751"/>
      <c r="NVX128" s="751"/>
      <c r="NVY128" s="751"/>
      <c r="NVZ128" s="751"/>
      <c r="NWA128" s="751"/>
      <c r="NWB128" s="751"/>
      <c r="NWC128" s="751"/>
      <c r="NWD128" s="751"/>
      <c r="NWE128" s="751"/>
      <c r="NWF128" s="751"/>
      <c r="NWG128" s="751"/>
      <c r="NWH128" s="751"/>
      <c r="NWI128" s="751"/>
      <c r="NWJ128" s="751"/>
      <c r="NWK128" s="751"/>
      <c r="NWL128" s="751"/>
      <c r="NWM128" s="751"/>
      <c r="NWN128" s="751"/>
      <c r="NWO128" s="751"/>
      <c r="NWP128" s="751"/>
      <c r="NWQ128" s="751"/>
      <c r="NWR128" s="751"/>
      <c r="NWS128" s="751"/>
      <c r="NWT128" s="751"/>
      <c r="NWU128" s="751"/>
      <c r="NWV128" s="751"/>
      <c r="NWW128" s="751"/>
      <c r="NWX128" s="751"/>
      <c r="NWY128" s="751"/>
      <c r="NWZ128" s="751"/>
      <c r="NXA128" s="751"/>
      <c r="NXB128" s="751"/>
      <c r="NXC128" s="751"/>
      <c r="NXD128" s="751"/>
      <c r="NXE128" s="751"/>
      <c r="NXF128" s="751"/>
      <c r="NXG128" s="751"/>
      <c r="NXH128" s="751"/>
      <c r="NXI128" s="751"/>
      <c r="NXJ128" s="751"/>
      <c r="NXK128" s="751"/>
      <c r="NXL128" s="751"/>
      <c r="NXM128" s="751"/>
      <c r="NXN128" s="751"/>
      <c r="NXO128" s="751"/>
      <c r="NXP128" s="751"/>
      <c r="NXQ128" s="751"/>
      <c r="NXR128" s="751"/>
      <c r="NXS128" s="751"/>
      <c r="NXT128" s="751"/>
      <c r="NXU128" s="751"/>
      <c r="NXV128" s="751"/>
      <c r="NXW128" s="751"/>
      <c r="NXX128" s="751"/>
      <c r="NXY128" s="751"/>
      <c r="NXZ128" s="751"/>
      <c r="NYA128" s="751"/>
      <c r="NYB128" s="751"/>
      <c r="NYC128" s="751"/>
      <c r="NYD128" s="751"/>
      <c r="NYE128" s="751"/>
      <c r="NYF128" s="751"/>
      <c r="NYG128" s="751"/>
      <c r="NYH128" s="751"/>
      <c r="NYI128" s="751"/>
      <c r="NYJ128" s="751"/>
      <c r="NYK128" s="751"/>
      <c r="NYL128" s="751"/>
      <c r="NYM128" s="751"/>
      <c r="NYN128" s="751"/>
      <c r="NYO128" s="751"/>
      <c r="NYP128" s="751"/>
      <c r="NYQ128" s="751"/>
      <c r="NYR128" s="751"/>
      <c r="NYS128" s="751"/>
      <c r="NYT128" s="751"/>
      <c r="NYU128" s="751"/>
      <c r="NYV128" s="751"/>
      <c r="NYW128" s="751"/>
      <c r="NYX128" s="751"/>
      <c r="NYY128" s="751"/>
      <c r="NYZ128" s="751"/>
      <c r="NZA128" s="751"/>
      <c r="NZB128" s="751"/>
      <c r="NZC128" s="751"/>
      <c r="NZD128" s="751"/>
      <c r="NZE128" s="751"/>
      <c r="NZF128" s="751"/>
      <c r="NZG128" s="751"/>
      <c r="NZH128" s="751"/>
      <c r="NZI128" s="751"/>
      <c r="NZJ128" s="751"/>
      <c r="NZK128" s="751"/>
      <c r="NZL128" s="751"/>
      <c r="NZM128" s="751"/>
      <c r="NZN128" s="751"/>
      <c r="NZO128" s="751"/>
      <c r="NZP128" s="751"/>
      <c r="NZQ128" s="751"/>
      <c r="NZR128" s="751"/>
      <c r="NZS128" s="751"/>
      <c r="NZT128" s="751"/>
      <c r="NZU128" s="751"/>
      <c r="NZV128" s="751"/>
      <c r="NZW128" s="751"/>
      <c r="NZX128" s="751"/>
      <c r="NZY128" s="751"/>
      <c r="NZZ128" s="751"/>
      <c r="OAA128" s="751"/>
      <c r="OAB128" s="751"/>
      <c r="OAC128" s="751"/>
      <c r="OAD128" s="751"/>
      <c r="OAE128" s="751"/>
      <c r="OAF128" s="751"/>
      <c r="OAG128" s="751"/>
      <c r="OAH128" s="751"/>
      <c r="OAI128" s="751"/>
      <c r="OAJ128" s="751"/>
      <c r="OAK128" s="751"/>
      <c r="OAL128" s="751"/>
      <c r="OAM128" s="751"/>
      <c r="OAN128" s="751"/>
      <c r="OAO128" s="751"/>
      <c r="OAP128" s="751"/>
      <c r="OAQ128" s="751"/>
      <c r="OAR128" s="751"/>
      <c r="OAS128" s="751"/>
      <c r="OAT128" s="751"/>
      <c r="OAU128" s="751"/>
      <c r="OAV128" s="751"/>
      <c r="OAW128" s="751"/>
      <c r="OAX128" s="751"/>
      <c r="OAY128" s="751"/>
      <c r="OAZ128" s="751"/>
      <c r="OBA128" s="751"/>
      <c r="OBB128" s="751"/>
      <c r="OBC128" s="751"/>
      <c r="OBD128" s="751"/>
      <c r="OBE128" s="751"/>
      <c r="OBF128" s="751"/>
      <c r="OBG128" s="751"/>
      <c r="OBH128" s="751"/>
      <c r="OBI128" s="751"/>
      <c r="OBJ128" s="751"/>
      <c r="OBK128" s="751"/>
      <c r="OBL128" s="751"/>
      <c r="OBM128" s="751"/>
      <c r="OBN128" s="751"/>
      <c r="OBO128" s="751"/>
      <c r="OBP128" s="751"/>
      <c r="OBQ128" s="751"/>
      <c r="OBR128" s="751"/>
      <c r="OBS128" s="751"/>
      <c r="OBT128" s="751"/>
      <c r="OBU128" s="751"/>
      <c r="OBV128" s="751"/>
      <c r="OBW128" s="751"/>
      <c r="OBX128" s="751"/>
      <c r="OBY128" s="751"/>
      <c r="OBZ128" s="751"/>
      <c r="OCA128" s="751"/>
      <c r="OCB128" s="751"/>
      <c r="OCC128" s="751"/>
      <c r="OCD128" s="751"/>
      <c r="OCE128" s="751"/>
      <c r="OCF128" s="751"/>
      <c r="OCG128" s="751"/>
      <c r="OCH128" s="751"/>
      <c r="OCI128" s="751"/>
      <c r="OCJ128" s="751"/>
      <c r="OCK128" s="751"/>
      <c r="OCL128" s="751"/>
      <c r="OCM128" s="751"/>
      <c r="OCN128" s="751"/>
      <c r="OCO128" s="751"/>
      <c r="OCP128" s="751"/>
      <c r="OCQ128" s="751"/>
      <c r="OCR128" s="751"/>
      <c r="OCS128" s="751"/>
      <c r="OCT128" s="751"/>
      <c r="OCU128" s="751"/>
      <c r="OCV128" s="751"/>
      <c r="OCW128" s="751"/>
      <c r="OCX128" s="751"/>
      <c r="OCY128" s="751"/>
      <c r="OCZ128" s="751"/>
      <c r="ODA128" s="751"/>
      <c r="ODB128" s="751"/>
      <c r="ODC128" s="751"/>
      <c r="ODD128" s="751"/>
      <c r="ODE128" s="751"/>
      <c r="ODF128" s="751"/>
      <c r="ODG128" s="751"/>
      <c r="ODH128" s="751"/>
      <c r="ODI128" s="751"/>
      <c r="ODJ128" s="751"/>
      <c r="ODK128" s="751"/>
      <c r="ODL128" s="751"/>
      <c r="ODM128" s="751"/>
      <c r="ODN128" s="751"/>
      <c r="ODO128" s="751"/>
      <c r="ODP128" s="751"/>
      <c r="ODQ128" s="751"/>
      <c r="ODR128" s="751"/>
      <c r="ODS128" s="751"/>
      <c r="ODT128" s="751"/>
      <c r="ODU128" s="751"/>
      <c r="ODV128" s="751"/>
      <c r="ODW128" s="751"/>
      <c r="ODX128" s="751"/>
      <c r="ODY128" s="751"/>
      <c r="ODZ128" s="751"/>
      <c r="OEA128" s="751"/>
      <c r="OEB128" s="751"/>
      <c r="OEC128" s="751"/>
      <c r="OED128" s="751"/>
      <c r="OEE128" s="751"/>
      <c r="OEF128" s="751"/>
      <c r="OEG128" s="751"/>
      <c r="OEH128" s="751"/>
      <c r="OEI128" s="751"/>
      <c r="OEJ128" s="751"/>
      <c r="OEK128" s="751"/>
      <c r="OEL128" s="751"/>
      <c r="OEM128" s="751"/>
      <c r="OEN128" s="751"/>
      <c r="OEO128" s="751"/>
      <c r="OEP128" s="751"/>
      <c r="OEQ128" s="751"/>
      <c r="OER128" s="751"/>
      <c r="OES128" s="751"/>
      <c r="OET128" s="751"/>
      <c r="OEU128" s="751"/>
      <c r="OEV128" s="751"/>
      <c r="OEW128" s="751"/>
      <c r="OEX128" s="751"/>
      <c r="OEY128" s="751"/>
      <c r="OEZ128" s="751"/>
      <c r="OFA128" s="751"/>
      <c r="OFB128" s="751"/>
      <c r="OFC128" s="751"/>
      <c r="OFD128" s="751"/>
      <c r="OFE128" s="751"/>
      <c r="OFF128" s="751"/>
      <c r="OFG128" s="751"/>
      <c r="OFH128" s="751"/>
      <c r="OFI128" s="751"/>
      <c r="OFJ128" s="751"/>
      <c r="OFK128" s="751"/>
      <c r="OFL128" s="751"/>
      <c r="OFM128" s="751"/>
      <c r="OFN128" s="751"/>
      <c r="OFO128" s="751"/>
      <c r="OFP128" s="751"/>
      <c r="OFQ128" s="751"/>
      <c r="OFR128" s="751"/>
      <c r="OFS128" s="751"/>
      <c r="OFT128" s="751"/>
      <c r="OFU128" s="751"/>
      <c r="OFV128" s="751"/>
      <c r="OFW128" s="751"/>
      <c r="OFX128" s="751"/>
      <c r="OFY128" s="751"/>
      <c r="OFZ128" s="751"/>
      <c r="OGA128" s="751"/>
      <c r="OGB128" s="751"/>
      <c r="OGC128" s="751"/>
      <c r="OGD128" s="751"/>
      <c r="OGE128" s="751"/>
      <c r="OGF128" s="751"/>
      <c r="OGG128" s="751"/>
      <c r="OGH128" s="751"/>
      <c r="OGI128" s="751"/>
      <c r="OGJ128" s="751"/>
      <c r="OGK128" s="751"/>
      <c r="OGL128" s="751"/>
      <c r="OGM128" s="751"/>
      <c r="OGN128" s="751"/>
      <c r="OGO128" s="751"/>
      <c r="OGP128" s="751"/>
      <c r="OGQ128" s="751"/>
      <c r="OGR128" s="751"/>
      <c r="OGS128" s="751"/>
      <c r="OGT128" s="751"/>
      <c r="OGU128" s="751"/>
      <c r="OGV128" s="751"/>
      <c r="OGW128" s="751"/>
      <c r="OGX128" s="751"/>
      <c r="OGY128" s="751"/>
      <c r="OGZ128" s="751"/>
      <c r="OHA128" s="751"/>
      <c r="OHB128" s="751"/>
      <c r="OHC128" s="751"/>
      <c r="OHD128" s="751"/>
      <c r="OHE128" s="751"/>
      <c r="OHF128" s="751"/>
      <c r="OHG128" s="751"/>
      <c r="OHH128" s="751"/>
      <c r="OHI128" s="751"/>
      <c r="OHJ128" s="751"/>
      <c r="OHK128" s="751"/>
      <c r="OHL128" s="751"/>
      <c r="OHM128" s="751"/>
      <c r="OHN128" s="751"/>
      <c r="OHO128" s="751"/>
      <c r="OHP128" s="751"/>
      <c r="OHQ128" s="751"/>
      <c r="OHR128" s="751"/>
      <c r="OHS128" s="751"/>
      <c r="OHT128" s="751"/>
      <c r="OHU128" s="751"/>
      <c r="OHV128" s="751"/>
      <c r="OHW128" s="751"/>
      <c r="OHX128" s="751"/>
      <c r="OHY128" s="751"/>
      <c r="OHZ128" s="751"/>
      <c r="OIA128" s="751"/>
      <c r="OIB128" s="751"/>
      <c r="OIC128" s="751"/>
      <c r="OID128" s="751"/>
      <c r="OIE128" s="751"/>
      <c r="OIF128" s="751"/>
      <c r="OIG128" s="751"/>
      <c r="OIH128" s="751"/>
      <c r="OII128" s="751"/>
      <c r="OIJ128" s="751"/>
      <c r="OIK128" s="751"/>
      <c r="OIL128" s="751"/>
      <c r="OIM128" s="751"/>
      <c r="OIN128" s="751"/>
      <c r="OIO128" s="751"/>
      <c r="OIP128" s="751"/>
      <c r="OIQ128" s="751"/>
      <c r="OIR128" s="751"/>
      <c r="OIS128" s="751"/>
      <c r="OIT128" s="751"/>
      <c r="OIU128" s="751"/>
      <c r="OIV128" s="751"/>
      <c r="OIW128" s="751"/>
      <c r="OIX128" s="751"/>
      <c r="OIY128" s="751"/>
      <c r="OIZ128" s="751"/>
      <c r="OJA128" s="751"/>
      <c r="OJB128" s="751"/>
      <c r="OJC128" s="751"/>
      <c r="OJD128" s="751"/>
      <c r="OJE128" s="751"/>
      <c r="OJF128" s="751"/>
      <c r="OJG128" s="751"/>
      <c r="OJH128" s="751"/>
      <c r="OJI128" s="751"/>
      <c r="OJJ128" s="751"/>
      <c r="OJK128" s="751"/>
      <c r="OJL128" s="751"/>
      <c r="OJM128" s="751"/>
      <c r="OJN128" s="751"/>
      <c r="OJO128" s="751"/>
      <c r="OJP128" s="751"/>
      <c r="OJQ128" s="751"/>
      <c r="OJR128" s="751"/>
      <c r="OJS128" s="751"/>
      <c r="OJT128" s="751"/>
      <c r="OJU128" s="751"/>
      <c r="OJV128" s="751"/>
      <c r="OJW128" s="751"/>
      <c r="OJX128" s="751"/>
      <c r="OJY128" s="751"/>
      <c r="OJZ128" s="751"/>
      <c r="OKA128" s="751"/>
      <c r="OKB128" s="751"/>
      <c r="OKC128" s="751"/>
      <c r="OKD128" s="751"/>
      <c r="OKE128" s="751"/>
      <c r="OKF128" s="751"/>
      <c r="OKG128" s="751"/>
      <c r="OKH128" s="751"/>
      <c r="OKI128" s="751"/>
      <c r="OKJ128" s="751"/>
      <c r="OKK128" s="751"/>
      <c r="OKL128" s="751"/>
      <c r="OKM128" s="751"/>
      <c r="OKN128" s="751"/>
      <c r="OKO128" s="751"/>
      <c r="OKP128" s="751"/>
      <c r="OKQ128" s="751"/>
      <c r="OKR128" s="751"/>
      <c r="OKS128" s="751"/>
      <c r="OKT128" s="751"/>
      <c r="OKU128" s="751"/>
      <c r="OKV128" s="751"/>
      <c r="OKW128" s="751"/>
      <c r="OKX128" s="751"/>
      <c r="OKY128" s="751"/>
      <c r="OKZ128" s="751"/>
      <c r="OLA128" s="751"/>
      <c r="OLB128" s="751"/>
      <c r="OLC128" s="751"/>
      <c r="OLD128" s="751"/>
      <c r="OLE128" s="751"/>
      <c r="OLF128" s="751"/>
      <c r="OLG128" s="751"/>
      <c r="OLH128" s="751"/>
      <c r="OLI128" s="751"/>
      <c r="OLJ128" s="751"/>
      <c r="OLK128" s="751"/>
      <c r="OLL128" s="751"/>
      <c r="OLM128" s="751"/>
      <c r="OLN128" s="751"/>
      <c r="OLO128" s="751"/>
      <c r="OLP128" s="751"/>
      <c r="OLQ128" s="751"/>
      <c r="OLR128" s="751"/>
      <c r="OLS128" s="751"/>
      <c r="OLT128" s="751"/>
      <c r="OLU128" s="751"/>
      <c r="OLV128" s="751"/>
      <c r="OLW128" s="751"/>
      <c r="OLX128" s="751"/>
      <c r="OLY128" s="751"/>
      <c r="OLZ128" s="751"/>
      <c r="OMA128" s="751"/>
      <c r="OMB128" s="751"/>
      <c r="OMC128" s="751"/>
      <c r="OMD128" s="751"/>
      <c r="OME128" s="751"/>
      <c r="OMF128" s="751"/>
      <c r="OMG128" s="751"/>
      <c r="OMH128" s="751"/>
      <c r="OMI128" s="751"/>
      <c r="OMJ128" s="751"/>
      <c r="OMK128" s="751"/>
      <c r="OML128" s="751"/>
      <c r="OMM128" s="751"/>
      <c r="OMN128" s="751"/>
      <c r="OMO128" s="751"/>
      <c r="OMP128" s="751"/>
      <c r="OMQ128" s="751"/>
      <c r="OMR128" s="751"/>
      <c r="OMS128" s="751"/>
      <c r="OMT128" s="751"/>
      <c r="OMU128" s="751"/>
      <c r="OMV128" s="751"/>
      <c r="OMW128" s="751"/>
      <c r="OMX128" s="751"/>
      <c r="OMY128" s="751"/>
      <c r="OMZ128" s="751"/>
      <c r="ONA128" s="751"/>
      <c r="ONB128" s="751"/>
      <c r="ONC128" s="751"/>
      <c r="OND128" s="751"/>
      <c r="ONE128" s="751"/>
      <c r="ONF128" s="751"/>
      <c r="ONG128" s="751"/>
      <c r="ONH128" s="751"/>
      <c r="ONI128" s="751"/>
      <c r="ONJ128" s="751"/>
      <c r="ONK128" s="751"/>
      <c r="ONL128" s="751"/>
      <c r="ONM128" s="751"/>
      <c r="ONN128" s="751"/>
      <c r="ONO128" s="751"/>
      <c r="ONP128" s="751"/>
      <c r="ONQ128" s="751"/>
      <c r="ONR128" s="751"/>
      <c r="ONS128" s="751"/>
      <c r="ONT128" s="751"/>
      <c r="ONU128" s="751"/>
      <c r="ONV128" s="751"/>
      <c r="ONW128" s="751"/>
      <c r="ONX128" s="751"/>
      <c r="ONY128" s="751"/>
      <c r="ONZ128" s="751"/>
      <c r="OOA128" s="751"/>
      <c r="OOB128" s="751"/>
      <c r="OOC128" s="751"/>
      <c r="OOD128" s="751"/>
      <c r="OOE128" s="751"/>
      <c r="OOF128" s="751"/>
      <c r="OOG128" s="751"/>
      <c r="OOH128" s="751"/>
      <c r="OOI128" s="751"/>
      <c r="OOJ128" s="751"/>
      <c r="OOK128" s="751"/>
      <c r="OOL128" s="751"/>
      <c r="OOM128" s="751"/>
      <c r="OON128" s="751"/>
      <c r="OOO128" s="751"/>
      <c r="OOP128" s="751"/>
      <c r="OOQ128" s="751"/>
      <c r="OOR128" s="751"/>
      <c r="OOS128" s="751"/>
      <c r="OOT128" s="751"/>
      <c r="OOU128" s="751"/>
      <c r="OOV128" s="751"/>
      <c r="OOW128" s="751"/>
      <c r="OOX128" s="751"/>
      <c r="OOY128" s="751"/>
      <c r="OOZ128" s="751"/>
      <c r="OPA128" s="751"/>
      <c r="OPB128" s="751"/>
      <c r="OPC128" s="751"/>
      <c r="OPD128" s="751"/>
      <c r="OPE128" s="751"/>
      <c r="OPF128" s="751"/>
      <c r="OPG128" s="751"/>
      <c r="OPH128" s="751"/>
      <c r="OPI128" s="751"/>
      <c r="OPJ128" s="751"/>
      <c r="OPK128" s="751"/>
      <c r="OPL128" s="751"/>
      <c r="OPM128" s="751"/>
      <c r="OPN128" s="751"/>
      <c r="OPO128" s="751"/>
      <c r="OPP128" s="751"/>
      <c r="OPQ128" s="751"/>
      <c r="OPR128" s="751"/>
      <c r="OPS128" s="751"/>
      <c r="OPT128" s="751"/>
      <c r="OPU128" s="751"/>
      <c r="OPV128" s="751"/>
      <c r="OPW128" s="751"/>
      <c r="OPX128" s="751"/>
      <c r="OPY128" s="751"/>
      <c r="OPZ128" s="751"/>
      <c r="OQA128" s="751"/>
      <c r="OQB128" s="751"/>
      <c r="OQC128" s="751"/>
      <c r="OQD128" s="751"/>
      <c r="OQE128" s="751"/>
      <c r="OQF128" s="751"/>
      <c r="OQG128" s="751"/>
      <c r="OQH128" s="751"/>
      <c r="OQI128" s="751"/>
      <c r="OQJ128" s="751"/>
      <c r="OQK128" s="751"/>
      <c r="OQL128" s="751"/>
      <c r="OQM128" s="751"/>
      <c r="OQN128" s="751"/>
      <c r="OQO128" s="751"/>
      <c r="OQP128" s="751"/>
      <c r="OQQ128" s="751"/>
      <c r="OQR128" s="751"/>
      <c r="OQS128" s="751"/>
      <c r="OQT128" s="751"/>
      <c r="OQU128" s="751"/>
      <c r="OQV128" s="751"/>
      <c r="OQW128" s="751"/>
      <c r="OQX128" s="751"/>
      <c r="OQY128" s="751"/>
      <c r="OQZ128" s="751"/>
      <c r="ORA128" s="751"/>
      <c r="ORB128" s="751"/>
      <c r="ORC128" s="751"/>
      <c r="ORD128" s="751"/>
      <c r="ORE128" s="751"/>
      <c r="ORF128" s="751"/>
      <c r="ORG128" s="751"/>
      <c r="ORH128" s="751"/>
      <c r="ORI128" s="751"/>
      <c r="ORJ128" s="751"/>
      <c r="ORK128" s="751"/>
      <c r="ORL128" s="751"/>
      <c r="ORM128" s="751"/>
      <c r="ORN128" s="751"/>
      <c r="ORO128" s="751"/>
      <c r="ORP128" s="751"/>
      <c r="ORQ128" s="751"/>
      <c r="ORR128" s="751"/>
      <c r="ORS128" s="751"/>
      <c r="ORT128" s="751"/>
      <c r="ORU128" s="751"/>
      <c r="ORV128" s="751"/>
      <c r="ORW128" s="751"/>
      <c r="ORX128" s="751"/>
      <c r="ORY128" s="751"/>
      <c r="ORZ128" s="751"/>
      <c r="OSA128" s="751"/>
      <c r="OSB128" s="751"/>
      <c r="OSC128" s="751"/>
      <c r="OSD128" s="751"/>
      <c r="OSE128" s="751"/>
      <c r="OSF128" s="751"/>
      <c r="OSG128" s="751"/>
      <c r="OSH128" s="751"/>
      <c r="OSI128" s="751"/>
      <c r="OSJ128" s="751"/>
      <c r="OSK128" s="751"/>
      <c r="OSL128" s="751"/>
      <c r="OSM128" s="751"/>
      <c r="OSN128" s="751"/>
      <c r="OSO128" s="751"/>
      <c r="OSP128" s="751"/>
      <c r="OSQ128" s="751"/>
      <c r="OSR128" s="751"/>
      <c r="OSS128" s="751"/>
      <c r="OST128" s="751"/>
      <c r="OSU128" s="751"/>
      <c r="OSV128" s="751"/>
      <c r="OSW128" s="751"/>
      <c r="OSX128" s="751"/>
      <c r="OSY128" s="751"/>
      <c r="OSZ128" s="751"/>
      <c r="OTA128" s="751"/>
      <c r="OTB128" s="751"/>
      <c r="OTC128" s="751"/>
      <c r="OTD128" s="751"/>
      <c r="OTE128" s="751"/>
      <c r="OTF128" s="751"/>
      <c r="OTG128" s="751"/>
      <c r="OTH128" s="751"/>
      <c r="OTI128" s="751"/>
      <c r="OTJ128" s="751"/>
      <c r="OTK128" s="751"/>
      <c r="OTL128" s="751"/>
      <c r="OTM128" s="751"/>
      <c r="OTN128" s="751"/>
      <c r="OTO128" s="751"/>
      <c r="OTP128" s="751"/>
      <c r="OTQ128" s="751"/>
      <c r="OTR128" s="751"/>
      <c r="OTS128" s="751"/>
      <c r="OTT128" s="751"/>
      <c r="OTU128" s="751"/>
      <c r="OTV128" s="751"/>
      <c r="OTW128" s="751"/>
      <c r="OTX128" s="751"/>
      <c r="OTY128" s="751"/>
      <c r="OTZ128" s="751"/>
      <c r="OUA128" s="751"/>
      <c r="OUB128" s="751"/>
      <c r="OUC128" s="751"/>
      <c r="OUD128" s="751"/>
      <c r="OUE128" s="751"/>
      <c r="OUF128" s="751"/>
      <c r="OUG128" s="751"/>
      <c r="OUH128" s="751"/>
      <c r="OUI128" s="751"/>
      <c r="OUJ128" s="751"/>
      <c r="OUK128" s="751"/>
      <c r="OUL128" s="751"/>
      <c r="OUM128" s="751"/>
      <c r="OUN128" s="751"/>
      <c r="OUO128" s="751"/>
      <c r="OUP128" s="751"/>
      <c r="OUQ128" s="751"/>
      <c r="OUR128" s="751"/>
      <c r="OUS128" s="751"/>
      <c r="OUT128" s="751"/>
      <c r="OUU128" s="751"/>
      <c r="OUV128" s="751"/>
      <c r="OUW128" s="751"/>
      <c r="OUX128" s="751"/>
      <c r="OUY128" s="751"/>
      <c r="OUZ128" s="751"/>
      <c r="OVA128" s="751"/>
      <c r="OVB128" s="751"/>
      <c r="OVC128" s="751"/>
      <c r="OVD128" s="751"/>
      <c r="OVE128" s="751"/>
      <c r="OVF128" s="751"/>
      <c r="OVG128" s="751"/>
      <c r="OVH128" s="751"/>
      <c r="OVI128" s="751"/>
      <c r="OVJ128" s="751"/>
      <c r="OVK128" s="751"/>
      <c r="OVL128" s="751"/>
      <c r="OVM128" s="751"/>
      <c r="OVN128" s="751"/>
      <c r="OVO128" s="751"/>
      <c r="OVP128" s="751"/>
      <c r="OVQ128" s="751"/>
      <c r="OVR128" s="751"/>
      <c r="OVS128" s="751"/>
      <c r="OVT128" s="751"/>
      <c r="OVU128" s="751"/>
      <c r="OVV128" s="751"/>
      <c r="OVW128" s="751"/>
      <c r="OVX128" s="751"/>
      <c r="OVY128" s="751"/>
      <c r="OVZ128" s="751"/>
      <c r="OWA128" s="751"/>
      <c r="OWB128" s="751"/>
      <c r="OWC128" s="751"/>
      <c r="OWD128" s="751"/>
      <c r="OWE128" s="751"/>
      <c r="OWF128" s="751"/>
      <c r="OWG128" s="751"/>
      <c r="OWH128" s="751"/>
      <c r="OWI128" s="751"/>
      <c r="OWJ128" s="751"/>
      <c r="OWK128" s="751"/>
      <c r="OWL128" s="751"/>
      <c r="OWM128" s="751"/>
      <c r="OWN128" s="751"/>
      <c r="OWO128" s="751"/>
      <c r="OWP128" s="751"/>
      <c r="OWQ128" s="751"/>
      <c r="OWR128" s="751"/>
      <c r="OWS128" s="751"/>
      <c r="OWT128" s="751"/>
      <c r="OWU128" s="751"/>
      <c r="OWV128" s="751"/>
      <c r="OWW128" s="751"/>
      <c r="OWX128" s="751"/>
      <c r="OWY128" s="751"/>
      <c r="OWZ128" s="751"/>
      <c r="OXA128" s="751"/>
      <c r="OXB128" s="751"/>
      <c r="OXC128" s="751"/>
      <c r="OXD128" s="751"/>
      <c r="OXE128" s="751"/>
      <c r="OXF128" s="751"/>
      <c r="OXG128" s="751"/>
      <c r="OXH128" s="751"/>
      <c r="OXI128" s="751"/>
      <c r="OXJ128" s="751"/>
      <c r="OXK128" s="751"/>
      <c r="OXL128" s="751"/>
      <c r="OXM128" s="751"/>
      <c r="OXN128" s="751"/>
      <c r="OXO128" s="751"/>
      <c r="OXP128" s="751"/>
      <c r="OXQ128" s="751"/>
      <c r="OXR128" s="751"/>
      <c r="OXS128" s="751"/>
      <c r="OXT128" s="751"/>
      <c r="OXU128" s="751"/>
      <c r="OXV128" s="751"/>
      <c r="OXW128" s="751"/>
      <c r="OXX128" s="751"/>
      <c r="OXY128" s="751"/>
      <c r="OXZ128" s="751"/>
      <c r="OYA128" s="751"/>
      <c r="OYB128" s="751"/>
      <c r="OYC128" s="751"/>
      <c r="OYD128" s="751"/>
      <c r="OYE128" s="751"/>
      <c r="OYF128" s="751"/>
      <c r="OYG128" s="751"/>
      <c r="OYH128" s="751"/>
      <c r="OYI128" s="751"/>
      <c r="OYJ128" s="751"/>
      <c r="OYK128" s="751"/>
      <c r="OYL128" s="751"/>
      <c r="OYM128" s="751"/>
      <c r="OYN128" s="751"/>
      <c r="OYO128" s="751"/>
      <c r="OYP128" s="751"/>
      <c r="OYQ128" s="751"/>
      <c r="OYR128" s="751"/>
      <c r="OYS128" s="751"/>
      <c r="OYT128" s="751"/>
      <c r="OYU128" s="751"/>
      <c r="OYV128" s="751"/>
      <c r="OYW128" s="751"/>
      <c r="OYX128" s="751"/>
      <c r="OYY128" s="751"/>
      <c r="OYZ128" s="751"/>
      <c r="OZA128" s="751"/>
      <c r="OZB128" s="751"/>
      <c r="OZC128" s="751"/>
      <c r="OZD128" s="751"/>
      <c r="OZE128" s="751"/>
      <c r="OZF128" s="751"/>
      <c r="OZG128" s="751"/>
      <c r="OZH128" s="751"/>
      <c r="OZI128" s="751"/>
      <c r="OZJ128" s="751"/>
      <c r="OZK128" s="751"/>
      <c r="OZL128" s="751"/>
      <c r="OZM128" s="751"/>
      <c r="OZN128" s="751"/>
      <c r="OZO128" s="751"/>
      <c r="OZP128" s="751"/>
      <c r="OZQ128" s="751"/>
      <c r="OZR128" s="751"/>
      <c r="OZS128" s="751"/>
      <c r="OZT128" s="751"/>
      <c r="OZU128" s="751"/>
      <c r="OZV128" s="751"/>
      <c r="OZW128" s="751"/>
      <c r="OZX128" s="751"/>
      <c r="OZY128" s="751"/>
      <c r="OZZ128" s="751"/>
      <c r="PAA128" s="751"/>
      <c r="PAB128" s="751"/>
      <c r="PAC128" s="751"/>
      <c r="PAD128" s="751"/>
      <c r="PAE128" s="751"/>
      <c r="PAF128" s="751"/>
      <c r="PAG128" s="751"/>
      <c r="PAH128" s="751"/>
      <c r="PAI128" s="751"/>
      <c r="PAJ128" s="751"/>
      <c r="PAK128" s="751"/>
      <c r="PAL128" s="751"/>
      <c r="PAM128" s="751"/>
      <c r="PAN128" s="751"/>
      <c r="PAO128" s="751"/>
      <c r="PAP128" s="751"/>
      <c r="PAQ128" s="751"/>
      <c r="PAR128" s="751"/>
      <c r="PAS128" s="751"/>
      <c r="PAT128" s="751"/>
      <c r="PAU128" s="751"/>
      <c r="PAV128" s="751"/>
      <c r="PAW128" s="751"/>
      <c r="PAX128" s="751"/>
      <c r="PAY128" s="751"/>
      <c r="PAZ128" s="751"/>
      <c r="PBA128" s="751"/>
      <c r="PBB128" s="751"/>
      <c r="PBC128" s="751"/>
      <c r="PBD128" s="751"/>
      <c r="PBE128" s="751"/>
      <c r="PBF128" s="751"/>
      <c r="PBG128" s="751"/>
      <c r="PBH128" s="751"/>
      <c r="PBI128" s="751"/>
      <c r="PBJ128" s="751"/>
      <c r="PBK128" s="751"/>
      <c r="PBL128" s="751"/>
      <c r="PBM128" s="751"/>
      <c r="PBN128" s="751"/>
      <c r="PBO128" s="751"/>
      <c r="PBP128" s="751"/>
      <c r="PBQ128" s="751"/>
      <c r="PBR128" s="751"/>
      <c r="PBS128" s="751"/>
      <c r="PBT128" s="751"/>
      <c r="PBU128" s="751"/>
      <c r="PBV128" s="751"/>
      <c r="PBW128" s="751"/>
      <c r="PBX128" s="751"/>
      <c r="PBY128" s="751"/>
      <c r="PBZ128" s="751"/>
      <c r="PCA128" s="751"/>
      <c r="PCB128" s="751"/>
      <c r="PCC128" s="751"/>
      <c r="PCD128" s="751"/>
      <c r="PCE128" s="751"/>
      <c r="PCF128" s="751"/>
      <c r="PCG128" s="751"/>
      <c r="PCH128" s="751"/>
      <c r="PCI128" s="751"/>
      <c r="PCJ128" s="751"/>
      <c r="PCK128" s="751"/>
      <c r="PCL128" s="751"/>
      <c r="PCM128" s="751"/>
      <c r="PCN128" s="751"/>
      <c r="PCO128" s="751"/>
      <c r="PCP128" s="751"/>
      <c r="PCQ128" s="751"/>
      <c r="PCR128" s="751"/>
      <c r="PCS128" s="751"/>
      <c r="PCT128" s="751"/>
      <c r="PCU128" s="751"/>
      <c r="PCV128" s="751"/>
      <c r="PCW128" s="751"/>
      <c r="PCX128" s="751"/>
      <c r="PCY128" s="751"/>
      <c r="PCZ128" s="751"/>
      <c r="PDA128" s="751"/>
      <c r="PDB128" s="751"/>
      <c r="PDC128" s="751"/>
      <c r="PDD128" s="751"/>
      <c r="PDE128" s="751"/>
      <c r="PDF128" s="751"/>
      <c r="PDG128" s="751"/>
      <c r="PDH128" s="751"/>
      <c r="PDI128" s="751"/>
      <c r="PDJ128" s="751"/>
      <c r="PDK128" s="751"/>
      <c r="PDL128" s="751"/>
      <c r="PDM128" s="751"/>
      <c r="PDN128" s="751"/>
      <c r="PDO128" s="751"/>
      <c r="PDP128" s="751"/>
      <c r="PDQ128" s="751"/>
      <c r="PDR128" s="751"/>
      <c r="PDS128" s="751"/>
      <c r="PDT128" s="751"/>
      <c r="PDU128" s="751"/>
      <c r="PDV128" s="751"/>
      <c r="PDW128" s="751"/>
      <c r="PDX128" s="751"/>
      <c r="PDY128" s="751"/>
      <c r="PDZ128" s="751"/>
      <c r="PEA128" s="751"/>
      <c r="PEB128" s="751"/>
      <c r="PEC128" s="751"/>
      <c r="PED128" s="751"/>
      <c r="PEE128" s="751"/>
      <c r="PEF128" s="751"/>
      <c r="PEG128" s="751"/>
      <c r="PEH128" s="751"/>
      <c r="PEI128" s="751"/>
      <c r="PEJ128" s="751"/>
      <c r="PEK128" s="751"/>
      <c r="PEL128" s="751"/>
      <c r="PEM128" s="751"/>
      <c r="PEN128" s="751"/>
      <c r="PEO128" s="751"/>
      <c r="PEP128" s="751"/>
      <c r="PEQ128" s="751"/>
      <c r="PER128" s="751"/>
      <c r="PES128" s="751"/>
      <c r="PET128" s="751"/>
      <c r="PEU128" s="751"/>
      <c r="PEV128" s="751"/>
      <c r="PEW128" s="751"/>
      <c r="PEX128" s="751"/>
      <c r="PEY128" s="751"/>
      <c r="PEZ128" s="751"/>
      <c r="PFA128" s="751"/>
      <c r="PFB128" s="751"/>
      <c r="PFC128" s="751"/>
      <c r="PFD128" s="751"/>
      <c r="PFE128" s="751"/>
      <c r="PFF128" s="751"/>
      <c r="PFG128" s="751"/>
      <c r="PFH128" s="751"/>
      <c r="PFI128" s="751"/>
      <c r="PFJ128" s="751"/>
      <c r="PFK128" s="751"/>
      <c r="PFL128" s="751"/>
      <c r="PFM128" s="751"/>
      <c r="PFN128" s="751"/>
      <c r="PFO128" s="751"/>
      <c r="PFP128" s="751"/>
      <c r="PFQ128" s="751"/>
      <c r="PFR128" s="751"/>
      <c r="PFS128" s="751"/>
      <c r="PFT128" s="751"/>
      <c r="PFU128" s="751"/>
      <c r="PFV128" s="751"/>
      <c r="PFW128" s="751"/>
      <c r="PFX128" s="751"/>
      <c r="PFY128" s="751"/>
      <c r="PFZ128" s="751"/>
      <c r="PGA128" s="751"/>
      <c r="PGB128" s="751"/>
      <c r="PGC128" s="751"/>
      <c r="PGD128" s="751"/>
      <c r="PGE128" s="751"/>
      <c r="PGF128" s="751"/>
      <c r="PGG128" s="751"/>
      <c r="PGH128" s="751"/>
      <c r="PGI128" s="751"/>
      <c r="PGJ128" s="751"/>
      <c r="PGK128" s="751"/>
      <c r="PGL128" s="751"/>
      <c r="PGM128" s="751"/>
      <c r="PGN128" s="751"/>
      <c r="PGO128" s="751"/>
      <c r="PGP128" s="751"/>
      <c r="PGQ128" s="751"/>
      <c r="PGR128" s="751"/>
      <c r="PGS128" s="751"/>
      <c r="PGT128" s="751"/>
      <c r="PGU128" s="751"/>
      <c r="PGV128" s="751"/>
      <c r="PGW128" s="751"/>
      <c r="PGX128" s="751"/>
      <c r="PGY128" s="751"/>
      <c r="PGZ128" s="751"/>
      <c r="PHA128" s="751"/>
      <c r="PHB128" s="751"/>
      <c r="PHC128" s="751"/>
      <c r="PHD128" s="751"/>
      <c r="PHE128" s="751"/>
      <c r="PHF128" s="751"/>
      <c r="PHG128" s="751"/>
      <c r="PHH128" s="751"/>
      <c r="PHI128" s="751"/>
      <c r="PHJ128" s="751"/>
      <c r="PHK128" s="751"/>
      <c r="PHL128" s="751"/>
      <c r="PHM128" s="751"/>
      <c r="PHN128" s="751"/>
      <c r="PHO128" s="751"/>
      <c r="PHP128" s="751"/>
      <c r="PHQ128" s="751"/>
      <c r="PHR128" s="751"/>
      <c r="PHS128" s="751"/>
      <c r="PHT128" s="751"/>
      <c r="PHU128" s="751"/>
      <c r="PHV128" s="751"/>
      <c r="PHW128" s="751"/>
      <c r="PHX128" s="751"/>
      <c r="PHY128" s="751"/>
      <c r="PHZ128" s="751"/>
      <c r="PIA128" s="751"/>
      <c r="PIB128" s="751"/>
      <c r="PIC128" s="751"/>
      <c r="PID128" s="751"/>
      <c r="PIE128" s="751"/>
      <c r="PIF128" s="751"/>
      <c r="PIG128" s="751"/>
      <c r="PIH128" s="751"/>
      <c r="PII128" s="751"/>
      <c r="PIJ128" s="751"/>
      <c r="PIK128" s="751"/>
      <c r="PIL128" s="751"/>
      <c r="PIM128" s="751"/>
      <c r="PIN128" s="751"/>
      <c r="PIO128" s="751"/>
      <c r="PIP128" s="751"/>
      <c r="PIQ128" s="751"/>
      <c r="PIR128" s="751"/>
      <c r="PIS128" s="751"/>
      <c r="PIT128" s="751"/>
      <c r="PIU128" s="751"/>
      <c r="PIV128" s="751"/>
      <c r="PIW128" s="751"/>
      <c r="PIX128" s="751"/>
      <c r="PIY128" s="751"/>
      <c r="PIZ128" s="751"/>
      <c r="PJA128" s="751"/>
      <c r="PJB128" s="751"/>
      <c r="PJC128" s="751"/>
      <c r="PJD128" s="751"/>
      <c r="PJE128" s="751"/>
      <c r="PJF128" s="751"/>
      <c r="PJG128" s="751"/>
      <c r="PJH128" s="751"/>
      <c r="PJI128" s="751"/>
      <c r="PJJ128" s="751"/>
      <c r="PJK128" s="751"/>
      <c r="PJL128" s="751"/>
      <c r="PJM128" s="751"/>
      <c r="PJN128" s="751"/>
      <c r="PJO128" s="751"/>
      <c r="PJP128" s="751"/>
      <c r="PJQ128" s="751"/>
      <c r="PJR128" s="751"/>
      <c r="PJS128" s="751"/>
      <c r="PJT128" s="751"/>
      <c r="PJU128" s="751"/>
      <c r="PJV128" s="751"/>
      <c r="PJW128" s="751"/>
      <c r="PJX128" s="751"/>
      <c r="PJY128" s="751"/>
      <c r="PJZ128" s="751"/>
      <c r="PKA128" s="751"/>
      <c r="PKB128" s="751"/>
      <c r="PKC128" s="751"/>
      <c r="PKD128" s="751"/>
      <c r="PKE128" s="751"/>
      <c r="PKF128" s="751"/>
      <c r="PKG128" s="751"/>
      <c r="PKH128" s="751"/>
      <c r="PKI128" s="751"/>
      <c r="PKJ128" s="751"/>
      <c r="PKK128" s="751"/>
      <c r="PKL128" s="751"/>
      <c r="PKM128" s="751"/>
      <c r="PKN128" s="751"/>
      <c r="PKO128" s="751"/>
      <c r="PKP128" s="751"/>
      <c r="PKQ128" s="751"/>
      <c r="PKR128" s="751"/>
      <c r="PKS128" s="751"/>
      <c r="PKT128" s="751"/>
      <c r="PKU128" s="751"/>
      <c r="PKV128" s="751"/>
      <c r="PKW128" s="751"/>
      <c r="PKX128" s="751"/>
      <c r="PKY128" s="751"/>
      <c r="PKZ128" s="751"/>
      <c r="PLA128" s="751"/>
      <c r="PLB128" s="751"/>
      <c r="PLC128" s="751"/>
      <c r="PLD128" s="751"/>
      <c r="PLE128" s="751"/>
      <c r="PLF128" s="751"/>
      <c r="PLG128" s="751"/>
      <c r="PLH128" s="751"/>
      <c r="PLI128" s="751"/>
      <c r="PLJ128" s="751"/>
      <c r="PLK128" s="751"/>
      <c r="PLL128" s="751"/>
      <c r="PLM128" s="751"/>
      <c r="PLN128" s="751"/>
      <c r="PLO128" s="751"/>
      <c r="PLP128" s="751"/>
      <c r="PLQ128" s="751"/>
      <c r="PLR128" s="751"/>
      <c r="PLS128" s="751"/>
      <c r="PLT128" s="751"/>
      <c r="PLU128" s="751"/>
      <c r="PLV128" s="751"/>
      <c r="PLW128" s="751"/>
      <c r="PLX128" s="751"/>
      <c r="PLY128" s="751"/>
      <c r="PLZ128" s="751"/>
      <c r="PMA128" s="751"/>
      <c r="PMB128" s="751"/>
      <c r="PMC128" s="751"/>
      <c r="PMD128" s="751"/>
      <c r="PME128" s="751"/>
      <c r="PMF128" s="751"/>
      <c r="PMG128" s="751"/>
      <c r="PMH128" s="751"/>
      <c r="PMI128" s="751"/>
      <c r="PMJ128" s="751"/>
      <c r="PMK128" s="751"/>
      <c r="PML128" s="751"/>
      <c r="PMM128" s="751"/>
      <c r="PMN128" s="751"/>
      <c r="PMO128" s="751"/>
      <c r="PMP128" s="751"/>
      <c r="PMQ128" s="751"/>
      <c r="PMR128" s="751"/>
      <c r="PMS128" s="751"/>
      <c r="PMT128" s="751"/>
      <c r="PMU128" s="751"/>
      <c r="PMV128" s="751"/>
      <c r="PMW128" s="751"/>
      <c r="PMX128" s="751"/>
      <c r="PMY128" s="751"/>
      <c r="PMZ128" s="751"/>
      <c r="PNA128" s="751"/>
      <c r="PNB128" s="751"/>
      <c r="PNC128" s="751"/>
      <c r="PND128" s="751"/>
      <c r="PNE128" s="751"/>
      <c r="PNF128" s="751"/>
      <c r="PNG128" s="751"/>
      <c r="PNH128" s="751"/>
      <c r="PNI128" s="751"/>
      <c r="PNJ128" s="751"/>
      <c r="PNK128" s="751"/>
      <c r="PNL128" s="751"/>
      <c r="PNM128" s="751"/>
      <c r="PNN128" s="751"/>
      <c r="PNO128" s="751"/>
      <c r="PNP128" s="751"/>
      <c r="PNQ128" s="751"/>
      <c r="PNR128" s="751"/>
      <c r="PNS128" s="751"/>
      <c r="PNT128" s="751"/>
      <c r="PNU128" s="751"/>
      <c r="PNV128" s="751"/>
      <c r="PNW128" s="751"/>
      <c r="PNX128" s="751"/>
      <c r="PNY128" s="751"/>
      <c r="PNZ128" s="751"/>
      <c r="POA128" s="751"/>
      <c r="POB128" s="751"/>
      <c r="POC128" s="751"/>
      <c r="POD128" s="751"/>
      <c r="POE128" s="751"/>
      <c r="POF128" s="751"/>
      <c r="POG128" s="751"/>
      <c r="POH128" s="751"/>
      <c r="POI128" s="751"/>
      <c r="POJ128" s="751"/>
      <c r="POK128" s="751"/>
      <c r="POL128" s="751"/>
      <c r="POM128" s="751"/>
      <c r="PON128" s="751"/>
      <c r="POO128" s="751"/>
      <c r="POP128" s="751"/>
      <c r="POQ128" s="751"/>
      <c r="POR128" s="751"/>
      <c r="POS128" s="751"/>
      <c r="POT128" s="751"/>
      <c r="POU128" s="751"/>
      <c r="POV128" s="751"/>
      <c r="POW128" s="751"/>
      <c r="POX128" s="751"/>
      <c r="POY128" s="751"/>
      <c r="POZ128" s="751"/>
      <c r="PPA128" s="751"/>
      <c r="PPB128" s="751"/>
      <c r="PPC128" s="751"/>
      <c r="PPD128" s="751"/>
      <c r="PPE128" s="751"/>
      <c r="PPF128" s="751"/>
      <c r="PPG128" s="751"/>
      <c r="PPH128" s="751"/>
      <c r="PPI128" s="751"/>
      <c r="PPJ128" s="751"/>
      <c r="PPK128" s="751"/>
      <c r="PPL128" s="751"/>
      <c r="PPM128" s="751"/>
      <c r="PPN128" s="751"/>
      <c r="PPO128" s="751"/>
      <c r="PPP128" s="751"/>
      <c r="PPQ128" s="751"/>
      <c r="PPR128" s="751"/>
      <c r="PPS128" s="751"/>
      <c r="PPT128" s="751"/>
      <c r="PPU128" s="751"/>
      <c r="PPV128" s="751"/>
      <c r="PPW128" s="751"/>
      <c r="PPX128" s="751"/>
      <c r="PPY128" s="751"/>
      <c r="PPZ128" s="751"/>
      <c r="PQA128" s="751"/>
      <c r="PQB128" s="751"/>
      <c r="PQC128" s="751"/>
      <c r="PQD128" s="751"/>
      <c r="PQE128" s="751"/>
      <c r="PQF128" s="751"/>
      <c r="PQG128" s="751"/>
      <c r="PQH128" s="751"/>
      <c r="PQI128" s="751"/>
      <c r="PQJ128" s="751"/>
      <c r="PQK128" s="751"/>
      <c r="PQL128" s="751"/>
      <c r="PQM128" s="751"/>
      <c r="PQN128" s="751"/>
      <c r="PQO128" s="751"/>
      <c r="PQP128" s="751"/>
      <c r="PQQ128" s="751"/>
      <c r="PQR128" s="751"/>
      <c r="PQS128" s="751"/>
      <c r="PQT128" s="751"/>
      <c r="PQU128" s="751"/>
      <c r="PQV128" s="751"/>
      <c r="PQW128" s="751"/>
      <c r="PQX128" s="751"/>
      <c r="PQY128" s="751"/>
      <c r="PQZ128" s="751"/>
      <c r="PRA128" s="751"/>
      <c r="PRB128" s="751"/>
      <c r="PRC128" s="751"/>
      <c r="PRD128" s="751"/>
      <c r="PRE128" s="751"/>
      <c r="PRF128" s="751"/>
      <c r="PRG128" s="751"/>
      <c r="PRH128" s="751"/>
      <c r="PRI128" s="751"/>
      <c r="PRJ128" s="751"/>
      <c r="PRK128" s="751"/>
      <c r="PRL128" s="751"/>
      <c r="PRM128" s="751"/>
      <c r="PRN128" s="751"/>
      <c r="PRO128" s="751"/>
      <c r="PRP128" s="751"/>
      <c r="PRQ128" s="751"/>
      <c r="PRR128" s="751"/>
      <c r="PRS128" s="751"/>
      <c r="PRT128" s="751"/>
      <c r="PRU128" s="751"/>
      <c r="PRV128" s="751"/>
      <c r="PRW128" s="751"/>
      <c r="PRX128" s="751"/>
      <c r="PRY128" s="751"/>
      <c r="PRZ128" s="751"/>
      <c r="PSA128" s="751"/>
      <c r="PSB128" s="751"/>
      <c r="PSC128" s="751"/>
      <c r="PSD128" s="751"/>
      <c r="PSE128" s="751"/>
      <c r="PSF128" s="751"/>
      <c r="PSG128" s="751"/>
      <c r="PSH128" s="751"/>
      <c r="PSI128" s="751"/>
      <c r="PSJ128" s="751"/>
      <c r="PSK128" s="751"/>
      <c r="PSL128" s="751"/>
      <c r="PSM128" s="751"/>
      <c r="PSN128" s="751"/>
      <c r="PSO128" s="751"/>
      <c r="PSP128" s="751"/>
      <c r="PSQ128" s="751"/>
      <c r="PSR128" s="751"/>
      <c r="PSS128" s="751"/>
      <c r="PST128" s="751"/>
      <c r="PSU128" s="751"/>
      <c r="PSV128" s="751"/>
      <c r="PSW128" s="751"/>
      <c r="PSX128" s="751"/>
      <c r="PSY128" s="751"/>
      <c r="PSZ128" s="751"/>
      <c r="PTA128" s="751"/>
      <c r="PTB128" s="751"/>
      <c r="PTC128" s="751"/>
      <c r="PTD128" s="751"/>
      <c r="PTE128" s="751"/>
      <c r="PTF128" s="751"/>
      <c r="PTG128" s="751"/>
      <c r="PTH128" s="751"/>
      <c r="PTI128" s="751"/>
      <c r="PTJ128" s="751"/>
      <c r="PTK128" s="751"/>
      <c r="PTL128" s="751"/>
      <c r="PTM128" s="751"/>
      <c r="PTN128" s="751"/>
      <c r="PTO128" s="751"/>
      <c r="PTP128" s="751"/>
      <c r="PTQ128" s="751"/>
      <c r="PTR128" s="751"/>
      <c r="PTS128" s="751"/>
      <c r="PTT128" s="751"/>
      <c r="PTU128" s="751"/>
      <c r="PTV128" s="751"/>
      <c r="PTW128" s="751"/>
      <c r="PTX128" s="751"/>
      <c r="PTY128" s="751"/>
      <c r="PTZ128" s="751"/>
      <c r="PUA128" s="751"/>
      <c r="PUB128" s="751"/>
      <c r="PUC128" s="751"/>
      <c r="PUD128" s="751"/>
      <c r="PUE128" s="751"/>
      <c r="PUF128" s="751"/>
      <c r="PUG128" s="751"/>
      <c r="PUH128" s="751"/>
      <c r="PUI128" s="751"/>
      <c r="PUJ128" s="751"/>
      <c r="PUK128" s="751"/>
      <c r="PUL128" s="751"/>
      <c r="PUM128" s="751"/>
      <c r="PUN128" s="751"/>
      <c r="PUO128" s="751"/>
      <c r="PUP128" s="751"/>
      <c r="PUQ128" s="751"/>
      <c r="PUR128" s="751"/>
      <c r="PUS128" s="751"/>
      <c r="PUT128" s="751"/>
      <c r="PUU128" s="751"/>
      <c r="PUV128" s="751"/>
      <c r="PUW128" s="751"/>
      <c r="PUX128" s="751"/>
      <c r="PUY128" s="751"/>
      <c r="PUZ128" s="751"/>
      <c r="PVA128" s="751"/>
      <c r="PVB128" s="751"/>
      <c r="PVC128" s="751"/>
      <c r="PVD128" s="751"/>
      <c r="PVE128" s="751"/>
      <c r="PVF128" s="751"/>
      <c r="PVG128" s="751"/>
      <c r="PVH128" s="751"/>
      <c r="PVI128" s="751"/>
      <c r="PVJ128" s="751"/>
      <c r="PVK128" s="751"/>
      <c r="PVL128" s="751"/>
      <c r="PVM128" s="751"/>
      <c r="PVN128" s="751"/>
      <c r="PVO128" s="751"/>
      <c r="PVP128" s="751"/>
      <c r="PVQ128" s="751"/>
      <c r="PVR128" s="751"/>
      <c r="PVS128" s="751"/>
      <c r="PVT128" s="751"/>
      <c r="PVU128" s="751"/>
      <c r="PVV128" s="751"/>
      <c r="PVW128" s="751"/>
      <c r="PVX128" s="751"/>
      <c r="PVY128" s="751"/>
      <c r="PVZ128" s="751"/>
      <c r="PWA128" s="751"/>
      <c r="PWB128" s="751"/>
      <c r="PWC128" s="751"/>
      <c r="PWD128" s="751"/>
      <c r="PWE128" s="751"/>
      <c r="PWF128" s="751"/>
      <c r="PWG128" s="751"/>
      <c r="PWH128" s="751"/>
      <c r="PWI128" s="751"/>
      <c r="PWJ128" s="751"/>
      <c r="PWK128" s="751"/>
      <c r="PWL128" s="751"/>
      <c r="PWM128" s="751"/>
      <c r="PWN128" s="751"/>
      <c r="PWO128" s="751"/>
      <c r="PWP128" s="751"/>
      <c r="PWQ128" s="751"/>
      <c r="PWR128" s="751"/>
      <c r="PWS128" s="751"/>
      <c r="PWT128" s="751"/>
      <c r="PWU128" s="751"/>
      <c r="PWV128" s="751"/>
      <c r="PWW128" s="751"/>
      <c r="PWX128" s="751"/>
      <c r="PWY128" s="751"/>
      <c r="PWZ128" s="751"/>
      <c r="PXA128" s="751"/>
      <c r="PXB128" s="751"/>
      <c r="PXC128" s="751"/>
      <c r="PXD128" s="751"/>
      <c r="PXE128" s="751"/>
      <c r="PXF128" s="751"/>
      <c r="PXG128" s="751"/>
      <c r="PXH128" s="751"/>
      <c r="PXI128" s="751"/>
      <c r="PXJ128" s="751"/>
      <c r="PXK128" s="751"/>
      <c r="PXL128" s="751"/>
      <c r="PXM128" s="751"/>
      <c r="PXN128" s="751"/>
      <c r="PXO128" s="751"/>
      <c r="PXP128" s="751"/>
      <c r="PXQ128" s="751"/>
      <c r="PXR128" s="751"/>
      <c r="PXS128" s="751"/>
      <c r="PXT128" s="751"/>
      <c r="PXU128" s="751"/>
      <c r="PXV128" s="751"/>
      <c r="PXW128" s="751"/>
      <c r="PXX128" s="751"/>
      <c r="PXY128" s="751"/>
      <c r="PXZ128" s="751"/>
      <c r="PYA128" s="751"/>
      <c r="PYB128" s="751"/>
      <c r="PYC128" s="751"/>
      <c r="PYD128" s="751"/>
      <c r="PYE128" s="751"/>
      <c r="PYF128" s="751"/>
      <c r="PYG128" s="751"/>
      <c r="PYH128" s="751"/>
      <c r="PYI128" s="751"/>
      <c r="PYJ128" s="751"/>
      <c r="PYK128" s="751"/>
      <c r="PYL128" s="751"/>
      <c r="PYM128" s="751"/>
      <c r="PYN128" s="751"/>
      <c r="PYO128" s="751"/>
      <c r="PYP128" s="751"/>
      <c r="PYQ128" s="751"/>
      <c r="PYR128" s="751"/>
      <c r="PYS128" s="751"/>
      <c r="PYT128" s="751"/>
      <c r="PYU128" s="751"/>
      <c r="PYV128" s="751"/>
      <c r="PYW128" s="751"/>
      <c r="PYX128" s="751"/>
      <c r="PYY128" s="751"/>
      <c r="PYZ128" s="751"/>
      <c r="PZA128" s="751"/>
      <c r="PZB128" s="751"/>
      <c r="PZC128" s="751"/>
      <c r="PZD128" s="751"/>
      <c r="PZE128" s="751"/>
      <c r="PZF128" s="751"/>
      <c r="PZG128" s="751"/>
      <c r="PZH128" s="751"/>
      <c r="PZI128" s="751"/>
      <c r="PZJ128" s="751"/>
      <c r="PZK128" s="751"/>
      <c r="PZL128" s="751"/>
      <c r="PZM128" s="751"/>
      <c r="PZN128" s="751"/>
      <c r="PZO128" s="751"/>
      <c r="PZP128" s="751"/>
      <c r="PZQ128" s="751"/>
      <c r="PZR128" s="751"/>
      <c r="PZS128" s="751"/>
      <c r="PZT128" s="751"/>
      <c r="PZU128" s="751"/>
      <c r="PZV128" s="751"/>
      <c r="PZW128" s="751"/>
      <c r="PZX128" s="751"/>
      <c r="PZY128" s="751"/>
      <c r="PZZ128" s="751"/>
      <c r="QAA128" s="751"/>
      <c r="QAB128" s="751"/>
      <c r="QAC128" s="751"/>
      <c r="QAD128" s="751"/>
      <c r="QAE128" s="751"/>
      <c r="QAF128" s="751"/>
      <c r="QAG128" s="751"/>
      <c r="QAH128" s="751"/>
      <c r="QAI128" s="751"/>
      <c r="QAJ128" s="751"/>
      <c r="QAK128" s="751"/>
      <c r="QAL128" s="751"/>
      <c r="QAM128" s="751"/>
      <c r="QAN128" s="751"/>
      <c r="QAO128" s="751"/>
      <c r="QAP128" s="751"/>
      <c r="QAQ128" s="751"/>
      <c r="QAR128" s="751"/>
      <c r="QAS128" s="751"/>
      <c r="QAT128" s="751"/>
      <c r="QAU128" s="751"/>
      <c r="QAV128" s="751"/>
      <c r="QAW128" s="751"/>
      <c r="QAX128" s="751"/>
      <c r="QAY128" s="751"/>
      <c r="QAZ128" s="751"/>
      <c r="QBA128" s="751"/>
      <c r="QBB128" s="751"/>
      <c r="QBC128" s="751"/>
      <c r="QBD128" s="751"/>
      <c r="QBE128" s="751"/>
      <c r="QBF128" s="751"/>
      <c r="QBG128" s="751"/>
      <c r="QBH128" s="751"/>
      <c r="QBI128" s="751"/>
      <c r="QBJ128" s="751"/>
      <c r="QBK128" s="751"/>
      <c r="QBL128" s="751"/>
      <c r="QBM128" s="751"/>
      <c r="QBN128" s="751"/>
      <c r="QBO128" s="751"/>
      <c r="QBP128" s="751"/>
      <c r="QBQ128" s="751"/>
      <c r="QBR128" s="751"/>
      <c r="QBS128" s="751"/>
      <c r="QBT128" s="751"/>
      <c r="QBU128" s="751"/>
      <c r="QBV128" s="751"/>
      <c r="QBW128" s="751"/>
      <c r="QBX128" s="751"/>
      <c r="QBY128" s="751"/>
      <c r="QBZ128" s="751"/>
      <c r="QCA128" s="751"/>
      <c r="QCB128" s="751"/>
      <c r="QCC128" s="751"/>
      <c r="QCD128" s="751"/>
      <c r="QCE128" s="751"/>
      <c r="QCF128" s="751"/>
      <c r="QCG128" s="751"/>
      <c r="QCH128" s="751"/>
      <c r="QCI128" s="751"/>
      <c r="QCJ128" s="751"/>
      <c r="QCK128" s="751"/>
      <c r="QCL128" s="751"/>
      <c r="QCM128" s="751"/>
      <c r="QCN128" s="751"/>
      <c r="QCO128" s="751"/>
      <c r="QCP128" s="751"/>
      <c r="QCQ128" s="751"/>
      <c r="QCR128" s="751"/>
      <c r="QCS128" s="751"/>
      <c r="QCT128" s="751"/>
      <c r="QCU128" s="751"/>
      <c r="QCV128" s="751"/>
      <c r="QCW128" s="751"/>
      <c r="QCX128" s="751"/>
      <c r="QCY128" s="751"/>
      <c r="QCZ128" s="751"/>
      <c r="QDA128" s="751"/>
      <c r="QDB128" s="751"/>
      <c r="QDC128" s="751"/>
      <c r="QDD128" s="751"/>
      <c r="QDE128" s="751"/>
      <c r="QDF128" s="751"/>
      <c r="QDG128" s="751"/>
      <c r="QDH128" s="751"/>
      <c r="QDI128" s="751"/>
      <c r="QDJ128" s="751"/>
      <c r="QDK128" s="751"/>
      <c r="QDL128" s="751"/>
      <c r="QDM128" s="751"/>
      <c r="QDN128" s="751"/>
      <c r="QDO128" s="751"/>
      <c r="QDP128" s="751"/>
      <c r="QDQ128" s="751"/>
      <c r="QDR128" s="751"/>
      <c r="QDS128" s="751"/>
      <c r="QDT128" s="751"/>
      <c r="QDU128" s="751"/>
      <c r="QDV128" s="751"/>
      <c r="QDW128" s="751"/>
      <c r="QDX128" s="751"/>
      <c r="QDY128" s="751"/>
      <c r="QDZ128" s="751"/>
      <c r="QEA128" s="751"/>
      <c r="QEB128" s="751"/>
      <c r="QEC128" s="751"/>
      <c r="QED128" s="751"/>
      <c r="QEE128" s="751"/>
      <c r="QEF128" s="751"/>
      <c r="QEG128" s="751"/>
      <c r="QEH128" s="751"/>
      <c r="QEI128" s="751"/>
      <c r="QEJ128" s="751"/>
      <c r="QEK128" s="751"/>
      <c r="QEL128" s="751"/>
      <c r="QEM128" s="751"/>
      <c r="QEN128" s="751"/>
      <c r="QEO128" s="751"/>
      <c r="QEP128" s="751"/>
      <c r="QEQ128" s="751"/>
      <c r="QER128" s="751"/>
      <c r="QES128" s="751"/>
      <c r="QET128" s="751"/>
      <c r="QEU128" s="751"/>
      <c r="QEV128" s="751"/>
      <c r="QEW128" s="751"/>
      <c r="QEX128" s="751"/>
      <c r="QEY128" s="751"/>
      <c r="QEZ128" s="751"/>
      <c r="QFA128" s="751"/>
      <c r="QFB128" s="751"/>
      <c r="QFC128" s="751"/>
      <c r="QFD128" s="751"/>
      <c r="QFE128" s="751"/>
      <c r="QFF128" s="751"/>
      <c r="QFG128" s="751"/>
      <c r="QFH128" s="751"/>
      <c r="QFI128" s="751"/>
      <c r="QFJ128" s="751"/>
      <c r="QFK128" s="751"/>
      <c r="QFL128" s="751"/>
      <c r="QFM128" s="751"/>
      <c r="QFN128" s="751"/>
      <c r="QFO128" s="751"/>
      <c r="QFP128" s="751"/>
      <c r="QFQ128" s="751"/>
      <c r="QFR128" s="751"/>
      <c r="QFS128" s="751"/>
      <c r="QFT128" s="751"/>
      <c r="QFU128" s="751"/>
      <c r="QFV128" s="751"/>
      <c r="QFW128" s="751"/>
      <c r="QFX128" s="751"/>
      <c r="QFY128" s="751"/>
      <c r="QFZ128" s="751"/>
      <c r="QGA128" s="751"/>
      <c r="QGB128" s="751"/>
      <c r="QGC128" s="751"/>
      <c r="QGD128" s="751"/>
      <c r="QGE128" s="751"/>
      <c r="QGF128" s="751"/>
      <c r="QGG128" s="751"/>
      <c r="QGH128" s="751"/>
      <c r="QGI128" s="751"/>
      <c r="QGJ128" s="751"/>
      <c r="QGK128" s="751"/>
      <c r="QGL128" s="751"/>
      <c r="QGM128" s="751"/>
      <c r="QGN128" s="751"/>
      <c r="QGO128" s="751"/>
      <c r="QGP128" s="751"/>
      <c r="QGQ128" s="751"/>
      <c r="QGR128" s="751"/>
      <c r="QGS128" s="751"/>
      <c r="QGT128" s="751"/>
      <c r="QGU128" s="751"/>
      <c r="QGV128" s="751"/>
      <c r="QGW128" s="751"/>
      <c r="QGX128" s="751"/>
      <c r="QGY128" s="751"/>
      <c r="QGZ128" s="751"/>
      <c r="QHA128" s="751"/>
      <c r="QHB128" s="751"/>
      <c r="QHC128" s="751"/>
      <c r="QHD128" s="751"/>
      <c r="QHE128" s="751"/>
      <c r="QHF128" s="751"/>
      <c r="QHG128" s="751"/>
      <c r="QHH128" s="751"/>
      <c r="QHI128" s="751"/>
      <c r="QHJ128" s="751"/>
      <c r="QHK128" s="751"/>
      <c r="QHL128" s="751"/>
      <c r="QHM128" s="751"/>
      <c r="QHN128" s="751"/>
      <c r="QHO128" s="751"/>
      <c r="QHP128" s="751"/>
      <c r="QHQ128" s="751"/>
      <c r="QHR128" s="751"/>
      <c r="QHS128" s="751"/>
      <c r="QHT128" s="751"/>
      <c r="QHU128" s="751"/>
      <c r="QHV128" s="751"/>
      <c r="QHW128" s="751"/>
      <c r="QHX128" s="751"/>
      <c r="QHY128" s="751"/>
      <c r="QHZ128" s="751"/>
      <c r="QIA128" s="751"/>
      <c r="QIB128" s="751"/>
      <c r="QIC128" s="751"/>
      <c r="QID128" s="751"/>
      <c r="QIE128" s="751"/>
      <c r="QIF128" s="751"/>
      <c r="QIG128" s="751"/>
      <c r="QIH128" s="751"/>
      <c r="QII128" s="751"/>
      <c r="QIJ128" s="751"/>
      <c r="QIK128" s="751"/>
      <c r="QIL128" s="751"/>
      <c r="QIM128" s="751"/>
      <c r="QIN128" s="751"/>
      <c r="QIO128" s="751"/>
      <c r="QIP128" s="751"/>
      <c r="QIQ128" s="751"/>
      <c r="QIR128" s="751"/>
      <c r="QIS128" s="751"/>
      <c r="QIT128" s="751"/>
      <c r="QIU128" s="751"/>
      <c r="QIV128" s="751"/>
      <c r="QIW128" s="751"/>
      <c r="QIX128" s="751"/>
      <c r="QIY128" s="751"/>
      <c r="QIZ128" s="751"/>
      <c r="QJA128" s="751"/>
      <c r="QJB128" s="751"/>
      <c r="QJC128" s="751"/>
      <c r="QJD128" s="751"/>
      <c r="QJE128" s="751"/>
      <c r="QJF128" s="751"/>
      <c r="QJG128" s="751"/>
      <c r="QJH128" s="751"/>
      <c r="QJI128" s="751"/>
      <c r="QJJ128" s="751"/>
      <c r="QJK128" s="751"/>
      <c r="QJL128" s="751"/>
      <c r="QJM128" s="751"/>
      <c r="QJN128" s="751"/>
      <c r="QJO128" s="751"/>
      <c r="QJP128" s="751"/>
      <c r="QJQ128" s="751"/>
      <c r="QJR128" s="751"/>
      <c r="QJS128" s="751"/>
      <c r="QJT128" s="751"/>
      <c r="QJU128" s="751"/>
      <c r="QJV128" s="751"/>
      <c r="QJW128" s="751"/>
      <c r="QJX128" s="751"/>
      <c r="QJY128" s="751"/>
      <c r="QJZ128" s="751"/>
      <c r="QKA128" s="751"/>
      <c r="QKB128" s="751"/>
      <c r="QKC128" s="751"/>
      <c r="QKD128" s="751"/>
      <c r="QKE128" s="751"/>
      <c r="QKF128" s="751"/>
      <c r="QKG128" s="751"/>
      <c r="QKH128" s="751"/>
      <c r="QKI128" s="751"/>
      <c r="QKJ128" s="751"/>
      <c r="QKK128" s="751"/>
      <c r="QKL128" s="751"/>
      <c r="QKM128" s="751"/>
      <c r="QKN128" s="751"/>
      <c r="QKO128" s="751"/>
      <c r="QKP128" s="751"/>
      <c r="QKQ128" s="751"/>
      <c r="QKR128" s="751"/>
      <c r="QKS128" s="751"/>
      <c r="QKT128" s="751"/>
      <c r="QKU128" s="751"/>
      <c r="QKV128" s="751"/>
      <c r="QKW128" s="751"/>
      <c r="QKX128" s="751"/>
      <c r="QKY128" s="751"/>
      <c r="QKZ128" s="751"/>
      <c r="QLA128" s="751"/>
      <c r="QLB128" s="751"/>
      <c r="QLC128" s="751"/>
      <c r="QLD128" s="751"/>
      <c r="QLE128" s="751"/>
      <c r="QLF128" s="751"/>
      <c r="QLG128" s="751"/>
      <c r="QLH128" s="751"/>
      <c r="QLI128" s="751"/>
      <c r="QLJ128" s="751"/>
      <c r="QLK128" s="751"/>
      <c r="QLL128" s="751"/>
      <c r="QLM128" s="751"/>
      <c r="QLN128" s="751"/>
      <c r="QLO128" s="751"/>
      <c r="QLP128" s="751"/>
      <c r="QLQ128" s="751"/>
      <c r="QLR128" s="751"/>
      <c r="QLS128" s="751"/>
      <c r="QLT128" s="751"/>
      <c r="QLU128" s="751"/>
      <c r="QLV128" s="751"/>
      <c r="QLW128" s="751"/>
      <c r="QLX128" s="751"/>
      <c r="QLY128" s="751"/>
      <c r="QLZ128" s="751"/>
      <c r="QMA128" s="751"/>
      <c r="QMB128" s="751"/>
      <c r="QMC128" s="751"/>
      <c r="QMD128" s="751"/>
      <c r="QME128" s="751"/>
      <c r="QMF128" s="751"/>
      <c r="QMG128" s="751"/>
      <c r="QMH128" s="751"/>
      <c r="QMI128" s="751"/>
      <c r="QMJ128" s="751"/>
      <c r="QMK128" s="751"/>
      <c r="QML128" s="751"/>
      <c r="QMM128" s="751"/>
      <c r="QMN128" s="751"/>
      <c r="QMO128" s="751"/>
      <c r="QMP128" s="751"/>
      <c r="QMQ128" s="751"/>
      <c r="QMR128" s="751"/>
      <c r="QMS128" s="751"/>
      <c r="QMT128" s="751"/>
      <c r="QMU128" s="751"/>
      <c r="QMV128" s="751"/>
      <c r="QMW128" s="751"/>
      <c r="QMX128" s="751"/>
      <c r="QMY128" s="751"/>
      <c r="QMZ128" s="751"/>
      <c r="QNA128" s="751"/>
      <c r="QNB128" s="751"/>
      <c r="QNC128" s="751"/>
      <c r="QND128" s="751"/>
      <c r="QNE128" s="751"/>
      <c r="QNF128" s="751"/>
      <c r="QNG128" s="751"/>
      <c r="QNH128" s="751"/>
      <c r="QNI128" s="751"/>
      <c r="QNJ128" s="751"/>
      <c r="QNK128" s="751"/>
      <c r="QNL128" s="751"/>
      <c r="QNM128" s="751"/>
      <c r="QNN128" s="751"/>
      <c r="QNO128" s="751"/>
      <c r="QNP128" s="751"/>
      <c r="QNQ128" s="751"/>
      <c r="QNR128" s="751"/>
      <c r="QNS128" s="751"/>
      <c r="QNT128" s="751"/>
      <c r="QNU128" s="751"/>
      <c r="QNV128" s="751"/>
      <c r="QNW128" s="751"/>
      <c r="QNX128" s="751"/>
      <c r="QNY128" s="751"/>
      <c r="QNZ128" s="751"/>
      <c r="QOA128" s="751"/>
      <c r="QOB128" s="751"/>
      <c r="QOC128" s="751"/>
      <c r="QOD128" s="751"/>
      <c r="QOE128" s="751"/>
      <c r="QOF128" s="751"/>
      <c r="QOG128" s="751"/>
      <c r="QOH128" s="751"/>
      <c r="QOI128" s="751"/>
      <c r="QOJ128" s="751"/>
      <c r="QOK128" s="751"/>
      <c r="QOL128" s="751"/>
      <c r="QOM128" s="751"/>
      <c r="QON128" s="751"/>
      <c r="QOO128" s="751"/>
      <c r="QOP128" s="751"/>
      <c r="QOQ128" s="751"/>
      <c r="QOR128" s="751"/>
      <c r="QOS128" s="751"/>
      <c r="QOT128" s="751"/>
      <c r="QOU128" s="751"/>
      <c r="QOV128" s="751"/>
      <c r="QOW128" s="751"/>
      <c r="QOX128" s="751"/>
      <c r="QOY128" s="751"/>
      <c r="QOZ128" s="751"/>
      <c r="QPA128" s="751"/>
      <c r="QPB128" s="751"/>
      <c r="QPC128" s="751"/>
      <c r="QPD128" s="751"/>
      <c r="QPE128" s="751"/>
      <c r="QPF128" s="751"/>
      <c r="QPG128" s="751"/>
      <c r="QPH128" s="751"/>
      <c r="QPI128" s="751"/>
      <c r="QPJ128" s="751"/>
      <c r="QPK128" s="751"/>
      <c r="QPL128" s="751"/>
      <c r="QPM128" s="751"/>
      <c r="QPN128" s="751"/>
      <c r="QPO128" s="751"/>
      <c r="QPP128" s="751"/>
      <c r="QPQ128" s="751"/>
      <c r="QPR128" s="751"/>
      <c r="QPS128" s="751"/>
      <c r="QPT128" s="751"/>
      <c r="QPU128" s="751"/>
      <c r="QPV128" s="751"/>
      <c r="QPW128" s="751"/>
      <c r="QPX128" s="751"/>
      <c r="QPY128" s="751"/>
      <c r="QPZ128" s="751"/>
      <c r="QQA128" s="751"/>
      <c r="QQB128" s="751"/>
      <c r="QQC128" s="751"/>
      <c r="QQD128" s="751"/>
      <c r="QQE128" s="751"/>
      <c r="QQF128" s="751"/>
      <c r="QQG128" s="751"/>
      <c r="QQH128" s="751"/>
      <c r="QQI128" s="751"/>
      <c r="QQJ128" s="751"/>
      <c r="QQK128" s="751"/>
      <c r="QQL128" s="751"/>
      <c r="QQM128" s="751"/>
      <c r="QQN128" s="751"/>
      <c r="QQO128" s="751"/>
      <c r="QQP128" s="751"/>
      <c r="QQQ128" s="751"/>
      <c r="QQR128" s="751"/>
      <c r="QQS128" s="751"/>
      <c r="QQT128" s="751"/>
      <c r="QQU128" s="751"/>
      <c r="QQV128" s="751"/>
      <c r="QQW128" s="751"/>
      <c r="QQX128" s="751"/>
      <c r="QQY128" s="751"/>
      <c r="QQZ128" s="751"/>
      <c r="QRA128" s="751"/>
      <c r="QRB128" s="751"/>
      <c r="QRC128" s="751"/>
      <c r="QRD128" s="751"/>
      <c r="QRE128" s="751"/>
      <c r="QRF128" s="751"/>
      <c r="QRG128" s="751"/>
      <c r="QRH128" s="751"/>
      <c r="QRI128" s="751"/>
      <c r="QRJ128" s="751"/>
      <c r="QRK128" s="751"/>
      <c r="QRL128" s="751"/>
      <c r="QRM128" s="751"/>
      <c r="QRN128" s="751"/>
      <c r="QRO128" s="751"/>
      <c r="QRP128" s="751"/>
      <c r="QRQ128" s="751"/>
      <c r="QRR128" s="751"/>
      <c r="QRS128" s="751"/>
      <c r="QRT128" s="751"/>
      <c r="QRU128" s="751"/>
      <c r="QRV128" s="751"/>
      <c r="QRW128" s="751"/>
      <c r="QRX128" s="751"/>
      <c r="QRY128" s="751"/>
      <c r="QRZ128" s="751"/>
      <c r="QSA128" s="751"/>
      <c r="QSB128" s="751"/>
      <c r="QSC128" s="751"/>
      <c r="QSD128" s="751"/>
      <c r="QSE128" s="751"/>
      <c r="QSF128" s="751"/>
      <c r="QSG128" s="751"/>
      <c r="QSH128" s="751"/>
      <c r="QSI128" s="751"/>
      <c r="QSJ128" s="751"/>
      <c r="QSK128" s="751"/>
      <c r="QSL128" s="751"/>
      <c r="QSM128" s="751"/>
      <c r="QSN128" s="751"/>
      <c r="QSO128" s="751"/>
      <c r="QSP128" s="751"/>
      <c r="QSQ128" s="751"/>
      <c r="QSR128" s="751"/>
      <c r="QSS128" s="751"/>
      <c r="QST128" s="751"/>
      <c r="QSU128" s="751"/>
      <c r="QSV128" s="751"/>
      <c r="QSW128" s="751"/>
      <c r="QSX128" s="751"/>
      <c r="QSY128" s="751"/>
      <c r="QSZ128" s="751"/>
      <c r="QTA128" s="751"/>
      <c r="QTB128" s="751"/>
      <c r="QTC128" s="751"/>
      <c r="QTD128" s="751"/>
      <c r="QTE128" s="751"/>
      <c r="QTF128" s="751"/>
      <c r="QTG128" s="751"/>
      <c r="QTH128" s="751"/>
      <c r="QTI128" s="751"/>
      <c r="QTJ128" s="751"/>
      <c r="QTK128" s="751"/>
      <c r="QTL128" s="751"/>
      <c r="QTM128" s="751"/>
      <c r="QTN128" s="751"/>
      <c r="QTO128" s="751"/>
      <c r="QTP128" s="751"/>
      <c r="QTQ128" s="751"/>
      <c r="QTR128" s="751"/>
      <c r="QTS128" s="751"/>
      <c r="QTT128" s="751"/>
      <c r="QTU128" s="751"/>
      <c r="QTV128" s="751"/>
      <c r="QTW128" s="751"/>
      <c r="QTX128" s="751"/>
      <c r="QTY128" s="751"/>
      <c r="QTZ128" s="751"/>
      <c r="QUA128" s="751"/>
      <c r="QUB128" s="751"/>
      <c r="QUC128" s="751"/>
      <c r="QUD128" s="751"/>
      <c r="QUE128" s="751"/>
      <c r="QUF128" s="751"/>
      <c r="QUG128" s="751"/>
      <c r="QUH128" s="751"/>
      <c r="QUI128" s="751"/>
      <c r="QUJ128" s="751"/>
      <c r="QUK128" s="751"/>
      <c r="QUL128" s="751"/>
      <c r="QUM128" s="751"/>
      <c r="QUN128" s="751"/>
      <c r="QUO128" s="751"/>
      <c r="QUP128" s="751"/>
      <c r="QUQ128" s="751"/>
      <c r="QUR128" s="751"/>
      <c r="QUS128" s="751"/>
      <c r="QUT128" s="751"/>
      <c r="QUU128" s="751"/>
      <c r="QUV128" s="751"/>
      <c r="QUW128" s="751"/>
      <c r="QUX128" s="751"/>
      <c r="QUY128" s="751"/>
      <c r="QUZ128" s="751"/>
      <c r="QVA128" s="751"/>
      <c r="QVB128" s="751"/>
      <c r="QVC128" s="751"/>
      <c r="QVD128" s="751"/>
      <c r="QVE128" s="751"/>
      <c r="QVF128" s="751"/>
      <c r="QVG128" s="751"/>
      <c r="QVH128" s="751"/>
      <c r="QVI128" s="751"/>
      <c r="QVJ128" s="751"/>
      <c r="QVK128" s="751"/>
      <c r="QVL128" s="751"/>
      <c r="QVM128" s="751"/>
      <c r="QVN128" s="751"/>
      <c r="QVO128" s="751"/>
      <c r="QVP128" s="751"/>
      <c r="QVQ128" s="751"/>
      <c r="QVR128" s="751"/>
      <c r="QVS128" s="751"/>
      <c r="QVT128" s="751"/>
      <c r="QVU128" s="751"/>
      <c r="QVV128" s="751"/>
      <c r="QVW128" s="751"/>
      <c r="QVX128" s="751"/>
      <c r="QVY128" s="751"/>
      <c r="QVZ128" s="751"/>
      <c r="QWA128" s="751"/>
      <c r="QWB128" s="751"/>
      <c r="QWC128" s="751"/>
      <c r="QWD128" s="751"/>
      <c r="QWE128" s="751"/>
      <c r="QWF128" s="751"/>
      <c r="QWG128" s="751"/>
      <c r="QWH128" s="751"/>
      <c r="QWI128" s="751"/>
      <c r="QWJ128" s="751"/>
      <c r="QWK128" s="751"/>
      <c r="QWL128" s="751"/>
      <c r="QWM128" s="751"/>
      <c r="QWN128" s="751"/>
      <c r="QWO128" s="751"/>
      <c r="QWP128" s="751"/>
      <c r="QWQ128" s="751"/>
      <c r="QWR128" s="751"/>
      <c r="QWS128" s="751"/>
      <c r="QWT128" s="751"/>
      <c r="QWU128" s="751"/>
      <c r="QWV128" s="751"/>
      <c r="QWW128" s="751"/>
      <c r="QWX128" s="751"/>
      <c r="QWY128" s="751"/>
      <c r="QWZ128" s="751"/>
      <c r="QXA128" s="751"/>
      <c r="QXB128" s="751"/>
      <c r="QXC128" s="751"/>
      <c r="QXD128" s="751"/>
      <c r="QXE128" s="751"/>
      <c r="QXF128" s="751"/>
      <c r="QXG128" s="751"/>
      <c r="QXH128" s="751"/>
      <c r="QXI128" s="751"/>
      <c r="QXJ128" s="751"/>
      <c r="QXK128" s="751"/>
      <c r="QXL128" s="751"/>
      <c r="QXM128" s="751"/>
      <c r="QXN128" s="751"/>
      <c r="QXO128" s="751"/>
      <c r="QXP128" s="751"/>
      <c r="QXQ128" s="751"/>
      <c r="QXR128" s="751"/>
      <c r="QXS128" s="751"/>
      <c r="QXT128" s="751"/>
      <c r="QXU128" s="751"/>
      <c r="QXV128" s="751"/>
      <c r="QXW128" s="751"/>
      <c r="QXX128" s="751"/>
      <c r="QXY128" s="751"/>
      <c r="QXZ128" s="751"/>
      <c r="QYA128" s="751"/>
      <c r="QYB128" s="751"/>
      <c r="QYC128" s="751"/>
      <c r="QYD128" s="751"/>
      <c r="QYE128" s="751"/>
      <c r="QYF128" s="751"/>
      <c r="QYG128" s="751"/>
      <c r="QYH128" s="751"/>
      <c r="QYI128" s="751"/>
      <c r="QYJ128" s="751"/>
      <c r="QYK128" s="751"/>
      <c r="QYL128" s="751"/>
      <c r="QYM128" s="751"/>
      <c r="QYN128" s="751"/>
      <c r="QYO128" s="751"/>
      <c r="QYP128" s="751"/>
      <c r="QYQ128" s="751"/>
      <c r="QYR128" s="751"/>
      <c r="QYS128" s="751"/>
      <c r="QYT128" s="751"/>
      <c r="QYU128" s="751"/>
      <c r="QYV128" s="751"/>
      <c r="QYW128" s="751"/>
      <c r="QYX128" s="751"/>
      <c r="QYY128" s="751"/>
      <c r="QYZ128" s="751"/>
      <c r="QZA128" s="751"/>
      <c r="QZB128" s="751"/>
      <c r="QZC128" s="751"/>
      <c r="QZD128" s="751"/>
      <c r="QZE128" s="751"/>
      <c r="QZF128" s="751"/>
      <c r="QZG128" s="751"/>
      <c r="QZH128" s="751"/>
      <c r="QZI128" s="751"/>
      <c r="QZJ128" s="751"/>
      <c r="QZK128" s="751"/>
      <c r="QZL128" s="751"/>
      <c r="QZM128" s="751"/>
      <c r="QZN128" s="751"/>
      <c r="QZO128" s="751"/>
      <c r="QZP128" s="751"/>
      <c r="QZQ128" s="751"/>
      <c r="QZR128" s="751"/>
      <c r="QZS128" s="751"/>
      <c r="QZT128" s="751"/>
      <c r="QZU128" s="751"/>
      <c r="QZV128" s="751"/>
      <c r="QZW128" s="751"/>
      <c r="QZX128" s="751"/>
      <c r="QZY128" s="751"/>
      <c r="QZZ128" s="751"/>
      <c r="RAA128" s="751"/>
      <c r="RAB128" s="751"/>
      <c r="RAC128" s="751"/>
      <c r="RAD128" s="751"/>
      <c r="RAE128" s="751"/>
      <c r="RAF128" s="751"/>
      <c r="RAG128" s="751"/>
      <c r="RAH128" s="751"/>
      <c r="RAI128" s="751"/>
      <c r="RAJ128" s="751"/>
      <c r="RAK128" s="751"/>
      <c r="RAL128" s="751"/>
      <c r="RAM128" s="751"/>
      <c r="RAN128" s="751"/>
      <c r="RAO128" s="751"/>
      <c r="RAP128" s="751"/>
      <c r="RAQ128" s="751"/>
      <c r="RAR128" s="751"/>
      <c r="RAS128" s="751"/>
      <c r="RAT128" s="751"/>
      <c r="RAU128" s="751"/>
      <c r="RAV128" s="751"/>
      <c r="RAW128" s="751"/>
      <c r="RAX128" s="751"/>
      <c r="RAY128" s="751"/>
      <c r="RAZ128" s="751"/>
      <c r="RBA128" s="751"/>
      <c r="RBB128" s="751"/>
      <c r="RBC128" s="751"/>
      <c r="RBD128" s="751"/>
      <c r="RBE128" s="751"/>
      <c r="RBF128" s="751"/>
      <c r="RBG128" s="751"/>
      <c r="RBH128" s="751"/>
      <c r="RBI128" s="751"/>
      <c r="RBJ128" s="751"/>
      <c r="RBK128" s="751"/>
      <c r="RBL128" s="751"/>
      <c r="RBM128" s="751"/>
      <c r="RBN128" s="751"/>
      <c r="RBO128" s="751"/>
      <c r="RBP128" s="751"/>
      <c r="RBQ128" s="751"/>
      <c r="RBR128" s="751"/>
      <c r="RBS128" s="751"/>
      <c r="RBT128" s="751"/>
      <c r="RBU128" s="751"/>
      <c r="RBV128" s="751"/>
      <c r="RBW128" s="751"/>
      <c r="RBX128" s="751"/>
      <c r="RBY128" s="751"/>
      <c r="RBZ128" s="751"/>
      <c r="RCA128" s="751"/>
      <c r="RCB128" s="751"/>
      <c r="RCC128" s="751"/>
      <c r="RCD128" s="751"/>
      <c r="RCE128" s="751"/>
      <c r="RCF128" s="751"/>
      <c r="RCG128" s="751"/>
      <c r="RCH128" s="751"/>
      <c r="RCI128" s="751"/>
      <c r="RCJ128" s="751"/>
      <c r="RCK128" s="751"/>
      <c r="RCL128" s="751"/>
      <c r="RCM128" s="751"/>
      <c r="RCN128" s="751"/>
      <c r="RCO128" s="751"/>
      <c r="RCP128" s="751"/>
      <c r="RCQ128" s="751"/>
      <c r="RCR128" s="751"/>
      <c r="RCS128" s="751"/>
      <c r="RCT128" s="751"/>
      <c r="RCU128" s="751"/>
      <c r="RCV128" s="751"/>
      <c r="RCW128" s="751"/>
      <c r="RCX128" s="751"/>
      <c r="RCY128" s="751"/>
      <c r="RCZ128" s="751"/>
      <c r="RDA128" s="751"/>
      <c r="RDB128" s="751"/>
      <c r="RDC128" s="751"/>
      <c r="RDD128" s="751"/>
      <c r="RDE128" s="751"/>
      <c r="RDF128" s="751"/>
      <c r="RDG128" s="751"/>
      <c r="RDH128" s="751"/>
      <c r="RDI128" s="751"/>
      <c r="RDJ128" s="751"/>
      <c r="RDK128" s="751"/>
      <c r="RDL128" s="751"/>
      <c r="RDM128" s="751"/>
      <c r="RDN128" s="751"/>
      <c r="RDO128" s="751"/>
      <c r="RDP128" s="751"/>
      <c r="RDQ128" s="751"/>
      <c r="RDR128" s="751"/>
      <c r="RDS128" s="751"/>
      <c r="RDT128" s="751"/>
      <c r="RDU128" s="751"/>
      <c r="RDV128" s="751"/>
      <c r="RDW128" s="751"/>
      <c r="RDX128" s="751"/>
      <c r="RDY128" s="751"/>
      <c r="RDZ128" s="751"/>
      <c r="REA128" s="751"/>
      <c r="REB128" s="751"/>
      <c r="REC128" s="751"/>
      <c r="RED128" s="751"/>
      <c r="REE128" s="751"/>
      <c r="REF128" s="751"/>
      <c r="REG128" s="751"/>
      <c r="REH128" s="751"/>
      <c r="REI128" s="751"/>
      <c r="REJ128" s="751"/>
      <c r="REK128" s="751"/>
      <c r="REL128" s="751"/>
      <c r="REM128" s="751"/>
      <c r="REN128" s="751"/>
      <c r="REO128" s="751"/>
      <c r="REP128" s="751"/>
      <c r="REQ128" s="751"/>
      <c r="RER128" s="751"/>
      <c r="RES128" s="751"/>
      <c r="RET128" s="751"/>
      <c r="REU128" s="751"/>
      <c r="REV128" s="751"/>
      <c r="REW128" s="751"/>
      <c r="REX128" s="751"/>
      <c r="REY128" s="751"/>
      <c r="REZ128" s="751"/>
      <c r="RFA128" s="751"/>
      <c r="RFB128" s="751"/>
      <c r="RFC128" s="751"/>
      <c r="RFD128" s="751"/>
      <c r="RFE128" s="751"/>
      <c r="RFF128" s="751"/>
      <c r="RFG128" s="751"/>
      <c r="RFH128" s="751"/>
      <c r="RFI128" s="751"/>
      <c r="RFJ128" s="751"/>
      <c r="RFK128" s="751"/>
      <c r="RFL128" s="751"/>
      <c r="RFM128" s="751"/>
      <c r="RFN128" s="751"/>
      <c r="RFO128" s="751"/>
      <c r="RFP128" s="751"/>
      <c r="RFQ128" s="751"/>
      <c r="RFR128" s="751"/>
      <c r="RFS128" s="751"/>
      <c r="RFT128" s="751"/>
      <c r="RFU128" s="751"/>
      <c r="RFV128" s="751"/>
      <c r="RFW128" s="751"/>
      <c r="RFX128" s="751"/>
      <c r="RFY128" s="751"/>
      <c r="RFZ128" s="751"/>
      <c r="RGA128" s="751"/>
      <c r="RGB128" s="751"/>
      <c r="RGC128" s="751"/>
      <c r="RGD128" s="751"/>
      <c r="RGE128" s="751"/>
      <c r="RGF128" s="751"/>
      <c r="RGG128" s="751"/>
      <c r="RGH128" s="751"/>
      <c r="RGI128" s="751"/>
      <c r="RGJ128" s="751"/>
      <c r="RGK128" s="751"/>
      <c r="RGL128" s="751"/>
      <c r="RGM128" s="751"/>
      <c r="RGN128" s="751"/>
      <c r="RGO128" s="751"/>
      <c r="RGP128" s="751"/>
      <c r="RGQ128" s="751"/>
      <c r="RGR128" s="751"/>
      <c r="RGS128" s="751"/>
      <c r="RGT128" s="751"/>
      <c r="RGU128" s="751"/>
      <c r="RGV128" s="751"/>
      <c r="RGW128" s="751"/>
      <c r="RGX128" s="751"/>
      <c r="RGY128" s="751"/>
      <c r="RGZ128" s="751"/>
      <c r="RHA128" s="751"/>
      <c r="RHB128" s="751"/>
      <c r="RHC128" s="751"/>
      <c r="RHD128" s="751"/>
      <c r="RHE128" s="751"/>
      <c r="RHF128" s="751"/>
      <c r="RHG128" s="751"/>
      <c r="RHH128" s="751"/>
      <c r="RHI128" s="751"/>
      <c r="RHJ128" s="751"/>
      <c r="RHK128" s="751"/>
      <c r="RHL128" s="751"/>
      <c r="RHM128" s="751"/>
      <c r="RHN128" s="751"/>
      <c r="RHO128" s="751"/>
      <c r="RHP128" s="751"/>
      <c r="RHQ128" s="751"/>
      <c r="RHR128" s="751"/>
      <c r="RHS128" s="751"/>
      <c r="RHT128" s="751"/>
      <c r="RHU128" s="751"/>
      <c r="RHV128" s="751"/>
      <c r="RHW128" s="751"/>
      <c r="RHX128" s="751"/>
      <c r="RHY128" s="751"/>
      <c r="RHZ128" s="751"/>
      <c r="RIA128" s="751"/>
      <c r="RIB128" s="751"/>
      <c r="RIC128" s="751"/>
      <c r="RID128" s="751"/>
      <c r="RIE128" s="751"/>
      <c r="RIF128" s="751"/>
      <c r="RIG128" s="751"/>
      <c r="RIH128" s="751"/>
      <c r="RII128" s="751"/>
      <c r="RIJ128" s="751"/>
      <c r="RIK128" s="751"/>
      <c r="RIL128" s="751"/>
      <c r="RIM128" s="751"/>
      <c r="RIN128" s="751"/>
      <c r="RIO128" s="751"/>
      <c r="RIP128" s="751"/>
      <c r="RIQ128" s="751"/>
      <c r="RIR128" s="751"/>
      <c r="RIS128" s="751"/>
      <c r="RIT128" s="751"/>
      <c r="RIU128" s="751"/>
      <c r="RIV128" s="751"/>
      <c r="RIW128" s="751"/>
      <c r="RIX128" s="751"/>
      <c r="RIY128" s="751"/>
      <c r="RIZ128" s="751"/>
      <c r="RJA128" s="751"/>
      <c r="RJB128" s="751"/>
      <c r="RJC128" s="751"/>
      <c r="RJD128" s="751"/>
      <c r="RJE128" s="751"/>
      <c r="RJF128" s="751"/>
      <c r="RJG128" s="751"/>
      <c r="RJH128" s="751"/>
      <c r="RJI128" s="751"/>
      <c r="RJJ128" s="751"/>
      <c r="RJK128" s="751"/>
      <c r="RJL128" s="751"/>
      <c r="RJM128" s="751"/>
      <c r="RJN128" s="751"/>
      <c r="RJO128" s="751"/>
      <c r="RJP128" s="751"/>
      <c r="RJQ128" s="751"/>
      <c r="RJR128" s="751"/>
      <c r="RJS128" s="751"/>
      <c r="RJT128" s="751"/>
      <c r="RJU128" s="751"/>
      <c r="RJV128" s="751"/>
      <c r="RJW128" s="751"/>
      <c r="RJX128" s="751"/>
      <c r="RJY128" s="751"/>
      <c r="RJZ128" s="751"/>
      <c r="RKA128" s="751"/>
      <c r="RKB128" s="751"/>
      <c r="RKC128" s="751"/>
      <c r="RKD128" s="751"/>
      <c r="RKE128" s="751"/>
      <c r="RKF128" s="751"/>
      <c r="RKG128" s="751"/>
      <c r="RKH128" s="751"/>
      <c r="RKI128" s="751"/>
      <c r="RKJ128" s="751"/>
      <c r="RKK128" s="751"/>
      <c r="RKL128" s="751"/>
      <c r="RKM128" s="751"/>
      <c r="RKN128" s="751"/>
      <c r="RKO128" s="751"/>
      <c r="RKP128" s="751"/>
      <c r="RKQ128" s="751"/>
      <c r="RKR128" s="751"/>
      <c r="RKS128" s="751"/>
      <c r="RKT128" s="751"/>
      <c r="RKU128" s="751"/>
      <c r="RKV128" s="751"/>
      <c r="RKW128" s="751"/>
      <c r="RKX128" s="751"/>
      <c r="RKY128" s="751"/>
      <c r="RKZ128" s="751"/>
      <c r="RLA128" s="751"/>
      <c r="RLB128" s="751"/>
      <c r="RLC128" s="751"/>
      <c r="RLD128" s="751"/>
      <c r="RLE128" s="751"/>
      <c r="RLF128" s="751"/>
      <c r="RLG128" s="751"/>
      <c r="RLH128" s="751"/>
      <c r="RLI128" s="751"/>
      <c r="RLJ128" s="751"/>
      <c r="RLK128" s="751"/>
      <c r="RLL128" s="751"/>
      <c r="RLM128" s="751"/>
      <c r="RLN128" s="751"/>
      <c r="RLO128" s="751"/>
      <c r="RLP128" s="751"/>
      <c r="RLQ128" s="751"/>
      <c r="RLR128" s="751"/>
      <c r="RLS128" s="751"/>
      <c r="RLT128" s="751"/>
      <c r="RLU128" s="751"/>
      <c r="RLV128" s="751"/>
      <c r="RLW128" s="751"/>
      <c r="RLX128" s="751"/>
      <c r="RLY128" s="751"/>
      <c r="RLZ128" s="751"/>
      <c r="RMA128" s="751"/>
      <c r="RMB128" s="751"/>
      <c r="RMC128" s="751"/>
      <c r="RMD128" s="751"/>
      <c r="RME128" s="751"/>
      <c r="RMF128" s="751"/>
      <c r="RMG128" s="751"/>
      <c r="RMH128" s="751"/>
      <c r="RMI128" s="751"/>
      <c r="RMJ128" s="751"/>
      <c r="RMK128" s="751"/>
      <c r="RML128" s="751"/>
      <c r="RMM128" s="751"/>
      <c r="RMN128" s="751"/>
      <c r="RMO128" s="751"/>
      <c r="RMP128" s="751"/>
      <c r="RMQ128" s="751"/>
      <c r="RMR128" s="751"/>
      <c r="RMS128" s="751"/>
      <c r="RMT128" s="751"/>
      <c r="RMU128" s="751"/>
      <c r="RMV128" s="751"/>
      <c r="RMW128" s="751"/>
      <c r="RMX128" s="751"/>
      <c r="RMY128" s="751"/>
      <c r="RMZ128" s="751"/>
      <c r="RNA128" s="751"/>
      <c r="RNB128" s="751"/>
      <c r="RNC128" s="751"/>
      <c r="RND128" s="751"/>
      <c r="RNE128" s="751"/>
      <c r="RNF128" s="751"/>
      <c r="RNG128" s="751"/>
      <c r="RNH128" s="751"/>
      <c r="RNI128" s="751"/>
      <c r="RNJ128" s="751"/>
      <c r="RNK128" s="751"/>
      <c r="RNL128" s="751"/>
      <c r="RNM128" s="751"/>
      <c r="RNN128" s="751"/>
      <c r="RNO128" s="751"/>
      <c r="RNP128" s="751"/>
      <c r="RNQ128" s="751"/>
      <c r="RNR128" s="751"/>
      <c r="RNS128" s="751"/>
      <c r="RNT128" s="751"/>
      <c r="RNU128" s="751"/>
      <c r="RNV128" s="751"/>
      <c r="RNW128" s="751"/>
      <c r="RNX128" s="751"/>
      <c r="RNY128" s="751"/>
      <c r="RNZ128" s="751"/>
      <c r="ROA128" s="751"/>
      <c r="ROB128" s="751"/>
      <c r="ROC128" s="751"/>
      <c r="ROD128" s="751"/>
      <c r="ROE128" s="751"/>
      <c r="ROF128" s="751"/>
      <c r="ROG128" s="751"/>
      <c r="ROH128" s="751"/>
      <c r="ROI128" s="751"/>
      <c r="ROJ128" s="751"/>
      <c r="ROK128" s="751"/>
      <c r="ROL128" s="751"/>
      <c r="ROM128" s="751"/>
      <c r="RON128" s="751"/>
      <c r="ROO128" s="751"/>
      <c r="ROP128" s="751"/>
      <c r="ROQ128" s="751"/>
      <c r="ROR128" s="751"/>
      <c r="ROS128" s="751"/>
      <c r="ROT128" s="751"/>
      <c r="ROU128" s="751"/>
      <c r="ROV128" s="751"/>
      <c r="ROW128" s="751"/>
      <c r="ROX128" s="751"/>
      <c r="ROY128" s="751"/>
      <c r="ROZ128" s="751"/>
      <c r="RPA128" s="751"/>
      <c r="RPB128" s="751"/>
      <c r="RPC128" s="751"/>
      <c r="RPD128" s="751"/>
      <c r="RPE128" s="751"/>
      <c r="RPF128" s="751"/>
      <c r="RPG128" s="751"/>
      <c r="RPH128" s="751"/>
      <c r="RPI128" s="751"/>
      <c r="RPJ128" s="751"/>
      <c r="RPK128" s="751"/>
      <c r="RPL128" s="751"/>
      <c r="RPM128" s="751"/>
      <c r="RPN128" s="751"/>
      <c r="RPO128" s="751"/>
      <c r="RPP128" s="751"/>
      <c r="RPQ128" s="751"/>
      <c r="RPR128" s="751"/>
      <c r="RPS128" s="751"/>
      <c r="RPT128" s="751"/>
      <c r="RPU128" s="751"/>
      <c r="RPV128" s="751"/>
      <c r="RPW128" s="751"/>
      <c r="RPX128" s="751"/>
      <c r="RPY128" s="751"/>
      <c r="RPZ128" s="751"/>
      <c r="RQA128" s="751"/>
      <c r="RQB128" s="751"/>
      <c r="RQC128" s="751"/>
      <c r="RQD128" s="751"/>
      <c r="RQE128" s="751"/>
      <c r="RQF128" s="751"/>
      <c r="RQG128" s="751"/>
      <c r="RQH128" s="751"/>
      <c r="RQI128" s="751"/>
      <c r="RQJ128" s="751"/>
      <c r="RQK128" s="751"/>
      <c r="RQL128" s="751"/>
      <c r="RQM128" s="751"/>
      <c r="RQN128" s="751"/>
      <c r="RQO128" s="751"/>
      <c r="RQP128" s="751"/>
      <c r="RQQ128" s="751"/>
      <c r="RQR128" s="751"/>
      <c r="RQS128" s="751"/>
      <c r="RQT128" s="751"/>
      <c r="RQU128" s="751"/>
      <c r="RQV128" s="751"/>
      <c r="RQW128" s="751"/>
      <c r="RQX128" s="751"/>
      <c r="RQY128" s="751"/>
      <c r="RQZ128" s="751"/>
      <c r="RRA128" s="751"/>
      <c r="RRB128" s="751"/>
      <c r="RRC128" s="751"/>
      <c r="RRD128" s="751"/>
      <c r="RRE128" s="751"/>
      <c r="RRF128" s="751"/>
      <c r="RRG128" s="751"/>
      <c r="RRH128" s="751"/>
      <c r="RRI128" s="751"/>
      <c r="RRJ128" s="751"/>
      <c r="RRK128" s="751"/>
      <c r="RRL128" s="751"/>
      <c r="RRM128" s="751"/>
      <c r="RRN128" s="751"/>
      <c r="RRO128" s="751"/>
      <c r="RRP128" s="751"/>
      <c r="RRQ128" s="751"/>
      <c r="RRR128" s="751"/>
      <c r="RRS128" s="751"/>
      <c r="RRT128" s="751"/>
      <c r="RRU128" s="751"/>
      <c r="RRV128" s="751"/>
      <c r="RRW128" s="751"/>
      <c r="RRX128" s="751"/>
      <c r="RRY128" s="751"/>
      <c r="RRZ128" s="751"/>
      <c r="RSA128" s="751"/>
      <c r="RSB128" s="751"/>
      <c r="RSC128" s="751"/>
      <c r="RSD128" s="751"/>
      <c r="RSE128" s="751"/>
      <c r="RSF128" s="751"/>
      <c r="RSG128" s="751"/>
      <c r="RSH128" s="751"/>
      <c r="RSI128" s="751"/>
      <c r="RSJ128" s="751"/>
      <c r="RSK128" s="751"/>
      <c r="RSL128" s="751"/>
      <c r="RSM128" s="751"/>
      <c r="RSN128" s="751"/>
      <c r="RSO128" s="751"/>
      <c r="RSP128" s="751"/>
      <c r="RSQ128" s="751"/>
      <c r="RSR128" s="751"/>
      <c r="RSS128" s="751"/>
      <c r="RST128" s="751"/>
      <c r="RSU128" s="751"/>
      <c r="RSV128" s="751"/>
      <c r="RSW128" s="751"/>
      <c r="RSX128" s="751"/>
      <c r="RSY128" s="751"/>
      <c r="RSZ128" s="751"/>
      <c r="RTA128" s="751"/>
      <c r="RTB128" s="751"/>
      <c r="RTC128" s="751"/>
      <c r="RTD128" s="751"/>
      <c r="RTE128" s="751"/>
      <c r="RTF128" s="751"/>
      <c r="RTG128" s="751"/>
      <c r="RTH128" s="751"/>
      <c r="RTI128" s="751"/>
      <c r="RTJ128" s="751"/>
      <c r="RTK128" s="751"/>
      <c r="RTL128" s="751"/>
      <c r="RTM128" s="751"/>
      <c r="RTN128" s="751"/>
      <c r="RTO128" s="751"/>
      <c r="RTP128" s="751"/>
      <c r="RTQ128" s="751"/>
      <c r="RTR128" s="751"/>
      <c r="RTS128" s="751"/>
      <c r="RTT128" s="751"/>
      <c r="RTU128" s="751"/>
      <c r="RTV128" s="751"/>
      <c r="RTW128" s="751"/>
      <c r="RTX128" s="751"/>
      <c r="RTY128" s="751"/>
      <c r="RTZ128" s="751"/>
      <c r="RUA128" s="751"/>
      <c r="RUB128" s="751"/>
      <c r="RUC128" s="751"/>
      <c r="RUD128" s="751"/>
      <c r="RUE128" s="751"/>
      <c r="RUF128" s="751"/>
      <c r="RUG128" s="751"/>
      <c r="RUH128" s="751"/>
      <c r="RUI128" s="751"/>
      <c r="RUJ128" s="751"/>
      <c r="RUK128" s="751"/>
      <c r="RUL128" s="751"/>
      <c r="RUM128" s="751"/>
      <c r="RUN128" s="751"/>
      <c r="RUO128" s="751"/>
      <c r="RUP128" s="751"/>
      <c r="RUQ128" s="751"/>
      <c r="RUR128" s="751"/>
      <c r="RUS128" s="751"/>
      <c r="RUT128" s="751"/>
      <c r="RUU128" s="751"/>
      <c r="RUV128" s="751"/>
      <c r="RUW128" s="751"/>
      <c r="RUX128" s="751"/>
      <c r="RUY128" s="751"/>
      <c r="RUZ128" s="751"/>
      <c r="RVA128" s="751"/>
      <c r="RVB128" s="751"/>
      <c r="RVC128" s="751"/>
      <c r="RVD128" s="751"/>
      <c r="RVE128" s="751"/>
      <c r="RVF128" s="751"/>
      <c r="RVG128" s="751"/>
      <c r="RVH128" s="751"/>
      <c r="RVI128" s="751"/>
      <c r="RVJ128" s="751"/>
      <c r="RVK128" s="751"/>
      <c r="RVL128" s="751"/>
      <c r="RVM128" s="751"/>
      <c r="RVN128" s="751"/>
      <c r="RVO128" s="751"/>
      <c r="RVP128" s="751"/>
      <c r="RVQ128" s="751"/>
      <c r="RVR128" s="751"/>
      <c r="RVS128" s="751"/>
      <c r="RVT128" s="751"/>
      <c r="RVU128" s="751"/>
      <c r="RVV128" s="751"/>
      <c r="RVW128" s="751"/>
      <c r="RVX128" s="751"/>
      <c r="RVY128" s="751"/>
      <c r="RVZ128" s="751"/>
      <c r="RWA128" s="751"/>
      <c r="RWB128" s="751"/>
      <c r="RWC128" s="751"/>
      <c r="RWD128" s="751"/>
      <c r="RWE128" s="751"/>
      <c r="RWF128" s="751"/>
      <c r="RWG128" s="751"/>
      <c r="RWH128" s="751"/>
      <c r="RWI128" s="751"/>
      <c r="RWJ128" s="751"/>
      <c r="RWK128" s="751"/>
      <c r="RWL128" s="751"/>
      <c r="RWM128" s="751"/>
      <c r="RWN128" s="751"/>
      <c r="RWO128" s="751"/>
      <c r="RWP128" s="751"/>
      <c r="RWQ128" s="751"/>
      <c r="RWR128" s="751"/>
      <c r="RWS128" s="751"/>
      <c r="RWT128" s="751"/>
      <c r="RWU128" s="751"/>
      <c r="RWV128" s="751"/>
      <c r="RWW128" s="751"/>
      <c r="RWX128" s="751"/>
      <c r="RWY128" s="751"/>
      <c r="RWZ128" s="751"/>
      <c r="RXA128" s="751"/>
      <c r="RXB128" s="751"/>
      <c r="RXC128" s="751"/>
      <c r="RXD128" s="751"/>
      <c r="RXE128" s="751"/>
      <c r="RXF128" s="751"/>
      <c r="RXG128" s="751"/>
      <c r="RXH128" s="751"/>
      <c r="RXI128" s="751"/>
      <c r="RXJ128" s="751"/>
      <c r="RXK128" s="751"/>
      <c r="RXL128" s="751"/>
      <c r="RXM128" s="751"/>
      <c r="RXN128" s="751"/>
      <c r="RXO128" s="751"/>
      <c r="RXP128" s="751"/>
      <c r="RXQ128" s="751"/>
      <c r="RXR128" s="751"/>
      <c r="RXS128" s="751"/>
      <c r="RXT128" s="751"/>
      <c r="RXU128" s="751"/>
      <c r="RXV128" s="751"/>
      <c r="RXW128" s="751"/>
      <c r="RXX128" s="751"/>
      <c r="RXY128" s="751"/>
      <c r="RXZ128" s="751"/>
      <c r="RYA128" s="751"/>
      <c r="RYB128" s="751"/>
      <c r="RYC128" s="751"/>
      <c r="RYD128" s="751"/>
      <c r="RYE128" s="751"/>
      <c r="RYF128" s="751"/>
      <c r="RYG128" s="751"/>
      <c r="RYH128" s="751"/>
      <c r="RYI128" s="751"/>
      <c r="RYJ128" s="751"/>
      <c r="RYK128" s="751"/>
      <c r="RYL128" s="751"/>
      <c r="RYM128" s="751"/>
      <c r="RYN128" s="751"/>
      <c r="RYO128" s="751"/>
      <c r="RYP128" s="751"/>
      <c r="RYQ128" s="751"/>
      <c r="RYR128" s="751"/>
      <c r="RYS128" s="751"/>
      <c r="RYT128" s="751"/>
      <c r="RYU128" s="751"/>
      <c r="RYV128" s="751"/>
      <c r="RYW128" s="751"/>
      <c r="RYX128" s="751"/>
      <c r="RYY128" s="751"/>
      <c r="RYZ128" s="751"/>
      <c r="RZA128" s="751"/>
      <c r="RZB128" s="751"/>
      <c r="RZC128" s="751"/>
      <c r="RZD128" s="751"/>
      <c r="RZE128" s="751"/>
      <c r="RZF128" s="751"/>
      <c r="RZG128" s="751"/>
      <c r="RZH128" s="751"/>
      <c r="RZI128" s="751"/>
      <c r="RZJ128" s="751"/>
      <c r="RZK128" s="751"/>
      <c r="RZL128" s="751"/>
      <c r="RZM128" s="751"/>
      <c r="RZN128" s="751"/>
      <c r="RZO128" s="751"/>
      <c r="RZP128" s="751"/>
      <c r="RZQ128" s="751"/>
      <c r="RZR128" s="751"/>
      <c r="RZS128" s="751"/>
      <c r="RZT128" s="751"/>
      <c r="RZU128" s="751"/>
      <c r="RZV128" s="751"/>
      <c r="RZW128" s="751"/>
      <c r="RZX128" s="751"/>
      <c r="RZY128" s="751"/>
      <c r="RZZ128" s="751"/>
      <c r="SAA128" s="751"/>
      <c r="SAB128" s="751"/>
      <c r="SAC128" s="751"/>
      <c r="SAD128" s="751"/>
      <c r="SAE128" s="751"/>
      <c r="SAF128" s="751"/>
      <c r="SAG128" s="751"/>
      <c r="SAH128" s="751"/>
      <c r="SAI128" s="751"/>
      <c r="SAJ128" s="751"/>
      <c r="SAK128" s="751"/>
      <c r="SAL128" s="751"/>
      <c r="SAM128" s="751"/>
      <c r="SAN128" s="751"/>
      <c r="SAO128" s="751"/>
      <c r="SAP128" s="751"/>
      <c r="SAQ128" s="751"/>
      <c r="SAR128" s="751"/>
      <c r="SAS128" s="751"/>
      <c r="SAT128" s="751"/>
      <c r="SAU128" s="751"/>
      <c r="SAV128" s="751"/>
      <c r="SAW128" s="751"/>
      <c r="SAX128" s="751"/>
      <c r="SAY128" s="751"/>
      <c r="SAZ128" s="751"/>
      <c r="SBA128" s="751"/>
      <c r="SBB128" s="751"/>
      <c r="SBC128" s="751"/>
      <c r="SBD128" s="751"/>
      <c r="SBE128" s="751"/>
      <c r="SBF128" s="751"/>
      <c r="SBG128" s="751"/>
      <c r="SBH128" s="751"/>
      <c r="SBI128" s="751"/>
      <c r="SBJ128" s="751"/>
      <c r="SBK128" s="751"/>
      <c r="SBL128" s="751"/>
      <c r="SBM128" s="751"/>
      <c r="SBN128" s="751"/>
      <c r="SBO128" s="751"/>
      <c r="SBP128" s="751"/>
      <c r="SBQ128" s="751"/>
      <c r="SBR128" s="751"/>
      <c r="SBS128" s="751"/>
      <c r="SBT128" s="751"/>
      <c r="SBU128" s="751"/>
      <c r="SBV128" s="751"/>
      <c r="SBW128" s="751"/>
      <c r="SBX128" s="751"/>
      <c r="SBY128" s="751"/>
      <c r="SBZ128" s="751"/>
      <c r="SCA128" s="751"/>
      <c r="SCB128" s="751"/>
      <c r="SCC128" s="751"/>
      <c r="SCD128" s="751"/>
      <c r="SCE128" s="751"/>
      <c r="SCF128" s="751"/>
      <c r="SCG128" s="751"/>
      <c r="SCH128" s="751"/>
      <c r="SCI128" s="751"/>
      <c r="SCJ128" s="751"/>
      <c r="SCK128" s="751"/>
      <c r="SCL128" s="751"/>
      <c r="SCM128" s="751"/>
      <c r="SCN128" s="751"/>
      <c r="SCO128" s="751"/>
      <c r="SCP128" s="751"/>
      <c r="SCQ128" s="751"/>
      <c r="SCR128" s="751"/>
      <c r="SCS128" s="751"/>
      <c r="SCT128" s="751"/>
      <c r="SCU128" s="751"/>
      <c r="SCV128" s="751"/>
      <c r="SCW128" s="751"/>
      <c r="SCX128" s="751"/>
      <c r="SCY128" s="751"/>
      <c r="SCZ128" s="751"/>
      <c r="SDA128" s="751"/>
      <c r="SDB128" s="751"/>
      <c r="SDC128" s="751"/>
      <c r="SDD128" s="751"/>
      <c r="SDE128" s="751"/>
      <c r="SDF128" s="751"/>
      <c r="SDG128" s="751"/>
      <c r="SDH128" s="751"/>
      <c r="SDI128" s="751"/>
      <c r="SDJ128" s="751"/>
      <c r="SDK128" s="751"/>
      <c r="SDL128" s="751"/>
      <c r="SDM128" s="751"/>
      <c r="SDN128" s="751"/>
      <c r="SDO128" s="751"/>
      <c r="SDP128" s="751"/>
      <c r="SDQ128" s="751"/>
      <c r="SDR128" s="751"/>
      <c r="SDS128" s="751"/>
      <c r="SDT128" s="751"/>
      <c r="SDU128" s="751"/>
      <c r="SDV128" s="751"/>
      <c r="SDW128" s="751"/>
      <c r="SDX128" s="751"/>
      <c r="SDY128" s="751"/>
      <c r="SDZ128" s="751"/>
      <c r="SEA128" s="751"/>
      <c r="SEB128" s="751"/>
      <c r="SEC128" s="751"/>
      <c r="SED128" s="751"/>
      <c r="SEE128" s="751"/>
      <c r="SEF128" s="751"/>
      <c r="SEG128" s="751"/>
      <c r="SEH128" s="751"/>
      <c r="SEI128" s="751"/>
      <c r="SEJ128" s="751"/>
      <c r="SEK128" s="751"/>
      <c r="SEL128" s="751"/>
      <c r="SEM128" s="751"/>
      <c r="SEN128" s="751"/>
      <c r="SEO128" s="751"/>
      <c r="SEP128" s="751"/>
      <c r="SEQ128" s="751"/>
      <c r="SER128" s="751"/>
      <c r="SES128" s="751"/>
      <c r="SET128" s="751"/>
      <c r="SEU128" s="751"/>
      <c r="SEV128" s="751"/>
      <c r="SEW128" s="751"/>
      <c r="SEX128" s="751"/>
      <c r="SEY128" s="751"/>
      <c r="SEZ128" s="751"/>
      <c r="SFA128" s="751"/>
      <c r="SFB128" s="751"/>
      <c r="SFC128" s="751"/>
      <c r="SFD128" s="751"/>
      <c r="SFE128" s="751"/>
      <c r="SFF128" s="751"/>
      <c r="SFG128" s="751"/>
      <c r="SFH128" s="751"/>
      <c r="SFI128" s="751"/>
      <c r="SFJ128" s="751"/>
      <c r="SFK128" s="751"/>
      <c r="SFL128" s="751"/>
      <c r="SFM128" s="751"/>
      <c r="SFN128" s="751"/>
      <c r="SFO128" s="751"/>
      <c r="SFP128" s="751"/>
      <c r="SFQ128" s="751"/>
      <c r="SFR128" s="751"/>
      <c r="SFS128" s="751"/>
      <c r="SFT128" s="751"/>
      <c r="SFU128" s="751"/>
      <c r="SFV128" s="751"/>
      <c r="SFW128" s="751"/>
      <c r="SFX128" s="751"/>
      <c r="SFY128" s="751"/>
      <c r="SFZ128" s="751"/>
      <c r="SGA128" s="751"/>
      <c r="SGB128" s="751"/>
      <c r="SGC128" s="751"/>
      <c r="SGD128" s="751"/>
      <c r="SGE128" s="751"/>
      <c r="SGF128" s="751"/>
      <c r="SGG128" s="751"/>
      <c r="SGH128" s="751"/>
      <c r="SGI128" s="751"/>
      <c r="SGJ128" s="751"/>
      <c r="SGK128" s="751"/>
      <c r="SGL128" s="751"/>
      <c r="SGM128" s="751"/>
      <c r="SGN128" s="751"/>
      <c r="SGO128" s="751"/>
      <c r="SGP128" s="751"/>
      <c r="SGQ128" s="751"/>
      <c r="SGR128" s="751"/>
      <c r="SGS128" s="751"/>
      <c r="SGT128" s="751"/>
      <c r="SGU128" s="751"/>
      <c r="SGV128" s="751"/>
      <c r="SGW128" s="751"/>
      <c r="SGX128" s="751"/>
      <c r="SGY128" s="751"/>
      <c r="SGZ128" s="751"/>
      <c r="SHA128" s="751"/>
      <c r="SHB128" s="751"/>
      <c r="SHC128" s="751"/>
      <c r="SHD128" s="751"/>
      <c r="SHE128" s="751"/>
      <c r="SHF128" s="751"/>
      <c r="SHG128" s="751"/>
      <c r="SHH128" s="751"/>
      <c r="SHI128" s="751"/>
      <c r="SHJ128" s="751"/>
      <c r="SHK128" s="751"/>
      <c r="SHL128" s="751"/>
      <c r="SHM128" s="751"/>
      <c r="SHN128" s="751"/>
      <c r="SHO128" s="751"/>
      <c r="SHP128" s="751"/>
      <c r="SHQ128" s="751"/>
      <c r="SHR128" s="751"/>
      <c r="SHS128" s="751"/>
      <c r="SHT128" s="751"/>
      <c r="SHU128" s="751"/>
      <c r="SHV128" s="751"/>
      <c r="SHW128" s="751"/>
      <c r="SHX128" s="751"/>
      <c r="SHY128" s="751"/>
      <c r="SHZ128" s="751"/>
      <c r="SIA128" s="751"/>
      <c r="SIB128" s="751"/>
      <c r="SIC128" s="751"/>
      <c r="SID128" s="751"/>
      <c r="SIE128" s="751"/>
      <c r="SIF128" s="751"/>
      <c r="SIG128" s="751"/>
      <c r="SIH128" s="751"/>
      <c r="SII128" s="751"/>
      <c r="SIJ128" s="751"/>
      <c r="SIK128" s="751"/>
      <c r="SIL128" s="751"/>
      <c r="SIM128" s="751"/>
      <c r="SIN128" s="751"/>
      <c r="SIO128" s="751"/>
      <c r="SIP128" s="751"/>
      <c r="SIQ128" s="751"/>
      <c r="SIR128" s="751"/>
      <c r="SIS128" s="751"/>
      <c r="SIT128" s="751"/>
      <c r="SIU128" s="751"/>
      <c r="SIV128" s="751"/>
      <c r="SIW128" s="751"/>
      <c r="SIX128" s="751"/>
      <c r="SIY128" s="751"/>
      <c r="SIZ128" s="751"/>
      <c r="SJA128" s="751"/>
      <c r="SJB128" s="751"/>
      <c r="SJC128" s="751"/>
      <c r="SJD128" s="751"/>
      <c r="SJE128" s="751"/>
      <c r="SJF128" s="751"/>
      <c r="SJG128" s="751"/>
      <c r="SJH128" s="751"/>
      <c r="SJI128" s="751"/>
      <c r="SJJ128" s="751"/>
      <c r="SJK128" s="751"/>
      <c r="SJL128" s="751"/>
      <c r="SJM128" s="751"/>
      <c r="SJN128" s="751"/>
      <c r="SJO128" s="751"/>
      <c r="SJP128" s="751"/>
      <c r="SJQ128" s="751"/>
      <c r="SJR128" s="751"/>
      <c r="SJS128" s="751"/>
      <c r="SJT128" s="751"/>
      <c r="SJU128" s="751"/>
      <c r="SJV128" s="751"/>
      <c r="SJW128" s="751"/>
      <c r="SJX128" s="751"/>
      <c r="SJY128" s="751"/>
      <c r="SJZ128" s="751"/>
      <c r="SKA128" s="751"/>
      <c r="SKB128" s="751"/>
      <c r="SKC128" s="751"/>
      <c r="SKD128" s="751"/>
      <c r="SKE128" s="751"/>
      <c r="SKF128" s="751"/>
      <c r="SKG128" s="751"/>
      <c r="SKH128" s="751"/>
      <c r="SKI128" s="751"/>
      <c r="SKJ128" s="751"/>
      <c r="SKK128" s="751"/>
      <c r="SKL128" s="751"/>
      <c r="SKM128" s="751"/>
      <c r="SKN128" s="751"/>
      <c r="SKO128" s="751"/>
      <c r="SKP128" s="751"/>
      <c r="SKQ128" s="751"/>
      <c r="SKR128" s="751"/>
      <c r="SKS128" s="751"/>
      <c r="SKT128" s="751"/>
      <c r="SKU128" s="751"/>
      <c r="SKV128" s="751"/>
      <c r="SKW128" s="751"/>
      <c r="SKX128" s="751"/>
      <c r="SKY128" s="751"/>
      <c r="SKZ128" s="751"/>
      <c r="SLA128" s="751"/>
      <c r="SLB128" s="751"/>
      <c r="SLC128" s="751"/>
      <c r="SLD128" s="751"/>
      <c r="SLE128" s="751"/>
      <c r="SLF128" s="751"/>
      <c r="SLG128" s="751"/>
      <c r="SLH128" s="751"/>
      <c r="SLI128" s="751"/>
      <c r="SLJ128" s="751"/>
      <c r="SLK128" s="751"/>
      <c r="SLL128" s="751"/>
      <c r="SLM128" s="751"/>
      <c r="SLN128" s="751"/>
      <c r="SLO128" s="751"/>
      <c r="SLP128" s="751"/>
      <c r="SLQ128" s="751"/>
      <c r="SLR128" s="751"/>
      <c r="SLS128" s="751"/>
      <c r="SLT128" s="751"/>
      <c r="SLU128" s="751"/>
      <c r="SLV128" s="751"/>
      <c r="SLW128" s="751"/>
      <c r="SLX128" s="751"/>
      <c r="SLY128" s="751"/>
      <c r="SLZ128" s="751"/>
      <c r="SMA128" s="751"/>
      <c r="SMB128" s="751"/>
      <c r="SMC128" s="751"/>
      <c r="SMD128" s="751"/>
      <c r="SME128" s="751"/>
      <c r="SMF128" s="751"/>
      <c r="SMG128" s="751"/>
      <c r="SMH128" s="751"/>
      <c r="SMI128" s="751"/>
      <c r="SMJ128" s="751"/>
      <c r="SMK128" s="751"/>
      <c r="SML128" s="751"/>
      <c r="SMM128" s="751"/>
      <c r="SMN128" s="751"/>
      <c r="SMO128" s="751"/>
      <c r="SMP128" s="751"/>
      <c r="SMQ128" s="751"/>
      <c r="SMR128" s="751"/>
      <c r="SMS128" s="751"/>
      <c r="SMT128" s="751"/>
      <c r="SMU128" s="751"/>
      <c r="SMV128" s="751"/>
      <c r="SMW128" s="751"/>
      <c r="SMX128" s="751"/>
      <c r="SMY128" s="751"/>
      <c r="SMZ128" s="751"/>
      <c r="SNA128" s="751"/>
      <c r="SNB128" s="751"/>
      <c r="SNC128" s="751"/>
      <c r="SND128" s="751"/>
      <c r="SNE128" s="751"/>
      <c r="SNF128" s="751"/>
      <c r="SNG128" s="751"/>
      <c r="SNH128" s="751"/>
      <c r="SNI128" s="751"/>
      <c r="SNJ128" s="751"/>
      <c r="SNK128" s="751"/>
      <c r="SNL128" s="751"/>
      <c r="SNM128" s="751"/>
      <c r="SNN128" s="751"/>
      <c r="SNO128" s="751"/>
      <c r="SNP128" s="751"/>
      <c r="SNQ128" s="751"/>
      <c r="SNR128" s="751"/>
      <c r="SNS128" s="751"/>
      <c r="SNT128" s="751"/>
      <c r="SNU128" s="751"/>
      <c r="SNV128" s="751"/>
      <c r="SNW128" s="751"/>
      <c r="SNX128" s="751"/>
      <c r="SNY128" s="751"/>
      <c r="SNZ128" s="751"/>
      <c r="SOA128" s="751"/>
      <c r="SOB128" s="751"/>
      <c r="SOC128" s="751"/>
      <c r="SOD128" s="751"/>
      <c r="SOE128" s="751"/>
      <c r="SOF128" s="751"/>
      <c r="SOG128" s="751"/>
      <c r="SOH128" s="751"/>
      <c r="SOI128" s="751"/>
      <c r="SOJ128" s="751"/>
      <c r="SOK128" s="751"/>
      <c r="SOL128" s="751"/>
      <c r="SOM128" s="751"/>
      <c r="SON128" s="751"/>
      <c r="SOO128" s="751"/>
      <c r="SOP128" s="751"/>
      <c r="SOQ128" s="751"/>
      <c r="SOR128" s="751"/>
      <c r="SOS128" s="751"/>
      <c r="SOT128" s="751"/>
      <c r="SOU128" s="751"/>
      <c r="SOV128" s="751"/>
      <c r="SOW128" s="751"/>
      <c r="SOX128" s="751"/>
      <c r="SOY128" s="751"/>
      <c r="SOZ128" s="751"/>
      <c r="SPA128" s="751"/>
      <c r="SPB128" s="751"/>
      <c r="SPC128" s="751"/>
      <c r="SPD128" s="751"/>
      <c r="SPE128" s="751"/>
      <c r="SPF128" s="751"/>
      <c r="SPG128" s="751"/>
      <c r="SPH128" s="751"/>
      <c r="SPI128" s="751"/>
      <c r="SPJ128" s="751"/>
      <c r="SPK128" s="751"/>
      <c r="SPL128" s="751"/>
      <c r="SPM128" s="751"/>
      <c r="SPN128" s="751"/>
      <c r="SPO128" s="751"/>
      <c r="SPP128" s="751"/>
      <c r="SPQ128" s="751"/>
      <c r="SPR128" s="751"/>
      <c r="SPS128" s="751"/>
      <c r="SPT128" s="751"/>
      <c r="SPU128" s="751"/>
      <c r="SPV128" s="751"/>
      <c r="SPW128" s="751"/>
      <c r="SPX128" s="751"/>
      <c r="SPY128" s="751"/>
      <c r="SPZ128" s="751"/>
      <c r="SQA128" s="751"/>
      <c r="SQB128" s="751"/>
      <c r="SQC128" s="751"/>
      <c r="SQD128" s="751"/>
      <c r="SQE128" s="751"/>
      <c r="SQF128" s="751"/>
      <c r="SQG128" s="751"/>
      <c r="SQH128" s="751"/>
      <c r="SQI128" s="751"/>
      <c r="SQJ128" s="751"/>
      <c r="SQK128" s="751"/>
      <c r="SQL128" s="751"/>
      <c r="SQM128" s="751"/>
      <c r="SQN128" s="751"/>
      <c r="SQO128" s="751"/>
      <c r="SQP128" s="751"/>
      <c r="SQQ128" s="751"/>
      <c r="SQR128" s="751"/>
      <c r="SQS128" s="751"/>
      <c r="SQT128" s="751"/>
      <c r="SQU128" s="751"/>
      <c r="SQV128" s="751"/>
      <c r="SQW128" s="751"/>
      <c r="SQX128" s="751"/>
      <c r="SQY128" s="751"/>
      <c r="SQZ128" s="751"/>
      <c r="SRA128" s="751"/>
      <c r="SRB128" s="751"/>
      <c r="SRC128" s="751"/>
      <c r="SRD128" s="751"/>
      <c r="SRE128" s="751"/>
      <c r="SRF128" s="751"/>
      <c r="SRG128" s="751"/>
      <c r="SRH128" s="751"/>
      <c r="SRI128" s="751"/>
      <c r="SRJ128" s="751"/>
      <c r="SRK128" s="751"/>
      <c r="SRL128" s="751"/>
      <c r="SRM128" s="751"/>
      <c r="SRN128" s="751"/>
      <c r="SRO128" s="751"/>
      <c r="SRP128" s="751"/>
      <c r="SRQ128" s="751"/>
      <c r="SRR128" s="751"/>
      <c r="SRS128" s="751"/>
      <c r="SRT128" s="751"/>
      <c r="SRU128" s="751"/>
      <c r="SRV128" s="751"/>
      <c r="SRW128" s="751"/>
      <c r="SRX128" s="751"/>
      <c r="SRY128" s="751"/>
      <c r="SRZ128" s="751"/>
      <c r="SSA128" s="751"/>
      <c r="SSB128" s="751"/>
      <c r="SSC128" s="751"/>
      <c r="SSD128" s="751"/>
      <c r="SSE128" s="751"/>
      <c r="SSF128" s="751"/>
      <c r="SSG128" s="751"/>
      <c r="SSH128" s="751"/>
      <c r="SSI128" s="751"/>
      <c r="SSJ128" s="751"/>
      <c r="SSK128" s="751"/>
      <c r="SSL128" s="751"/>
      <c r="SSM128" s="751"/>
      <c r="SSN128" s="751"/>
      <c r="SSO128" s="751"/>
      <c r="SSP128" s="751"/>
      <c r="SSQ128" s="751"/>
      <c r="SSR128" s="751"/>
      <c r="SSS128" s="751"/>
      <c r="SST128" s="751"/>
      <c r="SSU128" s="751"/>
      <c r="SSV128" s="751"/>
      <c r="SSW128" s="751"/>
      <c r="SSX128" s="751"/>
      <c r="SSY128" s="751"/>
      <c r="SSZ128" s="751"/>
      <c r="STA128" s="751"/>
      <c r="STB128" s="751"/>
      <c r="STC128" s="751"/>
      <c r="STD128" s="751"/>
      <c r="STE128" s="751"/>
      <c r="STF128" s="751"/>
      <c r="STG128" s="751"/>
      <c r="STH128" s="751"/>
      <c r="STI128" s="751"/>
      <c r="STJ128" s="751"/>
      <c r="STK128" s="751"/>
      <c r="STL128" s="751"/>
      <c r="STM128" s="751"/>
      <c r="STN128" s="751"/>
      <c r="STO128" s="751"/>
      <c r="STP128" s="751"/>
      <c r="STQ128" s="751"/>
      <c r="STR128" s="751"/>
      <c r="STS128" s="751"/>
      <c r="STT128" s="751"/>
      <c r="STU128" s="751"/>
      <c r="STV128" s="751"/>
      <c r="STW128" s="751"/>
      <c r="STX128" s="751"/>
      <c r="STY128" s="751"/>
      <c r="STZ128" s="751"/>
      <c r="SUA128" s="751"/>
      <c r="SUB128" s="751"/>
      <c r="SUC128" s="751"/>
      <c r="SUD128" s="751"/>
      <c r="SUE128" s="751"/>
      <c r="SUF128" s="751"/>
      <c r="SUG128" s="751"/>
      <c r="SUH128" s="751"/>
      <c r="SUI128" s="751"/>
      <c r="SUJ128" s="751"/>
      <c r="SUK128" s="751"/>
      <c r="SUL128" s="751"/>
      <c r="SUM128" s="751"/>
      <c r="SUN128" s="751"/>
      <c r="SUO128" s="751"/>
      <c r="SUP128" s="751"/>
      <c r="SUQ128" s="751"/>
      <c r="SUR128" s="751"/>
      <c r="SUS128" s="751"/>
      <c r="SUT128" s="751"/>
      <c r="SUU128" s="751"/>
      <c r="SUV128" s="751"/>
      <c r="SUW128" s="751"/>
      <c r="SUX128" s="751"/>
      <c r="SUY128" s="751"/>
      <c r="SUZ128" s="751"/>
      <c r="SVA128" s="751"/>
      <c r="SVB128" s="751"/>
      <c r="SVC128" s="751"/>
      <c r="SVD128" s="751"/>
      <c r="SVE128" s="751"/>
      <c r="SVF128" s="751"/>
      <c r="SVG128" s="751"/>
      <c r="SVH128" s="751"/>
      <c r="SVI128" s="751"/>
      <c r="SVJ128" s="751"/>
      <c r="SVK128" s="751"/>
      <c r="SVL128" s="751"/>
      <c r="SVM128" s="751"/>
      <c r="SVN128" s="751"/>
      <c r="SVO128" s="751"/>
      <c r="SVP128" s="751"/>
      <c r="SVQ128" s="751"/>
      <c r="SVR128" s="751"/>
      <c r="SVS128" s="751"/>
      <c r="SVT128" s="751"/>
      <c r="SVU128" s="751"/>
      <c r="SVV128" s="751"/>
      <c r="SVW128" s="751"/>
      <c r="SVX128" s="751"/>
      <c r="SVY128" s="751"/>
      <c r="SVZ128" s="751"/>
      <c r="SWA128" s="751"/>
      <c r="SWB128" s="751"/>
      <c r="SWC128" s="751"/>
      <c r="SWD128" s="751"/>
      <c r="SWE128" s="751"/>
      <c r="SWF128" s="751"/>
      <c r="SWG128" s="751"/>
      <c r="SWH128" s="751"/>
      <c r="SWI128" s="751"/>
      <c r="SWJ128" s="751"/>
      <c r="SWK128" s="751"/>
      <c r="SWL128" s="751"/>
      <c r="SWM128" s="751"/>
      <c r="SWN128" s="751"/>
      <c r="SWO128" s="751"/>
      <c r="SWP128" s="751"/>
      <c r="SWQ128" s="751"/>
      <c r="SWR128" s="751"/>
      <c r="SWS128" s="751"/>
      <c r="SWT128" s="751"/>
      <c r="SWU128" s="751"/>
      <c r="SWV128" s="751"/>
      <c r="SWW128" s="751"/>
      <c r="SWX128" s="751"/>
      <c r="SWY128" s="751"/>
      <c r="SWZ128" s="751"/>
      <c r="SXA128" s="751"/>
      <c r="SXB128" s="751"/>
      <c r="SXC128" s="751"/>
      <c r="SXD128" s="751"/>
      <c r="SXE128" s="751"/>
      <c r="SXF128" s="751"/>
      <c r="SXG128" s="751"/>
      <c r="SXH128" s="751"/>
      <c r="SXI128" s="751"/>
      <c r="SXJ128" s="751"/>
      <c r="SXK128" s="751"/>
      <c r="SXL128" s="751"/>
      <c r="SXM128" s="751"/>
      <c r="SXN128" s="751"/>
      <c r="SXO128" s="751"/>
      <c r="SXP128" s="751"/>
      <c r="SXQ128" s="751"/>
      <c r="SXR128" s="751"/>
      <c r="SXS128" s="751"/>
      <c r="SXT128" s="751"/>
      <c r="SXU128" s="751"/>
      <c r="SXV128" s="751"/>
      <c r="SXW128" s="751"/>
      <c r="SXX128" s="751"/>
      <c r="SXY128" s="751"/>
      <c r="SXZ128" s="751"/>
      <c r="SYA128" s="751"/>
      <c r="SYB128" s="751"/>
      <c r="SYC128" s="751"/>
      <c r="SYD128" s="751"/>
      <c r="SYE128" s="751"/>
      <c r="SYF128" s="751"/>
      <c r="SYG128" s="751"/>
      <c r="SYH128" s="751"/>
      <c r="SYI128" s="751"/>
      <c r="SYJ128" s="751"/>
      <c r="SYK128" s="751"/>
      <c r="SYL128" s="751"/>
      <c r="SYM128" s="751"/>
      <c r="SYN128" s="751"/>
      <c r="SYO128" s="751"/>
      <c r="SYP128" s="751"/>
      <c r="SYQ128" s="751"/>
      <c r="SYR128" s="751"/>
      <c r="SYS128" s="751"/>
      <c r="SYT128" s="751"/>
      <c r="SYU128" s="751"/>
      <c r="SYV128" s="751"/>
      <c r="SYW128" s="751"/>
      <c r="SYX128" s="751"/>
      <c r="SYY128" s="751"/>
      <c r="SYZ128" s="751"/>
      <c r="SZA128" s="751"/>
      <c r="SZB128" s="751"/>
      <c r="SZC128" s="751"/>
      <c r="SZD128" s="751"/>
      <c r="SZE128" s="751"/>
      <c r="SZF128" s="751"/>
      <c r="SZG128" s="751"/>
      <c r="SZH128" s="751"/>
      <c r="SZI128" s="751"/>
      <c r="SZJ128" s="751"/>
      <c r="SZK128" s="751"/>
      <c r="SZL128" s="751"/>
      <c r="SZM128" s="751"/>
      <c r="SZN128" s="751"/>
      <c r="SZO128" s="751"/>
      <c r="SZP128" s="751"/>
      <c r="SZQ128" s="751"/>
      <c r="SZR128" s="751"/>
      <c r="SZS128" s="751"/>
      <c r="SZT128" s="751"/>
      <c r="SZU128" s="751"/>
      <c r="SZV128" s="751"/>
      <c r="SZW128" s="751"/>
      <c r="SZX128" s="751"/>
      <c r="SZY128" s="751"/>
      <c r="SZZ128" s="751"/>
      <c r="TAA128" s="751"/>
      <c r="TAB128" s="751"/>
      <c r="TAC128" s="751"/>
      <c r="TAD128" s="751"/>
      <c r="TAE128" s="751"/>
      <c r="TAF128" s="751"/>
      <c r="TAG128" s="751"/>
      <c r="TAH128" s="751"/>
      <c r="TAI128" s="751"/>
      <c r="TAJ128" s="751"/>
      <c r="TAK128" s="751"/>
      <c r="TAL128" s="751"/>
      <c r="TAM128" s="751"/>
      <c r="TAN128" s="751"/>
      <c r="TAO128" s="751"/>
      <c r="TAP128" s="751"/>
      <c r="TAQ128" s="751"/>
      <c r="TAR128" s="751"/>
      <c r="TAS128" s="751"/>
      <c r="TAT128" s="751"/>
      <c r="TAU128" s="751"/>
      <c r="TAV128" s="751"/>
      <c r="TAW128" s="751"/>
      <c r="TAX128" s="751"/>
      <c r="TAY128" s="751"/>
      <c r="TAZ128" s="751"/>
      <c r="TBA128" s="751"/>
      <c r="TBB128" s="751"/>
      <c r="TBC128" s="751"/>
      <c r="TBD128" s="751"/>
      <c r="TBE128" s="751"/>
      <c r="TBF128" s="751"/>
      <c r="TBG128" s="751"/>
      <c r="TBH128" s="751"/>
      <c r="TBI128" s="751"/>
      <c r="TBJ128" s="751"/>
      <c r="TBK128" s="751"/>
      <c r="TBL128" s="751"/>
      <c r="TBM128" s="751"/>
      <c r="TBN128" s="751"/>
      <c r="TBO128" s="751"/>
      <c r="TBP128" s="751"/>
      <c r="TBQ128" s="751"/>
      <c r="TBR128" s="751"/>
      <c r="TBS128" s="751"/>
      <c r="TBT128" s="751"/>
      <c r="TBU128" s="751"/>
      <c r="TBV128" s="751"/>
      <c r="TBW128" s="751"/>
      <c r="TBX128" s="751"/>
      <c r="TBY128" s="751"/>
      <c r="TBZ128" s="751"/>
      <c r="TCA128" s="751"/>
      <c r="TCB128" s="751"/>
      <c r="TCC128" s="751"/>
      <c r="TCD128" s="751"/>
      <c r="TCE128" s="751"/>
      <c r="TCF128" s="751"/>
      <c r="TCG128" s="751"/>
      <c r="TCH128" s="751"/>
      <c r="TCI128" s="751"/>
      <c r="TCJ128" s="751"/>
      <c r="TCK128" s="751"/>
      <c r="TCL128" s="751"/>
      <c r="TCM128" s="751"/>
      <c r="TCN128" s="751"/>
      <c r="TCO128" s="751"/>
      <c r="TCP128" s="751"/>
      <c r="TCQ128" s="751"/>
      <c r="TCR128" s="751"/>
      <c r="TCS128" s="751"/>
      <c r="TCT128" s="751"/>
      <c r="TCU128" s="751"/>
      <c r="TCV128" s="751"/>
      <c r="TCW128" s="751"/>
      <c r="TCX128" s="751"/>
      <c r="TCY128" s="751"/>
      <c r="TCZ128" s="751"/>
      <c r="TDA128" s="751"/>
      <c r="TDB128" s="751"/>
      <c r="TDC128" s="751"/>
      <c r="TDD128" s="751"/>
      <c r="TDE128" s="751"/>
      <c r="TDF128" s="751"/>
      <c r="TDG128" s="751"/>
      <c r="TDH128" s="751"/>
      <c r="TDI128" s="751"/>
      <c r="TDJ128" s="751"/>
      <c r="TDK128" s="751"/>
      <c r="TDL128" s="751"/>
      <c r="TDM128" s="751"/>
      <c r="TDN128" s="751"/>
      <c r="TDO128" s="751"/>
      <c r="TDP128" s="751"/>
      <c r="TDQ128" s="751"/>
      <c r="TDR128" s="751"/>
      <c r="TDS128" s="751"/>
      <c r="TDT128" s="751"/>
      <c r="TDU128" s="751"/>
      <c r="TDV128" s="751"/>
      <c r="TDW128" s="751"/>
      <c r="TDX128" s="751"/>
      <c r="TDY128" s="751"/>
      <c r="TDZ128" s="751"/>
      <c r="TEA128" s="751"/>
      <c r="TEB128" s="751"/>
      <c r="TEC128" s="751"/>
      <c r="TED128" s="751"/>
      <c r="TEE128" s="751"/>
      <c r="TEF128" s="751"/>
      <c r="TEG128" s="751"/>
      <c r="TEH128" s="751"/>
      <c r="TEI128" s="751"/>
      <c r="TEJ128" s="751"/>
      <c r="TEK128" s="751"/>
      <c r="TEL128" s="751"/>
      <c r="TEM128" s="751"/>
      <c r="TEN128" s="751"/>
      <c r="TEO128" s="751"/>
      <c r="TEP128" s="751"/>
      <c r="TEQ128" s="751"/>
      <c r="TER128" s="751"/>
      <c r="TES128" s="751"/>
      <c r="TET128" s="751"/>
      <c r="TEU128" s="751"/>
      <c r="TEV128" s="751"/>
      <c r="TEW128" s="751"/>
      <c r="TEX128" s="751"/>
      <c r="TEY128" s="751"/>
      <c r="TEZ128" s="751"/>
      <c r="TFA128" s="751"/>
      <c r="TFB128" s="751"/>
      <c r="TFC128" s="751"/>
      <c r="TFD128" s="751"/>
      <c r="TFE128" s="751"/>
      <c r="TFF128" s="751"/>
      <c r="TFG128" s="751"/>
      <c r="TFH128" s="751"/>
      <c r="TFI128" s="751"/>
      <c r="TFJ128" s="751"/>
      <c r="TFK128" s="751"/>
      <c r="TFL128" s="751"/>
      <c r="TFM128" s="751"/>
      <c r="TFN128" s="751"/>
      <c r="TFO128" s="751"/>
      <c r="TFP128" s="751"/>
      <c r="TFQ128" s="751"/>
      <c r="TFR128" s="751"/>
      <c r="TFS128" s="751"/>
      <c r="TFT128" s="751"/>
      <c r="TFU128" s="751"/>
      <c r="TFV128" s="751"/>
      <c r="TFW128" s="751"/>
      <c r="TFX128" s="751"/>
      <c r="TFY128" s="751"/>
      <c r="TFZ128" s="751"/>
      <c r="TGA128" s="751"/>
      <c r="TGB128" s="751"/>
      <c r="TGC128" s="751"/>
      <c r="TGD128" s="751"/>
      <c r="TGE128" s="751"/>
      <c r="TGF128" s="751"/>
      <c r="TGG128" s="751"/>
      <c r="TGH128" s="751"/>
      <c r="TGI128" s="751"/>
      <c r="TGJ128" s="751"/>
      <c r="TGK128" s="751"/>
      <c r="TGL128" s="751"/>
      <c r="TGM128" s="751"/>
      <c r="TGN128" s="751"/>
      <c r="TGO128" s="751"/>
      <c r="TGP128" s="751"/>
      <c r="TGQ128" s="751"/>
      <c r="TGR128" s="751"/>
      <c r="TGS128" s="751"/>
      <c r="TGT128" s="751"/>
      <c r="TGU128" s="751"/>
      <c r="TGV128" s="751"/>
      <c r="TGW128" s="751"/>
      <c r="TGX128" s="751"/>
      <c r="TGY128" s="751"/>
      <c r="TGZ128" s="751"/>
      <c r="THA128" s="751"/>
      <c r="THB128" s="751"/>
      <c r="THC128" s="751"/>
      <c r="THD128" s="751"/>
      <c r="THE128" s="751"/>
      <c r="THF128" s="751"/>
      <c r="THG128" s="751"/>
      <c r="THH128" s="751"/>
      <c r="THI128" s="751"/>
      <c r="THJ128" s="751"/>
      <c r="THK128" s="751"/>
      <c r="THL128" s="751"/>
      <c r="THM128" s="751"/>
      <c r="THN128" s="751"/>
      <c r="THO128" s="751"/>
      <c r="THP128" s="751"/>
      <c r="THQ128" s="751"/>
      <c r="THR128" s="751"/>
      <c r="THS128" s="751"/>
      <c r="THT128" s="751"/>
      <c r="THU128" s="751"/>
      <c r="THV128" s="751"/>
      <c r="THW128" s="751"/>
      <c r="THX128" s="751"/>
      <c r="THY128" s="751"/>
      <c r="THZ128" s="751"/>
      <c r="TIA128" s="751"/>
      <c r="TIB128" s="751"/>
      <c r="TIC128" s="751"/>
      <c r="TID128" s="751"/>
      <c r="TIE128" s="751"/>
      <c r="TIF128" s="751"/>
      <c r="TIG128" s="751"/>
      <c r="TIH128" s="751"/>
      <c r="TII128" s="751"/>
      <c r="TIJ128" s="751"/>
      <c r="TIK128" s="751"/>
      <c r="TIL128" s="751"/>
      <c r="TIM128" s="751"/>
      <c r="TIN128" s="751"/>
      <c r="TIO128" s="751"/>
      <c r="TIP128" s="751"/>
      <c r="TIQ128" s="751"/>
      <c r="TIR128" s="751"/>
      <c r="TIS128" s="751"/>
      <c r="TIT128" s="751"/>
      <c r="TIU128" s="751"/>
      <c r="TIV128" s="751"/>
      <c r="TIW128" s="751"/>
      <c r="TIX128" s="751"/>
      <c r="TIY128" s="751"/>
      <c r="TIZ128" s="751"/>
      <c r="TJA128" s="751"/>
      <c r="TJB128" s="751"/>
      <c r="TJC128" s="751"/>
      <c r="TJD128" s="751"/>
      <c r="TJE128" s="751"/>
      <c r="TJF128" s="751"/>
      <c r="TJG128" s="751"/>
      <c r="TJH128" s="751"/>
      <c r="TJI128" s="751"/>
      <c r="TJJ128" s="751"/>
      <c r="TJK128" s="751"/>
      <c r="TJL128" s="751"/>
      <c r="TJM128" s="751"/>
      <c r="TJN128" s="751"/>
      <c r="TJO128" s="751"/>
      <c r="TJP128" s="751"/>
      <c r="TJQ128" s="751"/>
      <c r="TJR128" s="751"/>
      <c r="TJS128" s="751"/>
      <c r="TJT128" s="751"/>
      <c r="TJU128" s="751"/>
      <c r="TJV128" s="751"/>
      <c r="TJW128" s="751"/>
      <c r="TJX128" s="751"/>
      <c r="TJY128" s="751"/>
      <c r="TJZ128" s="751"/>
      <c r="TKA128" s="751"/>
      <c r="TKB128" s="751"/>
      <c r="TKC128" s="751"/>
      <c r="TKD128" s="751"/>
      <c r="TKE128" s="751"/>
      <c r="TKF128" s="751"/>
      <c r="TKG128" s="751"/>
      <c r="TKH128" s="751"/>
      <c r="TKI128" s="751"/>
      <c r="TKJ128" s="751"/>
      <c r="TKK128" s="751"/>
      <c r="TKL128" s="751"/>
      <c r="TKM128" s="751"/>
      <c r="TKN128" s="751"/>
      <c r="TKO128" s="751"/>
      <c r="TKP128" s="751"/>
      <c r="TKQ128" s="751"/>
      <c r="TKR128" s="751"/>
      <c r="TKS128" s="751"/>
      <c r="TKT128" s="751"/>
      <c r="TKU128" s="751"/>
      <c r="TKV128" s="751"/>
      <c r="TKW128" s="751"/>
      <c r="TKX128" s="751"/>
      <c r="TKY128" s="751"/>
      <c r="TKZ128" s="751"/>
      <c r="TLA128" s="751"/>
      <c r="TLB128" s="751"/>
      <c r="TLC128" s="751"/>
      <c r="TLD128" s="751"/>
      <c r="TLE128" s="751"/>
      <c r="TLF128" s="751"/>
      <c r="TLG128" s="751"/>
      <c r="TLH128" s="751"/>
      <c r="TLI128" s="751"/>
      <c r="TLJ128" s="751"/>
      <c r="TLK128" s="751"/>
      <c r="TLL128" s="751"/>
      <c r="TLM128" s="751"/>
      <c r="TLN128" s="751"/>
      <c r="TLO128" s="751"/>
      <c r="TLP128" s="751"/>
      <c r="TLQ128" s="751"/>
      <c r="TLR128" s="751"/>
      <c r="TLS128" s="751"/>
      <c r="TLT128" s="751"/>
      <c r="TLU128" s="751"/>
      <c r="TLV128" s="751"/>
      <c r="TLW128" s="751"/>
      <c r="TLX128" s="751"/>
      <c r="TLY128" s="751"/>
      <c r="TLZ128" s="751"/>
      <c r="TMA128" s="751"/>
      <c r="TMB128" s="751"/>
      <c r="TMC128" s="751"/>
      <c r="TMD128" s="751"/>
      <c r="TME128" s="751"/>
      <c r="TMF128" s="751"/>
      <c r="TMG128" s="751"/>
      <c r="TMH128" s="751"/>
      <c r="TMI128" s="751"/>
      <c r="TMJ128" s="751"/>
      <c r="TMK128" s="751"/>
      <c r="TML128" s="751"/>
      <c r="TMM128" s="751"/>
      <c r="TMN128" s="751"/>
      <c r="TMO128" s="751"/>
      <c r="TMP128" s="751"/>
      <c r="TMQ128" s="751"/>
      <c r="TMR128" s="751"/>
      <c r="TMS128" s="751"/>
      <c r="TMT128" s="751"/>
      <c r="TMU128" s="751"/>
      <c r="TMV128" s="751"/>
      <c r="TMW128" s="751"/>
      <c r="TMX128" s="751"/>
      <c r="TMY128" s="751"/>
      <c r="TMZ128" s="751"/>
      <c r="TNA128" s="751"/>
      <c r="TNB128" s="751"/>
      <c r="TNC128" s="751"/>
      <c r="TND128" s="751"/>
      <c r="TNE128" s="751"/>
      <c r="TNF128" s="751"/>
      <c r="TNG128" s="751"/>
      <c r="TNH128" s="751"/>
      <c r="TNI128" s="751"/>
      <c r="TNJ128" s="751"/>
      <c r="TNK128" s="751"/>
      <c r="TNL128" s="751"/>
      <c r="TNM128" s="751"/>
      <c r="TNN128" s="751"/>
      <c r="TNO128" s="751"/>
      <c r="TNP128" s="751"/>
      <c r="TNQ128" s="751"/>
      <c r="TNR128" s="751"/>
      <c r="TNS128" s="751"/>
      <c r="TNT128" s="751"/>
      <c r="TNU128" s="751"/>
      <c r="TNV128" s="751"/>
      <c r="TNW128" s="751"/>
      <c r="TNX128" s="751"/>
      <c r="TNY128" s="751"/>
      <c r="TNZ128" s="751"/>
      <c r="TOA128" s="751"/>
      <c r="TOB128" s="751"/>
      <c r="TOC128" s="751"/>
      <c r="TOD128" s="751"/>
      <c r="TOE128" s="751"/>
      <c r="TOF128" s="751"/>
      <c r="TOG128" s="751"/>
      <c r="TOH128" s="751"/>
      <c r="TOI128" s="751"/>
      <c r="TOJ128" s="751"/>
      <c r="TOK128" s="751"/>
      <c r="TOL128" s="751"/>
      <c r="TOM128" s="751"/>
      <c r="TON128" s="751"/>
      <c r="TOO128" s="751"/>
      <c r="TOP128" s="751"/>
      <c r="TOQ128" s="751"/>
      <c r="TOR128" s="751"/>
      <c r="TOS128" s="751"/>
      <c r="TOT128" s="751"/>
      <c r="TOU128" s="751"/>
      <c r="TOV128" s="751"/>
      <c r="TOW128" s="751"/>
      <c r="TOX128" s="751"/>
      <c r="TOY128" s="751"/>
      <c r="TOZ128" s="751"/>
      <c r="TPA128" s="751"/>
      <c r="TPB128" s="751"/>
      <c r="TPC128" s="751"/>
      <c r="TPD128" s="751"/>
      <c r="TPE128" s="751"/>
      <c r="TPF128" s="751"/>
      <c r="TPG128" s="751"/>
      <c r="TPH128" s="751"/>
      <c r="TPI128" s="751"/>
      <c r="TPJ128" s="751"/>
      <c r="TPK128" s="751"/>
      <c r="TPL128" s="751"/>
      <c r="TPM128" s="751"/>
      <c r="TPN128" s="751"/>
      <c r="TPO128" s="751"/>
      <c r="TPP128" s="751"/>
      <c r="TPQ128" s="751"/>
      <c r="TPR128" s="751"/>
      <c r="TPS128" s="751"/>
      <c r="TPT128" s="751"/>
      <c r="TPU128" s="751"/>
      <c r="TPV128" s="751"/>
      <c r="TPW128" s="751"/>
      <c r="TPX128" s="751"/>
      <c r="TPY128" s="751"/>
      <c r="TPZ128" s="751"/>
      <c r="TQA128" s="751"/>
      <c r="TQB128" s="751"/>
      <c r="TQC128" s="751"/>
      <c r="TQD128" s="751"/>
      <c r="TQE128" s="751"/>
      <c r="TQF128" s="751"/>
      <c r="TQG128" s="751"/>
      <c r="TQH128" s="751"/>
      <c r="TQI128" s="751"/>
      <c r="TQJ128" s="751"/>
      <c r="TQK128" s="751"/>
      <c r="TQL128" s="751"/>
      <c r="TQM128" s="751"/>
      <c r="TQN128" s="751"/>
      <c r="TQO128" s="751"/>
      <c r="TQP128" s="751"/>
      <c r="TQQ128" s="751"/>
      <c r="TQR128" s="751"/>
      <c r="TQS128" s="751"/>
      <c r="TQT128" s="751"/>
      <c r="TQU128" s="751"/>
      <c r="TQV128" s="751"/>
      <c r="TQW128" s="751"/>
      <c r="TQX128" s="751"/>
      <c r="TQY128" s="751"/>
      <c r="TQZ128" s="751"/>
      <c r="TRA128" s="751"/>
      <c r="TRB128" s="751"/>
      <c r="TRC128" s="751"/>
      <c r="TRD128" s="751"/>
      <c r="TRE128" s="751"/>
      <c r="TRF128" s="751"/>
      <c r="TRG128" s="751"/>
      <c r="TRH128" s="751"/>
      <c r="TRI128" s="751"/>
      <c r="TRJ128" s="751"/>
      <c r="TRK128" s="751"/>
      <c r="TRL128" s="751"/>
      <c r="TRM128" s="751"/>
      <c r="TRN128" s="751"/>
      <c r="TRO128" s="751"/>
      <c r="TRP128" s="751"/>
      <c r="TRQ128" s="751"/>
      <c r="TRR128" s="751"/>
      <c r="TRS128" s="751"/>
      <c r="TRT128" s="751"/>
      <c r="TRU128" s="751"/>
      <c r="TRV128" s="751"/>
      <c r="TRW128" s="751"/>
      <c r="TRX128" s="751"/>
      <c r="TRY128" s="751"/>
      <c r="TRZ128" s="751"/>
      <c r="TSA128" s="751"/>
      <c r="TSB128" s="751"/>
      <c r="TSC128" s="751"/>
      <c r="TSD128" s="751"/>
      <c r="TSE128" s="751"/>
      <c r="TSF128" s="751"/>
      <c r="TSG128" s="751"/>
      <c r="TSH128" s="751"/>
      <c r="TSI128" s="751"/>
      <c r="TSJ128" s="751"/>
      <c r="TSK128" s="751"/>
      <c r="TSL128" s="751"/>
      <c r="TSM128" s="751"/>
      <c r="TSN128" s="751"/>
      <c r="TSO128" s="751"/>
      <c r="TSP128" s="751"/>
      <c r="TSQ128" s="751"/>
      <c r="TSR128" s="751"/>
      <c r="TSS128" s="751"/>
      <c r="TST128" s="751"/>
      <c r="TSU128" s="751"/>
      <c r="TSV128" s="751"/>
      <c r="TSW128" s="751"/>
      <c r="TSX128" s="751"/>
      <c r="TSY128" s="751"/>
      <c r="TSZ128" s="751"/>
      <c r="TTA128" s="751"/>
      <c r="TTB128" s="751"/>
      <c r="TTC128" s="751"/>
      <c r="TTD128" s="751"/>
      <c r="TTE128" s="751"/>
      <c r="TTF128" s="751"/>
      <c r="TTG128" s="751"/>
      <c r="TTH128" s="751"/>
      <c r="TTI128" s="751"/>
      <c r="TTJ128" s="751"/>
      <c r="TTK128" s="751"/>
      <c r="TTL128" s="751"/>
      <c r="TTM128" s="751"/>
      <c r="TTN128" s="751"/>
      <c r="TTO128" s="751"/>
      <c r="TTP128" s="751"/>
      <c r="TTQ128" s="751"/>
      <c r="TTR128" s="751"/>
      <c r="TTS128" s="751"/>
      <c r="TTT128" s="751"/>
      <c r="TTU128" s="751"/>
      <c r="TTV128" s="751"/>
      <c r="TTW128" s="751"/>
      <c r="TTX128" s="751"/>
      <c r="TTY128" s="751"/>
      <c r="TTZ128" s="751"/>
      <c r="TUA128" s="751"/>
      <c r="TUB128" s="751"/>
      <c r="TUC128" s="751"/>
      <c r="TUD128" s="751"/>
      <c r="TUE128" s="751"/>
      <c r="TUF128" s="751"/>
      <c r="TUG128" s="751"/>
      <c r="TUH128" s="751"/>
      <c r="TUI128" s="751"/>
      <c r="TUJ128" s="751"/>
      <c r="TUK128" s="751"/>
      <c r="TUL128" s="751"/>
      <c r="TUM128" s="751"/>
      <c r="TUN128" s="751"/>
      <c r="TUO128" s="751"/>
      <c r="TUP128" s="751"/>
      <c r="TUQ128" s="751"/>
      <c r="TUR128" s="751"/>
      <c r="TUS128" s="751"/>
      <c r="TUT128" s="751"/>
      <c r="TUU128" s="751"/>
      <c r="TUV128" s="751"/>
      <c r="TUW128" s="751"/>
      <c r="TUX128" s="751"/>
      <c r="TUY128" s="751"/>
      <c r="TUZ128" s="751"/>
      <c r="TVA128" s="751"/>
      <c r="TVB128" s="751"/>
      <c r="TVC128" s="751"/>
      <c r="TVD128" s="751"/>
      <c r="TVE128" s="751"/>
      <c r="TVF128" s="751"/>
      <c r="TVG128" s="751"/>
      <c r="TVH128" s="751"/>
      <c r="TVI128" s="751"/>
      <c r="TVJ128" s="751"/>
      <c r="TVK128" s="751"/>
      <c r="TVL128" s="751"/>
      <c r="TVM128" s="751"/>
      <c r="TVN128" s="751"/>
      <c r="TVO128" s="751"/>
      <c r="TVP128" s="751"/>
      <c r="TVQ128" s="751"/>
      <c r="TVR128" s="751"/>
      <c r="TVS128" s="751"/>
      <c r="TVT128" s="751"/>
      <c r="TVU128" s="751"/>
      <c r="TVV128" s="751"/>
      <c r="TVW128" s="751"/>
      <c r="TVX128" s="751"/>
      <c r="TVY128" s="751"/>
      <c r="TVZ128" s="751"/>
      <c r="TWA128" s="751"/>
      <c r="TWB128" s="751"/>
      <c r="TWC128" s="751"/>
      <c r="TWD128" s="751"/>
      <c r="TWE128" s="751"/>
      <c r="TWF128" s="751"/>
      <c r="TWG128" s="751"/>
      <c r="TWH128" s="751"/>
      <c r="TWI128" s="751"/>
      <c r="TWJ128" s="751"/>
      <c r="TWK128" s="751"/>
      <c r="TWL128" s="751"/>
      <c r="TWM128" s="751"/>
      <c r="TWN128" s="751"/>
      <c r="TWO128" s="751"/>
      <c r="TWP128" s="751"/>
      <c r="TWQ128" s="751"/>
      <c r="TWR128" s="751"/>
      <c r="TWS128" s="751"/>
      <c r="TWT128" s="751"/>
      <c r="TWU128" s="751"/>
      <c r="TWV128" s="751"/>
      <c r="TWW128" s="751"/>
      <c r="TWX128" s="751"/>
      <c r="TWY128" s="751"/>
      <c r="TWZ128" s="751"/>
      <c r="TXA128" s="751"/>
      <c r="TXB128" s="751"/>
      <c r="TXC128" s="751"/>
      <c r="TXD128" s="751"/>
      <c r="TXE128" s="751"/>
      <c r="TXF128" s="751"/>
      <c r="TXG128" s="751"/>
      <c r="TXH128" s="751"/>
      <c r="TXI128" s="751"/>
      <c r="TXJ128" s="751"/>
      <c r="TXK128" s="751"/>
      <c r="TXL128" s="751"/>
      <c r="TXM128" s="751"/>
      <c r="TXN128" s="751"/>
      <c r="TXO128" s="751"/>
      <c r="TXP128" s="751"/>
      <c r="TXQ128" s="751"/>
      <c r="TXR128" s="751"/>
      <c r="TXS128" s="751"/>
      <c r="TXT128" s="751"/>
      <c r="TXU128" s="751"/>
      <c r="TXV128" s="751"/>
      <c r="TXW128" s="751"/>
      <c r="TXX128" s="751"/>
      <c r="TXY128" s="751"/>
      <c r="TXZ128" s="751"/>
      <c r="TYA128" s="751"/>
      <c r="TYB128" s="751"/>
      <c r="TYC128" s="751"/>
      <c r="TYD128" s="751"/>
      <c r="TYE128" s="751"/>
      <c r="TYF128" s="751"/>
      <c r="TYG128" s="751"/>
      <c r="TYH128" s="751"/>
      <c r="TYI128" s="751"/>
      <c r="TYJ128" s="751"/>
      <c r="TYK128" s="751"/>
      <c r="TYL128" s="751"/>
      <c r="TYM128" s="751"/>
      <c r="TYN128" s="751"/>
      <c r="TYO128" s="751"/>
      <c r="TYP128" s="751"/>
      <c r="TYQ128" s="751"/>
      <c r="TYR128" s="751"/>
      <c r="TYS128" s="751"/>
      <c r="TYT128" s="751"/>
      <c r="TYU128" s="751"/>
      <c r="TYV128" s="751"/>
      <c r="TYW128" s="751"/>
      <c r="TYX128" s="751"/>
      <c r="TYY128" s="751"/>
      <c r="TYZ128" s="751"/>
      <c r="TZA128" s="751"/>
      <c r="TZB128" s="751"/>
      <c r="TZC128" s="751"/>
      <c r="TZD128" s="751"/>
      <c r="TZE128" s="751"/>
      <c r="TZF128" s="751"/>
      <c r="TZG128" s="751"/>
      <c r="TZH128" s="751"/>
      <c r="TZI128" s="751"/>
      <c r="TZJ128" s="751"/>
      <c r="TZK128" s="751"/>
      <c r="TZL128" s="751"/>
      <c r="TZM128" s="751"/>
      <c r="TZN128" s="751"/>
      <c r="TZO128" s="751"/>
      <c r="TZP128" s="751"/>
      <c r="TZQ128" s="751"/>
      <c r="TZR128" s="751"/>
      <c r="TZS128" s="751"/>
      <c r="TZT128" s="751"/>
      <c r="TZU128" s="751"/>
      <c r="TZV128" s="751"/>
      <c r="TZW128" s="751"/>
      <c r="TZX128" s="751"/>
      <c r="TZY128" s="751"/>
      <c r="TZZ128" s="751"/>
      <c r="UAA128" s="751"/>
      <c r="UAB128" s="751"/>
      <c r="UAC128" s="751"/>
      <c r="UAD128" s="751"/>
      <c r="UAE128" s="751"/>
      <c r="UAF128" s="751"/>
      <c r="UAG128" s="751"/>
      <c r="UAH128" s="751"/>
      <c r="UAI128" s="751"/>
      <c r="UAJ128" s="751"/>
      <c r="UAK128" s="751"/>
      <c r="UAL128" s="751"/>
      <c r="UAM128" s="751"/>
      <c r="UAN128" s="751"/>
      <c r="UAO128" s="751"/>
      <c r="UAP128" s="751"/>
      <c r="UAQ128" s="751"/>
      <c r="UAR128" s="751"/>
      <c r="UAS128" s="751"/>
      <c r="UAT128" s="751"/>
      <c r="UAU128" s="751"/>
      <c r="UAV128" s="751"/>
      <c r="UAW128" s="751"/>
      <c r="UAX128" s="751"/>
      <c r="UAY128" s="751"/>
      <c r="UAZ128" s="751"/>
      <c r="UBA128" s="751"/>
      <c r="UBB128" s="751"/>
      <c r="UBC128" s="751"/>
      <c r="UBD128" s="751"/>
      <c r="UBE128" s="751"/>
      <c r="UBF128" s="751"/>
      <c r="UBG128" s="751"/>
      <c r="UBH128" s="751"/>
      <c r="UBI128" s="751"/>
      <c r="UBJ128" s="751"/>
      <c r="UBK128" s="751"/>
      <c r="UBL128" s="751"/>
      <c r="UBM128" s="751"/>
      <c r="UBN128" s="751"/>
      <c r="UBO128" s="751"/>
      <c r="UBP128" s="751"/>
      <c r="UBQ128" s="751"/>
      <c r="UBR128" s="751"/>
      <c r="UBS128" s="751"/>
      <c r="UBT128" s="751"/>
      <c r="UBU128" s="751"/>
      <c r="UBV128" s="751"/>
      <c r="UBW128" s="751"/>
      <c r="UBX128" s="751"/>
      <c r="UBY128" s="751"/>
      <c r="UBZ128" s="751"/>
      <c r="UCA128" s="751"/>
      <c r="UCB128" s="751"/>
      <c r="UCC128" s="751"/>
      <c r="UCD128" s="751"/>
      <c r="UCE128" s="751"/>
      <c r="UCF128" s="751"/>
      <c r="UCG128" s="751"/>
      <c r="UCH128" s="751"/>
      <c r="UCI128" s="751"/>
      <c r="UCJ128" s="751"/>
      <c r="UCK128" s="751"/>
      <c r="UCL128" s="751"/>
      <c r="UCM128" s="751"/>
      <c r="UCN128" s="751"/>
      <c r="UCO128" s="751"/>
      <c r="UCP128" s="751"/>
      <c r="UCQ128" s="751"/>
      <c r="UCR128" s="751"/>
      <c r="UCS128" s="751"/>
      <c r="UCT128" s="751"/>
      <c r="UCU128" s="751"/>
      <c r="UCV128" s="751"/>
      <c r="UCW128" s="751"/>
      <c r="UCX128" s="751"/>
      <c r="UCY128" s="751"/>
      <c r="UCZ128" s="751"/>
      <c r="UDA128" s="751"/>
      <c r="UDB128" s="751"/>
      <c r="UDC128" s="751"/>
      <c r="UDD128" s="751"/>
      <c r="UDE128" s="751"/>
      <c r="UDF128" s="751"/>
      <c r="UDG128" s="751"/>
      <c r="UDH128" s="751"/>
      <c r="UDI128" s="751"/>
      <c r="UDJ128" s="751"/>
      <c r="UDK128" s="751"/>
      <c r="UDL128" s="751"/>
      <c r="UDM128" s="751"/>
      <c r="UDN128" s="751"/>
      <c r="UDO128" s="751"/>
      <c r="UDP128" s="751"/>
      <c r="UDQ128" s="751"/>
      <c r="UDR128" s="751"/>
      <c r="UDS128" s="751"/>
      <c r="UDT128" s="751"/>
      <c r="UDU128" s="751"/>
      <c r="UDV128" s="751"/>
      <c r="UDW128" s="751"/>
      <c r="UDX128" s="751"/>
      <c r="UDY128" s="751"/>
      <c r="UDZ128" s="751"/>
      <c r="UEA128" s="751"/>
      <c r="UEB128" s="751"/>
      <c r="UEC128" s="751"/>
      <c r="UED128" s="751"/>
      <c r="UEE128" s="751"/>
      <c r="UEF128" s="751"/>
      <c r="UEG128" s="751"/>
      <c r="UEH128" s="751"/>
      <c r="UEI128" s="751"/>
      <c r="UEJ128" s="751"/>
      <c r="UEK128" s="751"/>
      <c r="UEL128" s="751"/>
      <c r="UEM128" s="751"/>
      <c r="UEN128" s="751"/>
      <c r="UEO128" s="751"/>
      <c r="UEP128" s="751"/>
      <c r="UEQ128" s="751"/>
      <c r="UER128" s="751"/>
      <c r="UES128" s="751"/>
      <c r="UET128" s="751"/>
      <c r="UEU128" s="751"/>
      <c r="UEV128" s="751"/>
      <c r="UEW128" s="751"/>
      <c r="UEX128" s="751"/>
      <c r="UEY128" s="751"/>
      <c r="UEZ128" s="751"/>
      <c r="UFA128" s="751"/>
      <c r="UFB128" s="751"/>
      <c r="UFC128" s="751"/>
      <c r="UFD128" s="751"/>
      <c r="UFE128" s="751"/>
      <c r="UFF128" s="751"/>
      <c r="UFG128" s="751"/>
      <c r="UFH128" s="751"/>
      <c r="UFI128" s="751"/>
      <c r="UFJ128" s="751"/>
      <c r="UFK128" s="751"/>
      <c r="UFL128" s="751"/>
      <c r="UFM128" s="751"/>
      <c r="UFN128" s="751"/>
      <c r="UFO128" s="751"/>
      <c r="UFP128" s="751"/>
      <c r="UFQ128" s="751"/>
      <c r="UFR128" s="751"/>
      <c r="UFS128" s="751"/>
      <c r="UFT128" s="751"/>
      <c r="UFU128" s="751"/>
      <c r="UFV128" s="751"/>
      <c r="UFW128" s="751"/>
      <c r="UFX128" s="751"/>
      <c r="UFY128" s="751"/>
      <c r="UFZ128" s="751"/>
      <c r="UGA128" s="751"/>
      <c r="UGB128" s="751"/>
      <c r="UGC128" s="751"/>
      <c r="UGD128" s="751"/>
      <c r="UGE128" s="751"/>
      <c r="UGF128" s="751"/>
      <c r="UGG128" s="751"/>
      <c r="UGH128" s="751"/>
      <c r="UGI128" s="751"/>
      <c r="UGJ128" s="751"/>
      <c r="UGK128" s="751"/>
      <c r="UGL128" s="751"/>
      <c r="UGM128" s="751"/>
      <c r="UGN128" s="751"/>
      <c r="UGO128" s="751"/>
      <c r="UGP128" s="751"/>
      <c r="UGQ128" s="751"/>
      <c r="UGR128" s="751"/>
      <c r="UGS128" s="751"/>
      <c r="UGT128" s="751"/>
      <c r="UGU128" s="751"/>
      <c r="UGV128" s="751"/>
      <c r="UGW128" s="751"/>
      <c r="UGX128" s="751"/>
      <c r="UGY128" s="751"/>
      <c r="UGZ128" s="751"/>
      <c r="UHA128" s="751"/>
      <c r="UHB128" s="751"/>
      <c r="UHC128" s="751"/>
      <c r="UHD128" s="751"/>
      <c r="UHE128" s="751"/>
      <c r="UHF128" s="751"/>
      <c r="UHG128" s="751"/>
      <c r="UHH128" s="751"/>
      <c r="UHI128" s="751"/>
      <c r="UHJ128" s="751"/>
      <c r="UHK128" s="751"/>
      <c r="UHL128" s="751"/>
      <c r="UHM128" s="751"/>
      <c r="UHN128" s="751"/>
      <c r="UHO128" s="751"/>
      <c r="UHP128" s="751"/>
      <c r="UHQ128" s="751"/>
      <c r="UHR128" s="751"/>
      <c r="UHS128" s="751"/>
      <c r="UHT128" s="751"/>
      <c r="UHU128" s="751"/>
      <c r="UHV128" s="751"/>
      <c r="UHW128" s="751"/>
      <c r="UHX128" s="751"/>
      <c r="UHY128" s="751"/>
      <c r="UHZ128" s="751"/>
      <c r="UIA128" s="751"/>
      <c r="UIB128" s="751"/>
      <c r="UIC128" s="751"/>
      <c r="UID128" s="751"/>
      <c r="UIE128" s="751"/>
      <c r="UIF128" s="751"/>
      <c r="UIG128" s="751"/>
      <c r="UIH128" s="751"/>
      <c r="UII128" s="751"/>
      <c r="UIJ128" s="751"/>
      <c r="UIK128" s="751"/>
      <c r="UIL128" s="751"/>
      <c r="UIM128" s="751"/>
      <c r="UIN128" s="751"/>
      <c r="UIO128" s="751"/>
      <c r="UIP128" s="751"/>
      <c r="UIQ128" s="751"/>
      <c r="UIR128" s="751"/>
      <c r="UIS128" s="751"/>
      <c r="UIT128" s="751"/>
      <c r="UIU128" s="751"/>
      <c r="UIV128" s="751"/>
      <c r="UIW128" s="751"/>
      <c r="UIX128" s="751"/>
      <c r="UIY128" s="751"/>
      <c r="UIZ128" s="751"/>
      <c r="UJA128" s="751"/>
      <c r="UJB128" s="751"/>
      <c r="UJC128" s="751"/>
      <c r="UJD128" s="751"/>
      <c r="UJE128" s="751"/>
      <c r="UJF128" s="751"/>
      <c r="UJG128" s="751"/>
      <c r="UJH128" s="751"/>
      <c r="UJI128" s="751"/>
      <c r="UJJ128" s="751"/>
      <c r="UJK128" s="751"/>
      <c r="UJL128" s="751"/>
      <c r="UJM128" s="751"/>
      <c r="UJN128" s="751"/>
      <c r="UJO128" s="751"/>
      <c r="UJP128" s="751"/>
      <c r="UJQ128" s="751"/>
      <c r="UJR128" s="751"/>
      <c r="UJS128" s="751"/>
      <c r="UJT128" s="751"/>
      <c r="UJU128" s="751"/>
      <c r="UJV128" s="751"/>
      <c r="UJW128" s="751"/>
      <c r="UJX128" s="751"/>
      <c r="UJY128" s="751"/>
      <c r="UJZ128" s="751"/>
      <c r="UKA128" s="751"/>
      <c r="UKB128" s="751"/>
      <c r="UKC128" s="751"/>
      <c r="UKD128" s="751"/>
      <c r="UKE128" s="751"/>
      <c r="UKF128" s="751"/>
      <c r="UKG128" s="751"/>
      <c r="UKH128" s="751"/>
      <c r="UKI128" s="751"/>
      <c r="UKJ128" s="751"/>
      <c r="UKK128" s="751"/>
      <c r="UKL128" s="751"/>
      <c r="UKM128" s="751"/>
      <c r="UKN128" s="751"/>
      <c r="UKO128" s="751"/>
      <c r="UKP128" s="751"/>
      <c r="UKQ128" s="751"/>
      <c r="UKR128" s="751"/>
      <c r="UKS128" s="751"/>
      <c r="UKT128" s="751"/>
      <c r="UKU128" s="751"/>
      <c r="UKV128" s="751"/>
      <c r="UKW128" s="751"/>
      <c r="UKX128" s="751"/>
      <c r="UKY128" s="751"/>
      <c r="UKZ128" s="751"/>
      <c r="ULA128" s="751"/>
      <c r="ULB128" s="751"/>
      <c r="ULC128" s="751"/>
      <c r="ULD128" s="751"/>
      <c r="ULE128" s="751"/>
      <c r="ULF128" s="751"/>
      <c r="ULG128" s="751"/>
      <c r="ULH128" s="751"/>
      <c r="ULI128" s="751"/>
      <c r="ULJ128" s="751"/>
      <c r="ULK128" s="751"/>
      <c r="ULL128" s="751"/>
      <c r="ULM128" s="751"/>
      <c r="ULN128" s="751"/>
      <c r="ULO128" s="751"/>
      <c r="ULP128" s="751"/>
      <c r="ULQ128" s="751"/>
      <c r="ULR128" s="751"/>
      <c r="ULS128" s="751"/>
      <c r="ULT128" s="751"/>
      <c r="ULU128" s="751"/>
      <c r="ULV128" s="751"/>
      <c r="ULW128" s="751"/>
      <c r="ULX128" s="751"/>
      <c r="ULY128" s="751"/>
      <c r="ULZ128" s="751"/>
      <c r="UMA128" s="751"/>
      <c r="UMB128" s="751"/>
      <c r="UMC128" s="751"/>
      <c r="UMD128" s="751"/>
      <c r="UME128" s="751"/>
      <c r="UMF128" s="751"/>
      <c r="UMG128" s="751"/>
      <c r="UMH128" s="751"/>
      <c r="UMI128" s="751"/>
      <c r="UMJ128" s="751"/>
      <c r="UMK128" s="751"/>
      <c r="UML128" s="751"/>
      <c r="UMM128" s="751"/>
      <c r="UMN128" s="751"/>
      <c r="UMO128" s="751"/>
      <c r="UMP128" s="751"/>
      <c r="UMQ128" s="751"/>
      <c r="UMR128" s="751"/>
      <c r="UMS128" s="751"/>
      <c r="UMT128" s="751"/>
      <c r="UMU128" s="751"/>
      <c r="UMV128" s="751"/>
      <c r="UMW128" s="751"/>
      <c r="UMX128" s="751"/>
      <c r="UMY128" s="751"/>
      <c r="UMZ128" s="751"/>
      <c r="UNA128" s="751"/>
      <c r="UNB128" s="751"/>
      <c r="UNC128" s="751"/>
      <c r="UND128" s="751"/>
      <c r="UNE128" s="751"/>
      <c r="UNF128" s="751"/>
      <c r="UNG128" s="751"/>
      <c r="UNH128" s="751"/>
      <c r="UNI128" s="751"/>
      <c r="UNJ128" s="751"/>
      <c r="UNK128" s="751"/>
      <c r="UNL128" s="751"/>
      <c r="UNM128" s="751"/>
      <c r="UNN128" s="751"/>
      <c r="UNO128" s="751"/>
      <c r="UNP128" s="751"/>
      <c r="UNQ128" s="751"/>
      <c r="UNR128" s="751"/>
      <c r="UNS128" s="751"/>
      <c r="UNT128" s="751"/>
      <c r="UNU128" s="751"/>
      <c r="UNV128" s="751"/>
      <c r="UNW128" s="751"/>
      <c r="UNX128" s="751"/>
      <c r="UNY128" s="751"/>
      <c r="UNZ128" s="751"/>
      <c r="UOA128" s="751"/>
      <c r="UOB128" s="751"/>
      <c r="UOC128" s="751"/>
      <c r="UOD128" s="751"/>
      <c r="UOE128" s="751"/>
      <c r="UOF128" s="751"/>
      <c r="UOG128" s="751"/>
      <c r="UOH128" s="751"/>
      <c r="UOI128" s="751"/>
      <c r="UOJ128" s="751"/>
      <c r="UOK128" s="751"/>
      <c r="UOL128" s="751"/>
      <c r="UOM128" s="751"/>
      <c r="UON128" s="751"/>
      <c r="UOO128" s="751"/>
      <c r="UOP128" s="751"/>
      <c r="UOQ128" s="751"/>
      <c r="UOR128" s="751"/>
      <c r="UOS128" s="751"/>
      <c r="UOT128" s="751"/>
      <c r="UOU128" s="751"/>
      <c r="UOV128" s="751"/>
      <c r="UOW128" s="751"/>
      <c r="UOX128" s="751"/>
      <c r="UOY128" s="751"/>
      <c r="UOZ128" s="751"/>
      <c r="UPA128" s="751"/>
      <c r="UPB128" s="751"/>
      <c r="UPC128" s="751"/>
      <c r="UPD128" s="751"/>
      <c r="UPE128" s="751"/>
      <c r="UPF128" s="751"/>
      <c r="UPG128" s="751"/>
      <c r="UPH128" s="751"/>
      <c r="UPI128" s="751"/>
      <c r="UPJ128" s="751"/>
      <c r="UPK128" s="751"/>
      <c r="UPL128" s="751"/>
      <c r="UPM128" s="751"/>
      <c r="UPN128" s="751"/>
      <c r="UPO128" s="751"/>
      <c r="UPP128" s="751"/>
      <c r="UPQ128" s="751"/>
      <c r="UPR128" s="751"/>
      <c r="UPS128" s="751"/>
      <c r="UPT128" s="751"/>
      <c r="UPU128" s="751"/>
      <c r="UPV128" s="751"/>
      <c r="UPW128" s="751"/>
      <c r="UPX128" s="751"/>
      <c r="UPY128" s="751"/>
      <c r="UPZ128" s="751"/>
      <c r="UQA128" s="751"/>
      <c r="UQB128" s="751"/>
      <c r="UQC128" s="751"/>
      <c r="UQD128" s="751"/>
      <c r="UQE128" s="751"/>
      <c r="UQF128" s="751"/>
      <c r="UQG128" s="751"/>
      <c r="UQH128" s="751"/>
      <c r="UQI128" s="751"/>
      <c r="UQJ128" s="751"/>
      <c r="UQK128" s="751"/>
      <c r="UQL128" s="751"/>
      <c r="UQM128" s="751"/>
      <c r="UQN128" s="751"/>
      <c r="UQO128" s="751"/>
      <c r="UQP128" s="751"/>
      <c r="UQQ128" s="751"/>
      <c r="UQR128" s="751"/>
      <c r="UQS128" s="751"/>
      <c r="UQT128" s="751"/>
      <c r="UQU128" s="751"/>
      <c r="UQV128" s="751"/>
      <c r="UQW128" s="751"/>
      <c r="UQX128" s="751"/>
      <c r="UQY128" s="751"/>
      <c r="UQZ128" s="751"/>
      <c r="URA128" s="751"/>
      <c r="URB128" s="751"/>
      <c r="URC128" s="751"/>
      <c r="URD128" s="751"/>
      <c r="URE128" s="751"/>
      <c r="URF128" s="751"/>
      <c r="URG128" s="751"/>
      <c r="URH128" s="751"/>
      <c r="URI128" s="751"/>
      <c r="URJ128" s="751"/>
      <c r="URK128" s="751"/>
      <c r="URL128" s="751"/>
      <c r="URM128" s="751"/>
      <c r="URN128" s="751"/>
      <c r="URO128" s="751"/>
      <c r="URP128" s="751"/>
      <c r="URQ128" s="751"/>
      <c r="URR128" s="751"/>
      <c r="URS128" s="751"/>
      <c r="URT128" s="751"/>
      <c r="URU128" s="751"/>
      <c r="URV128" s="751"/>
      <c r="URW128" s="751"/>
      <c r="URX128" s="751"/>
      <c r="URY128" s="751"/>
      <c r="URZ128" s="751"/>
      <c r="USA128" s="751"/>
      <c r="USB128" s="751"/>
      <c r="USC128" s="751"/>
      <c r="USD128" s="751"/>
      <c r="USE128" s="751"/>
      <c r="USF128" s="751"/>
      <c r="USG128" s="751"/>
      <c r="USH128" s="751"/>
      <c r="USI128" s="751"/>
      <c r="USJ128" s="751"/>
      <c r="USK128" s="751"/>
      <c r="USL128" s="751"/>
      <c r="USM128" s="751"/>
      <c r="USN128" s="751"/>
      <c r="USO128" s="751"/>
      <c r="USP128" s="751"/>
      <c r="USQ128" s="751"/>
      <c r="USR128" s="751"/>
      <c r="USS128" s="751"/>
      <c r="UST128" s="751"/>
      <c r="USU128" s="751"/>
      <c r="USV128" s="751"/>
      <c r="USW128" s="751"/>
      <c r="USX128" s="751"/>
      <c r="USY128" s="751"/>
      <c r="USZ128" s="751"/>
      <c r="UTA128" s="751"/>
      <c r="UTB128" s="751"/>
      <c r="UTC128" s="751"/>
      <c r="UTD128" s="751"/>
      <c r="UTE128" s="751"/>
      <c r="UTF128" s="751"/>
      <c r="UTG128" s="751"/>
      <c r="UTH128" s="751"/>
      <c r="UTI128" s="751"/>
      <c r="UTJ128" s="751"/>
      <c r="UTK128" s="751"/>
      <c r="UTL128" s="751"/>
      <c r="UTM128" s="751"/>
      <c r="UTN128" s="751"/>
      <c r="UTO128" s="751"/>
      <c r="UTP128" s="751"/>
      <c r="UTQ128" s="751"/>
      <c r="UTR128" s="751"/>
      <c r="UTS128" s="751"/>
      <c r="UTT128" s="751"/>
      <c r="UTU128" s="751"/>
      <c r="UTV128" s="751"/>
      <c r="UTW128" s="751"/>
      <c r="UTX128" s="751"/>
      <c r="UTY128" s="751"/>
      <c r="UTZ128" s="751"/>
      <c r="UUA128" s="751"/>
      <c r="UUB128" s="751"/>
      <c r="UUC128" s="751"/>
      <c r="UUD128" s="751"/>
      <c r="UUE128" s="751"/>
      <c r="UUF128" s="751"/>
      <c r="UUG128" s="751"/>
      <c r="UUH128" s="751"/>
      <c r="UUI128" s="751"/>
      <c r="UUJ128" s="751"/>
      <c r="UUK128" s="751"/>
      <c r="UUL128" s="751"/>
      <c r="UUM128" s="751"/>
      <c r="UUN128" s="751"/>
      <c r="UUO128" s="751"/>
      <c r="UUP128" s="751"/>
      <c r="UUQ128" s="751"/>
      <c r="UUR128" s="751"/>
      <c r="UUS128" s="751"/>
      <c r="UUT128" s="751"/>
      <c r="UUU128" s="751"/>
      <c r="UUV128" s="751"/>
      <c r="UUW128" s="751"/>
      <c r="UUX128" s="751"/>
      <c r="UUY128" s="751"/>
      <c r="UUZ128" s="751"/>
      <c r="UVA128" s="751"/>
      <c r="UVB128" s="751"/>
      <c r="UVC128" s="751"/>
      <c r="UVD128" s="751"/>
      <c r="UVE128" s="751"/>
      <c r="UVF128" s="751"/>
      <c r="UVG128" s="751"/>
      <c r="UVH128" s="751"/>
      <c r="UVI128" s="751"/>
      <c r="UVJ128" s="751"/>
      <c r="UVK128" s="751"/>
      <c r="UVL128" s="751"/>
      <c r="UVM128" s="751"/>
      <c r="UVN128" s="751"/>
      <c r="UVO128" s="751"/>
      <c r="UVP128" s="751"/>
      <c r="UVQ128" s="751"/>
      <c r="UVR128" s="751"/>
      <c r="UVS128" s="751"/>
      <c r="UVT128" s="751"/>
      <c r="UVU128" s="751"/>
      <c r="UVV128" s="751"/>
      <c r="UVW128" s="751"/>
      <c r="UVX128" s="751"/>
      <c r="UVY128" s="751"/>
      <c r="UVZ128" s="751"/>
      <c r="UWA128" s="751"/>
      <c r="UWB128" s="751"/>
      <c r="UWC128" s="751"/>
      <c r="UWD128" s="751"/>
      <c r="UWE128" s="751"/>
      <c r="UWF128" s="751"/>
      <c r="UWG128" s="751"/>
      <c r="UWH128" s="751"/>
      <c r="UWI128" s="751"/>
      <c r="UWJ128" s="751"/>
      <c r="UWK128" s="751"/>
      <c r="UWL128" s="751"/>
      <c r="UWM128" s="751"/>
      <c r="UWN128" s="751"/>
      <c r="UWO128" s="751"/>
      <c r="UWP128" s="751"/>
      <c r="UWQ128" s="751"/>
      <c r="UWR128" s="751"/>
      <c r="UWS128" s="751"/>
      <c r="UWT128" s="751"/>
      <c r="UWU128" s="751"/>
      <c r="UWV128" s="751"/>
      <c r="UWW128" s="751"/>
      <c r="UWX128" s="751"/>
      <c r="UWY128" s="751"/>
      <c r="UWZ128" s="751"/>
      <c r="UXA128" s="751"/>
      <c r="UXB128" s="751"/>
      <c r="UXC128" s="751"/>
      <c r="UXD128" s="751"/>
      <c r="UXE128" s="751"/>
      <c r="UXF128" s="751"/>
      <c r="UXG128" s="751"/>
      <c r="UXH128" s="751"/>
      <c r="UXI128" s="751"/>
      <c r="UXJ128" s="751"/>
      <c r="UXK128" s="751"/>
      <c r="UXL128" s="751"/>
      <c r="UXM128" s="751"/>
      <c r="UXN128" s="751"/>
      <c r="UXO128" s="751"/>
      <c r="UXP128" s="751"/>
      <c r="UXQ128" s="751"/>
      <c r="UXR128" s="751"/>
      <c r="UXS128" s="751"/>
      <c r="UXT128" s="751"/>
      <c r="UXU128" s="751"/>
      <c r="UXV128" s="751"/>
      <c r="UXW128" s="751"/>
      <c r="UXX128" s="751"/>
      <c r="UXY128" s="751"/>
      <c r="UXZ128" s="751"/>
      <c r="UYA128" s="751"/>
      <c r="UYB128" s="751"/>
      <c r="UYC128" s="751"/>
      <c r="UYD128" s="751"/>
      <c r="UYE128" s="751"/>
      <c r="UYF128" s="751"/>
      <c r="UYG128" s="751"/>
      <c r="UYH128" s="751"/>
      <c r="UYI128" s="751"/>
      <c r="UYJ128" s="751"/>
      <c r="UYK128" s="751"/>
      <c r="UYL128" s="751"/>
      <c r="UYM128" s="751"/>
      <c r="UYN128" s="751"/>
      <c r="UYO128" s="751"/>
      <c r="UYP128" s="751"/>
      <c r="UYQ128" s="751"/>
      <c r="UYR128" s="751"/>
      <c r="UYS128" s="751"/>
      <c r="UYT128" s="751"/>
      <c r="UYU128" s="751"/>
      <c r="UYV128" s="751"/>
      <c r="UYW128" s="751"/>
      <c r="UYX128" s="751"/>
      <c r="UYY128" s="751"/>
      <c r="UYZ128" s="751"/>
      <c r="UZA128" s="751"/>
      <c r="UZB128" s="751"/>
      <c r="UZC128" s="751"/>
      <c r="UZD128" s="751"/>
      <c r="UZE128" s="751"/>
      <c r="UZF128" s="751"/>
      <c r="UZG128" s="751"/>
      <c r="UZH128" s="751"/>
      <c r="UZI128" s="751"/>
      <c r="UZJ128" s="751"/>
      <c r="UZK128" s="751"/>
      <c r="UZL128" s="751"/>
      <c r="UZM128" s="751"/>
      <c r="UZN128" s="751"/>
      <c r="UZO128" s="751"/>
      <c r="UZP128" s="751"/>
      <c r="UZQ128" s="751"/>
      <c r="UZR128" s="751"/>
      <c r="UZS128" s="751"/>
      <c r="UZT128" s="751"/>
      <c r="UZU128" s="751"/>
      <c r="UZV128" s="751"/>
      <c r="UZW128" s="751"/>
      <c r="UZX128" s="751"/>
      <c r="UZY128" s="751"/>
      <c r="UZZ128" s="751"/>
      <c r="VAA128" s="751"/>
      <c r="VAB128" s="751"/>
      <c r="VAC128" s="751"/>
      <c r="VAD128" s="751"/>
      <c r="VAE128" s="751"/>
      <c r="VAF128" s="751"/>
      <c r="VAG128" s="751"/>
      <c r="VAH128" s="751"/>
      <c r="VAI128" s="751"/>
      <c r="VAJ128" s="751"/>
      <c r="VAK128" s="751"/>
      <c r="VAL128" s="751"/>
      <c r="VAM128" s="751"/>
      <c r="VAN128" s="751"/>
      <c r="VAO128" s="751"/>
      <c r="VAP128" s="751"/>
      <c r="VAQ128" s="751"/>
      <c r="VAR128" s="751"/>
      <c r="VAS128" s="751"/>
      <c r="VAT128" s="751"/>
      <c r="VAU128" s="751"/>
      <c r="VAV128" s="751"/>
      <c r="VAW128" s="751"/>
      <c r="VAX128" s="751"/>
      <c r="VAY128" s="751"/>
      <c r="VAZ128" s="751"/>
      <c r="VBA128" s="751"/>
      <c r="VBB128" s="751"/>
      <c r="VBC128" s="751"/>
      <c r="VBD128" s="751"/>
      <c r="VBE128" s="751"/>
      <c r="VBF128" s="751"/>
      <c r="VBG128" s="751"/>
      <c r="VBH128" s="751"/>
      <c r="VBI128" s="751"/>
      <c r="VBJ128" s="751"/>
      <c r="VBK128" s="751"/>
      <c r="VBL128" s="751"/>
      <c r="VBM128" s="751"/>
      <c r="VBN128" s="751"/>
      <c r="VBO128" s="751"/>
      <c r="VBP128" s="751"/>
      <c r="VBQ128" s="751"/>
      <c r="VBR128" s="751"/>
      <c r="VBS128" s="751"/>
      <c r="VBT128" s="751"/>
      <c r="VBU128" s="751"/>
      <c r="VBV128" s="751"/>
      <c r="VBW128" s="751"/>
      <c r="VBX128" s="751"/>
      <c r="VBY128" s="751"/>
      <c r="VBZ128" s="751"/>
      <c r="VCA128" s="751"/>
      <c r="VCB128" s="751"/>
      <c r="VCC128" s="751"/>
      <c r="VCD128" s="751"/>
      <c r="VCE128" s="751"/>
      <c r="VCF128" s="751"/>
      <c r="VCG128" s="751"/>
      <c r="VCH128" s="751"/>
      <c r="VCI128" s="751"/>
      <c r="VCJ128" s="751"/>
      <c r="VCK128" s="751"/>
      <c r="VCL128" s="751"/>
      <c r="VCM128" s="751"/>
      <c r="VCN128" s="751"/>
      <c r="VCO128" s="751"/>
      <c r="VCP128" s="751"/>
      <c r="VCQ128" s="751"/>
      <c r="VCR128" s="751"/>
      <c r="VCS128" s="751"/>
      <c r="VCT128" s="751"/>
      <c r="VCU128" s="751"/>
      <c r="VCV128" s="751"/>
      <c r="VCW128" s="751"/>
      <c r="VCX128" s="751"/>
      <c r="VCY128" s="751"/>
      <c r="VCZ128" s="751"/>
      <c r="VDA128" s="751"/>
      <c r="VDB128" s="751"/>
      <c r="VDC128" s="751"/>
      <c r="VDD128" s="751"/>
      <c r="VDE128" s="751"/>
      <c r="VDF128" s="751"/>
      <c r="VDG128" s="751"/>
      <c r="VDH128" s="751"/>
      <c r="VDI128" s="751"/>
      <c r="VDJ128" s="751"/>
      <c r="VDK128" s="751"/>
      <c r="VDL128" s="751"/>
      <c r="VDM128" s="751"/>
      <c r="VDN128" s="751"/>
      <c r="VDO128" s="751"/>
      <c r="VDP128" s="751"/>
      <c r="VDQ128" s="751"/>
      <c r="VDR128" s="751"/>
      <c r="VDS128" s="751"/>
      <c r="VDT128" s="751"/>
      <c r="VDU128" s="751"/>
      <c r="VDV128" s="751"/>
      <c r="VDW128" s="751"/>
      <c r="VDX128" s="751"/>
      <c r="VDY128" s="751"/>
      <c r="VDZ128" s="751"/>
      <c r="VEA128" s="751"/>
      <c r="VEB128" s="751"/>
      <c r="VEC128" s="751"/>
      <c r="VED128" s="751"/>
      <c r="VEE128" s="751"/>
      <c r="VEF128" s="751"/>
      <c r="VEG128" s="751"/>
      <c r="VEH128" s="751"/>
      <c r="VEI128" s="751"/>
      <c r="VEJ128" s="751"/>
      <c r="VEK128" s="751"/>
      <c r="VEL128" s="751"/>
      <c r="VEM128" s="751"/>
      <c r="VEN128" s="751"/>
      <c r="VEO128" s="751"/>
      <c r="VEP128" s="751"/>
      <c r="VEQ128" s="751"/>
      <c r="VER128" s="751"/>
      <c r="VES128" s="751"/>
      <c r="VET128" s="751"/>
      <c r="VEU128" s="751"/>
      <c r="VEV128" s="751"/>
      <c r="VEW128" s="751"/>
      <c r="VEX128" s="751"/>
      <c r="VEY128" s="751"/>
      <c r="VEZ128" s="751"/>
      <c r="VFA128" s="751"/>
      <c r="VFB128" s="751"/>
      <c r="VFC128" s="751"/>
      <c r="VFD128" s="751"/>
      <c r="VFE128" s="751"/>
      <c r="VFF128" s="751"/>
      <c r="VFG128" s="751"/>
      <c r="VFH128" s="751"/>
      <c r="VFI128" s="751"/>
      <c r="VFJ128" s="751"/>
      <c r="VFK128" s="751"/>
      <c r="VFL128" s="751"/>
      <c r="VFM128" s="751"/>
      <c r="VFN128" s="751"/>
      <c r="VFO128" s="751"/>
      <c r="VFP128" s="751"/>
      <c r="VFQ128" s="751"/>
      <c r="VFR128" s="751"/>
      <c r="VFS128" s="751"/>
      <c r="VFT128" s="751"/>
      <c r="VFU128" s="751"/>
      <c r="VFV128" s="751"/>
      <c r="VFW128" s="751"/>
      <c r="VFX128" s="751"/>
      <c r="VFY128" s="751"/>
      <c r="VFZ128" s="751"/>
      <c r="VGA128" s="751"/>
      <c r="VGB128" s="751"/>
      <c r="VGC128" s="751"/>
      <c r="VGD128" s="751"/>
      <c r="VGE128" s="751"/>
      <c r="VGF128" s="751"/>
      <c r="VGG128" s="751"/>
      <c r="VGH128" s="751"/>
      <c r="VGI128" s="751"/>
      <c r="VGJ128" s="751"/>
      <c r="VGK128" s="751"/>
      <c r="VGL128" s="751"/>
      <c r="VGM128" s="751"/>
      <c r="VGN128" s="751"/>
      <c r="VGO128" s="751"/>
      <c r="VGP128" s="751"/>
      <c r="VGQ128" s="751"/>
      <c r="VGR128" s="751"/>
      <c r="VGS128" s="751"/>
      <c r="VGT128" s="751"/>
      <c r="VGU128" s="751"/>
      <c r="VGV128" s="751"/>
      <c r="VGW128" s="751"/>
      <c r="VGX128" s="751"/>
      <c r="VGY128" s="751"/>
      <c r="VGZ128" s="751"/>
      <c r="VHA128" s="751"/>
      <c r="VHB128" s="751"/>
      <c r="VHC128" s="751"/>
      <c r="VHD128" s="751"/>
      <c r="VHE128" s="751"/>
      <c r="VHF128" s="751"/>
      <c r="VHG128" s="751"/>
      <c r="VHH128" s="751"/>
      <c r="VHI128" s="751"/>
      <c r="VHJ128" s="751"/>
      <c r="VHK128" s="751"/>
      <c r="VHL128" s="751"/>
      <c r="VHM128" s="751"/>
      <c r="VHN128" s="751"/>
      <c r="VHO128" s="751"/>
      <c r="VHP128" s="751"/>
      <c r="VHQ128" s="751"/>
      <c r="VHR128" s="751"/>
      <c r="VHS128" s="751"/>
      <c r="VHT128" s="751"/>
      <c r="VHU128" s="751"/>
      <c r="VHV128" s="751"/>
      <c r="VHW128" s="751"/>
      <c r="VHX128" s="751"/>
      <c r="VHY128" s="751"/>
      <c r="VHZ128" s="751"/>
      <c r="VIA128" s="751"/>
      <c r="VIB128" s="751"/>
      <c r="VIC128" s="751"/>
      <c r="VID128" s="751"/>
      <c r="VIE128" s="751"/>
      <c r="VIF128" s="751"/>
      <c r="VIG128" s="751"/>
      <c r="VIH128" s="751"/>
      <c r="VII128" s="751"/>
      <c r="VIJ128" s="751"/>
      <c r="VIK128" s="751"/>
      <c r="VIL128" s="751"/>
      <c r="VIM128" s="751"/>
      <c r="VIN128" s="751"/>
      <c r="VIO128" s="751"/>
      <c r="VIP128" s="751"/>
      <c r="VIQ128" s="751"/>
      <c r="VIR128" s="751"/>
      <c r="VIS128" s="751"/>
      <c r="VIT128" s="751"/>
      <c r="VIU128" s="751"/>
      <c r="VIV128" s="751"/>
      <c r="VIW128" s="751"/>
      <c r="VIX128" s="751"/>
      <c r="VIY128" s="751"/>
      <c r="VIZ128" s="751"/>
      <c r="VJA128" s="751"/>
      <c r="VJB128" s="751"/>
      <c r="VJC128" s="751"/>
      <c r="VJD128" s="751"/>
      <c r="VJE128" s="751"/>
      <c r="VJF128" s="751"/>
      <c r="VJG128" s="751"/>
      <c r="VJH128" s="751"/>
      <c r="VJI128" s="751"/>
      <c r="VJJ128" s="751"/>
      <c r="VJK128" s="751"/>
      <c r="VJL128" s="751"/>
      <c r="VJM128" s="751"/>
      <c r="VJN128" s="751"/>
      <c r="VJO128" s="751"/>
      <c r="VJP128" s="751"/>
      <c r="VJQ128" s="751"/>
      <c r="VJR128" s="751"/>
      <c r="VJS128" s="751"/>
      <c r="VJT128" s="751"/>
      <c r="VJU128" s="751"/>
      <c r="VJV128" s="751"/>
      <c r="VJW128" s="751"/>
      <c r="VJX128" s="751"/>
      <c r="VJY128" s="751"/>
      <c r="VJZ128" s="751"/>
      <c r="VKA128" s="751"/>
      <c r="VKB128" s="751"/>
      <c r="VKC128" s="751"/>
      <c r="VKD128" s="751"/>
      <c r="VKE128" s="751"/>
      <c r="VKF128" s="751"/>
      <c r="VKG128" s="751"/>
      <c r="VKH128" s="751"/>
      <c r="VKI128" s="751"/>
      <c r="VKJ128" s="751"/>
      <c r="VKK128" s="751"/>
      <c r="VKL128" s="751"/>
      <c r="VKM128" s="751"/>
      <c r="VKN128" s="751"/>
      <c r="VKO128" s="751"/>
      <c r="VKP128" s="751"/>
      <c r="VKQ128" s="751"/>
      <c r="VKR128" s="751"/>
      <c r="VKS128" s="751"/>
      <c r="VKT128" s="751"/>
      <c r="VKU128" s="751"/>
      <c r="VKV128" s="751"/>
      <c r="VKW128" s="751"/>
      <c r="VKX128" s="751"/>
      <c r="VKY128" s="751"/>
      <c r="VKZ128" s="751"/>
      <c r="VLA128" s="751"/>
      <c r="VLB128" s="751"/>
      <c r="VLC128" s="751"/>
      <c r="VLD128" s="751"/>
      <c r="VLE128" s="751"/>
      <c r="VLF128" s="751"/>
      <c r="VLG128" s="751"/>
      <c r="VLH128" s="751"/>
      <c r="VLI128" s="751"/>
      <c r="VLJ128" s="751"/>
      <c r="VLK128" s="751"/>
      <c r="VLL128" s="751"/>
      <c r="VLM128" s="751"/>
      <c r="VLN128" s="751"/>
      <c r="VLO128" s="751"/>
      <c r="VLP128" s="751"/>
      <c r="VLQ128" s="751"/>
      <c r="VLR128" s="751"/>
      <c r="VLS128" s="751"/>
      <c r="VLT128" s="751"/>
      <c r="VLU128" s="751"/>
      <c r="VLV128" s="751"/>
      <c r="VLW128" s="751"/>
      <c r="VLX128" s="751"/>
      <c r="VLY128" s="751"/>
      <c r="VLZ128" s="751"/>
      <c r="VMA128" s="751"/>
      <c r="VMB128" s="751"/>
      <c r="VMC128" s="751"/>
      <c r="VMD128" s="751"/>
      <c r="VME128" s="751"/>
      <c r="VMF128" s="751"/>
      <c r="VMG128" s="751"/>
      <c r="VMH128" s="751"/>
      <c r="VMI128" s="751"/>
      <c r="VMJ128" s="751"/>
      <c r="VMK128" s="751"/>
      <c r="VML128" s="751"/>
      <c r="VMM128" s="751"/>
      <c r="VMN128" s="751"/>
      <c r="VMO128" s="751"/>
      <c r="VMP128" s="751"/>
      <c r="VMQ128" s="751"/>
      <c r="VMR128" s="751"/>
      <c r="VMS128" s="751"/>
      <c r="VMT128" s="751"/>
      <c r="VMU128" s="751"/>
      <c r="VMV128" s="751"/>
      <c r="VMW128" s="751"/>
      <c r="VMX128" s="751"/>
      <c r="VMY128" s="751"/>
      <c r="VMZ128" s="751"/>
      <c r="VNA128" s="751"/>
      <c r="VNB128" s="751"/>
      <c r="VNC128" s="751"/>
      <c r="VND128" s="751"/>
      <c r="VNE128" s="751"/>
      <c r="VNF128" s="751"/>
      <c r="VNG128" s="751"/>
      <c r="VNH128" s="751"/>
      <c r="VNI128" s="751"/>
      <c r="VNJ128" s="751"/>
      <c r="VNK128" s="751"/>
      <c r="VNL128" s="751"/>
      <c r="VNM128" s="751"/>
      <c r="VNN128" s="751"/>
      <c r="VNO128" s="751"/>
      <c r="VNP128" s="751"/>
      <c r="VNQ128" s="751"/>
      <c r="VNR128" s="751"/>
      <c r="VNS128" s="751"/>
      <c r="VNT128" s="751"/>
      <c r="VNU128" s="751"/>
      <c r="VNV128" s="751"/>
      <c r="VNW128" s="751"/>
      <c r="VNX128" s="751"/>
      <c r="VNY128" s="751"/>
      <c r="VNZ128" s="751"/>
      <c r="VOA128" s="751"/>
      <c r="VOB128" s="751"/>
      <c r="VOC128" s="751"/>
      <c r="VOD128" s="751"/>
      <c r="VOE128" s="751"/>
      <c r="VOF128" s="751"/>
      <c r="VOG128" s="751"/>
      <c r="VOH128" s="751"/>
      <c r="VOI128" s="751"/>
      <c r="VOJ128" s="751"/>
      <c r="VOK128" s="751"/>
      <c r="VOL128" s="751"/>
      <c r="VOM128" s="751"/>
      <c r="VON128" s="751"/>
      <c r="VOO128" s="751"/>
      <c r="VOP128" s="751"/>
      <c r="VOQ128" s="751"/>
      <c r="VOR128" s="751"/>
      <c r="VOS128" s="751"/>
      <c r="VOT128" s="751"/>
      <c r="VOU128" s="751"/>
      <c r="VOV128" s="751"/>
      <c r="VOW128" s="751"/>
      <c r="VOX128" s="751"/>
      <c r="VOY128" s="751"/>
      <c r="VOZ128" s="751"/>
      <c r="VPA128" s="751"/>
      <c r="VPB128" s="751"/>
      <c r="VPC128" s="751"/>
      <c r="VPD128" s="751"/>
      <c r="VPE128" s="751"/>
      <c r="VPF128" s="751"/>
      <c r="VPG128" s="751"/>
      <c r="VPH128" s="751"/>
      <c r="VPI128" s="751"/>
      <c r="VPJ128" s="751"/>
      <c r="VPK128" s="751"/>
      <c r="VPL128" s="751"/>
      <c r="VPM128" s="751"/>
      <c r="VPN128" s="751"/>
      <c r="VPO128" s="751"/>
      <c r="VPP128" s="751"/>
      <c r="VPQ128" s="751"/>
      <c r="VPR128" s="751"/>
      <c r="VPS128" s="751"/>
      <c r="VPT128" s="751"/>
      <c r="VPU128" s="751"/>
      <c r="VPV128" s="751"/>
      <c r="VPW128" s="751"/>
      <c r="VPX128" s="751"/>
      <c r="VPY128" s="751"/>
      <c r="VPZ128" s="751"/>
      <c r="VQA128" s="751"/>
      <c r="VQB128" s="751"/>
      <c r="VQC128" s="751"/>
      <c r="VQD128" s="751"/>
      <c r="VQE128" s="751"/>
      <c r="VQF128" s="751"/>
      <c r="VQG128" s="751"/>
      <c r="VQH128" s="751"/>
      <c r="VQI128" s="751"/>
      <c r="VQJ128" s="751"/>
      <c r="VQK128" s="751"/>
      <c r="VQL128" s="751"/>
      <c r="VQM128" s="751"/>
      <c r="VQN128" s="751"/>
      <c r="VQO128" s="751"/>
      <c r="VQP128" s="751"/>
      <c r="VQQ128" s="751"/>
      <c r="VQR128" s="751"/>
      <c r="VQS128" s="751"/>
      <c r="VQT128" s="751"/>
      <c r="VQU128" s="751"/>
      <c r="VQV128" s="751"/>
      <c r="VQW128" s="751"/>
      <c r="VQX128" s="751"/>
      <c r="VQY128" s="751"/>
      <c r="VQZ128" s="751"/>
      <c r="VRA128" s="751"/>
      <c r="VRB128" s="751"/>
      <c r="VRC128" s="751"/>
      <c r="VRD128" s="751"/>
      <c r="VRE128" s="751"/>
      <c r="VRF128" s="751"/>
      <c r="VRG128" s="751"/>
      <c r="VRH128" s="751"/>
      <c r="VRI128" s="751"/>
      <c r="VRJ128" s="751"/>
      <c r="VRK128" s="751"/>
      <c r="VRL128" s="751"/>
      <c r="VRM128" s="751"/>
      <c r="VRN128" s="751"/>
      <c r="VRO128" s="751"/>
      <c r="VRP128" s="751"/>
      <c r="VRQ128" s="751"/>
      <c r="VRR128" s="751"/>
      <c r="VRS128" s="751"/>
      <c r="VRT128" s="751"/>
      <c r="VRU128" s="751"/>
      <c r="VRV128" s="751"/>
      <c r="VRW128" s="751"/>
      <c r="VRX128" s="751"/>
      <c r="VRY128" s="751"/>
      <c r="VRZ128" s="751"/>
      <c r="VSA128" s="751"/>
      <c r="VSB128" s="751"/>
      <c r="VSC128" s="751"/>
      <c r="VSD128" s="751"/>
      <c r="VSE128" s="751"/>
      <c r="VSF128" s="751"/>
      <c r="VSG128" s="751"/>
      <c r="VSH128" s="751"/>
      <c r="VSI128" s="751"/>
      <c r="VSJ128" s="751"/>
      <c r="VSK128" s="751"/>
      <c r="VSL128" s="751"/>
      <c r="VSM128" s="751"/>
      <c r="VSN128" s="751"/>
      <c r="VSO128" s="751"/>
      <c r="VSP128" s="751"/>
      <c r="VSQ128" s="751"/>
      <c r="VSR128" s="751"/>
      <c r="VSS128" s="751"/>
      <c r="VST128" s="751"/>
      <c r="VSU128" s="751"/>
      <c r="VSV128" s="751"/>
      <c r="VSW128" s="751"/>
      <c r="VSX128" s="751"/>
      <c r="VSY128" s="751"/>
      <c r="VSZ128" s="751"/>
      <c r="VTA128" s="751"/>
      <c r="VTB128" s="751"/>
      <c r="VTC128" s="751"/>
      <c r="VTD128" s="751"/>
      <c r="VTE128" s="751"/>
      <c r="VTF128" s="751"/>
      <c r="VTG128" s="751"/>
      <c r="VTH128" s="751"/>
      <c r="VTI128" s="751"/>
      <c r="VTJ128" s="751"/>
      <c r="VTK128" s="751"/>
      <c r="VTL128" s="751"/>
      <c r="VTM128" s="751"/>
      <c r="VTN128" s="751"/>
      <c r="VTO128" s="751"/>
      <c r="VTP128" s="751"/>
      <c r="VTQ128" s="751"/>
      <c r="VTR128" s="751"/>
      <c r="VTS128" s="751"/>
      <c r="VTT128" s="751"/>
      <c r="VTU128" s="751"/>
      <c r="VTV128" s="751"/>
      <c r="VTW128" s="751"/>
      <c r="VTX128" s="751"/>
      <c r="VTY128" s="751"/>
      <c r="VTZ128" s="751"/>
      <c r="VUA128" s="751"/>
      <c r="VUB128" s="751"/>
      <c r="VUC128" s="751"/>
      <c r="VUD128" s="751"/>
      <c r="VUE128" s="751"/>
      <c r="VUF128" s="751"/>
      <c r="VUG128" s="751"/>
      <c r="VUH128" s="751"/>
      <c r="VUI128" s="751"/>
      <c r="VUJ128" s="751"/>
      <c r="VUK128" s="751"/>
      <c r="VUL128" s="751"/>
      <c r="VUM128" s="751"/>
      <c r="VUN128" s="751"/>
      <c r="VUO128" s="751"/>
      <c r="VUP128" s="751"/>
      <c r="VUQ128" s="751"/>
      <c r="VUR128" s="751"/>
      <c r="VUS128" s="751"/>
      <c r="VUT128" s="751"/>
      <c r="VUU128" s="751"/>
      <c r="VUV128" s="751"/>
      <c r="VUW128" s="751"/>
      <c r="VUX128" s="751"/>
      <c r="VUY128" s="751"/>
      <c r="VUZ128" s="751"/>
      <c r="VVA128" s="751"/>
      <c r="VVB128" s="751"/>
      <c r="VVC128" s="751"/>
      <c r="VVD128" s="751"/>
      <c r="VVE128" s="751"/>
      <c r="VVF128" s="751"/>
      <c r="VVG128" s="751"/>
      <c r="VVH128" s="751"/>
      <c r="VVI128" s="751"/>
      <c r="VVJ128" s="751"/>
      <c r="VVK128" s="751"/>
      <c r="VVL128" s="751"/>
      <c r="VVM128" s="751"/>
      <c r="VVN128" s="751"/>
      <c r="VVO128" s="751"/>
      <c r="VVP128" s="751"/>
      <c r="VVQ128" s="751"/>
      <c r="VVR128" s="751"/>
      <c r="VVS128" s="751"/>
      <c r="VVT128" s="751"/>
      <c r="VVU128" s="751"/>
      <c r="VVV128" s="751"/>
      <c r="VVW128" s="751"/>
      <c r="VVX128" s="751"/>
      <c r="VVY128" s="751"/>
      <c r="VVZ128" s="751"/>
      <c r="VWA128" s="751"/>
      <c r="VWB128" s="751"/>
      <c r="VWC128" s="751"/>
      <c r="VWD128" s="751"/>
      <c r="VWE128" s="751"/>
      <c r="VWF128" s="751"/>
      <c r="VWG128" s="751"/>
      <c r="VWH128" s="751"/>
      <c r="VWI128" s="751"/>
      <c r="VWJ128" s="751"/>
      <c r="VWK128" s="751"/>
      <c r="VWL128" s="751"/>
      <c r="VWM128" s="751"/>
      <c r="VWN128" s="751"/>
      <c r="VWO128" s="751"/>
      <c r="VWP128" s="751"/>
      <c r="VWQ128" s="751"/>
      <c r="VWR128" s="751"/>
      <c r="VWS128" s="751"/>
      <c r="VWT128" s="751"/>
      <c r="VWU128" s="751"/>
      <c r="VWV128" s="751"/>
      <c r="VWW128" s="751"/>
      <c r="VWX128" s="751"/>
      <c r="VWY128" s="751"/>
      <c r="VWZ128" s="751"/>
      <c r="VXA128" s="751"/>
      <c r="VXB128" s="751"/>
      <c r="VXC128" s="751"/>
      <c r="VXD128" s="751"/>
      <c r="VXE128" s="751"/>
      <c r="VXF128" s="751"/>
      <c r="VXG128" s="751"/>
      <c r="VXH128" s="751"/>
      <c r="VXI128" s="751"/>
      <c r="VXJ128" s="751"/>
      <c r="VXK128" s="751"/>
      <c r="VXL128" s="751"/>
      <c r="VXM128" s="751"/>
      <c r="VXN128" s="751"/>
      <c r="VXO128" s="751"/>
      <c r="VXP128" s="751"/>
      <c r="VXQ128" s="751"/>
      <c r="VXR128" s="751"/>
      <c r="VXS128" s="751"/>
      <c r="VXT128" s="751"/>
      <c r="VXU128" s="751"/>
      <c r="VXV128" s="751"/>
      <c r="VXW128" s="751"/>
      <c r="VXX128" s="751"/>
      <c r="VXY128" s="751"/>
      <c r="VXZ128" s="751"/>
      <c r="VYA128" s="751"/>
      <c r="VYB128" s="751"/>
      <c r="VYC128" s="751"/>
      <c r="VYD128" s="751"/>
      <c r="VYE128" s="751"/>
      <c r="VYF128" s="751"/>
      <c r="VYG128" s="751"/>
      <c r="VYH128" s="751"/>
      <c r="VYI128" s="751"/>
      <c r="VYJ128" s="751"/>
      <c r="VYK128" s="751"/>
      <c r="VYL128" s="751"/>
      <c r="VYM128" s="751"/>
      <c r="VYN128" s="751"/>
      <c r="VYO128" s="751"/>
      <c r="VYP128" s="751"/>
      <c r="VYQ128" s="751"/>
      <c r="VYR128" s="751"/>
      <c r="VYS128" s="751"/>
      <c r="VYT128" s="751"/>
      <c r="VYU128" s="751"/>
      <c r="VYV128" s="751"/>
      <c r="VYW128" s="751"/>
      <c r="VYX128" s="751"/>
      <c r="VYY128" s="751"/>
      <c r="VYZ128" s="751"/>
      <c r="VZA128" s="751"/>
      <c r="VZB128" s="751"/>
      <c r="VZC128" s="751"/>
      <c r="VZD128" s="751"/>
      <c r="VZE128" s="751"/>
      <c r="VZF128" s="751"/>
      <c r="VZG128" s="751"/>
      <c r="VZH128" s="751"/>
      <c r="VZI128" s="751"/>
      <c r="VZJ128" s="751"/>
      <c r="VZK128" s="751"/>
      <c r="VZL128" s="751"/>
      <c r="VZM128" s="751"/>
      <c r="VZN128" s="751"/>
      <c r="VZO128" s="751"/>
      <c r="VZP128" s="751"/>
      <c r="VZQ128" s="751"/>
      <c r="VZR128" s="751"/>
      <c r="VZS128" s="751"/>
      <c r="VZT128" s="751"/>
      <c r="VZU128" s="751"/>
      <c r="VZV128" s="751"/>
      <c r="VZW128" s="751"/>
      <c r="VZX128" s="751"/>
      <c r="VZY128" s="751"/>
      <c r="VZZ128" s="751"/>
      <c r="WAA128" s="751"/>
      <c r="WAB128" s="751"/>
      <c r="WAC128" s="751"/>
      <c r="WAD128" s="751"/>
      <c r="WAE128" s="751"/>
      <c r="WAF128" s="751"/>
      <c r="WAG128" s="751"/>
      <c r="WAH128" s="751"/>
      <c r="WAI128" s="751"/>
      <c r="WAJ128" s="751"/>
      <c r="WAK128" s="751"/>
      <c r="WAL128" s="751"/>
      <c r="WAM128" s="751"/>
      <c r="WAN128" s="751"/>
      <c r="WAO128" s="751"/>
      <c r="WAP128" s="751"/>
      <c r="WAQ128" s="751"/>
      <c r="WAR128" s="751"/>
      <c r="WAS128" s="751"/>
      <c r="WAT128" s="751"/>
      <c r="WAU128" s="751"/>
      <c r="WAV128" s="751"/>
      <c r="WAW128" s="751"/>
      <c r="WAX128" s="751"/>
      <c r="WAY128" s="751"/>
      <c r="WAZ128" s="751"/>
      <c r="WBA128" s="751"/>
      <c r="WBB128" s="751"/>
      <c r="WBC128" s="751"/>
      <c r="WBD128" s="751"/>
      <c r="WBE128" s="751"/>
      <c r="WBF128" s="751"/>
      <c r="WBG128" s="751"/>
      <c r="WBH128" s="751"/>
      <c r="WBI128" s="751"/>
      <c r="WBJ128" s="751"/>
      <c r="WBK128" s="751"/>
      <c r="WBL128" s="751"/>
      <c r="WBM128" s="751"/>
      <c r="WBN128" s="751"/>
      <c r="WBO128" s="751"/>
      <c r="WBP128" s="751"/>
      <c r="WBQ128" s="751"/>
      <c r="WBR128" s="751"/>
      <c r="WBS128" s="751"/>
      <c r="WBT128" s="751"/>
      <c r="WBU128" s="751"/>
      <c r="WBV128" s="751"/>
      <c r="WBW128" s="751"/>
      <c r="WBX128" s="751"/>
      <c r="WBY128" s="751"/>
      <c r="WBZ128" s="751"/>
      <c r="WCA128" s="751"/>
      <c r="WCB128" s="751"/>
      <c r="WCC128" s="751"/>
      <c r="WCD128" s="751"/>
      <c r="WCE128" s="751"/>
      <c r="WCF128" s="751"/>
      <c r="WCG128" s="751"/>
      <c r="WCH128" s="751"/>
      <c r="WCI128" s="751"/>
      <c r="WCJ128" s="751"/>
      <c r="WCK128" s="751"/>
      <c r="WCL128" s="751"/>
      <c r="WCM128" s="751"/>
      <c r="WCN128" s="751"/>
      <c r="WCO128" s="751"/>
      <c r="WCP128" s="751"/>
      <c r="WCQ128" s="751"/>
      <c r="WCR128" s="751"/>
      <c r="WCS128" s="751"/>
      <c r="WCT128" s="751"/>
      <c r="WCU128" s="751"/>
      <c r="WCV128" s="751"/>
      <c r="WCW128" s="751"/>
      <c r="WCX128" s="751"/>
      <c r="WCY128" s="751"/>
      <c r="WCZ128" s="751"/>
      <c r="WDA128" s="751"/>
      <c r="WDB128" s="751"/>
      <c r="WDC128" s="751"/>
      <c r="WDD128" s="751"/>
      <c r="WDE128" s="751"/>
      <c r="WDF128" s="751"/>
      <c r="WDG128" s="751"/>
      <c r="WDH128" s="751"/>
      <c r="WDI128" s="751"/>
      <c r="WDJ128" s="751"/>
      <c r="WDK128" s="751"/>
      <c r="WDL128" s="751"/>
      <c r="WDM128" s="751"/>
      <c r="WDN128" s="751"/>
      <c r="WDO128" s="751"/>
      <c r="WDP128" s="751"/>
      <c r="WDQ128" s="751"/>
      <c r="WDR128" s="751"/>
      <c r="WDS128" s="751"/>
      <c r="WDT128" s="751"/>
      <c r="WDU128" s="751"/>
      <c r="WDV128" s="751"/>
      <c r="WDW128" s="751"/>
      <c r="WDX128" s="751"/>
      <c r="WDY128" s="751"/>
      <c r="WDZ128" s="751"/>
      <c r="WEA128" s="751"/>
      <c r="WEB128" s="751"/>
      <c r="WEC128" s="751"/>
      <c r="WED128" s="751"/>
      <c r="WEE128" s="751"/>
      <c r="WEF128" s="751"/>
      <c r="WEG128" s="751"/>
      <c r="WEH128" s="751"/>
      <c r="WEI128" s="751"/>
      <c r="WEJ128" s="751"/>
      <c r="WEK128" s="751"/>
      <c r="WEL128" s="751"/>
      <c r="WEM128" s="751"/>
      <c r="WEN128" s="751"/>
      <c r="WEO128" s="751"/>
      <c r="WEP128" s="751"/>
      <c r="WEQ128" s="751"/>
      <c r="WER128" s="751"/>
      <c r="WES128" s="751"/>
      <c r="WET128" s="751"/>
      <c r="WEU128" s="751"/>
      <c r="WEV128" s="751"/>
      <c r="WEW128" s="751"/>
      <c r="WEX128" s="751"/>
      <c r="WEY128" s="751"/>
      <c r="WEZ128" s="751"/>
      <c r="WFA128" s="751"/>
      <c r="WFB128" s="751"/>
      <c r="WFC128" s="751"/>
      <c r="WFD128" s="751"/>
      <c r="WFE128" s="751"/>
      <c r="WFF128" s="751"/>
      <c r="WFG128" s="751"/>
      <c r="WFH128" s="751"/>
      <c r="WFI128" s="751"/>
      <c r="WFJ128" s="751"/>
      <c r="WFK128" s="751"/>
      <c r="WFL128" s="751"/>
      <c r="WFM128" s="751"/>
      <c r="WFN128" s="751"/>
      <c r="WFO128" s="751"/>
      <c r="WFP128" s="751"/>
      <c r="WFQ128" s="751"/>
      <c r="WFR128" s="751"/>
      <c r="WFS128" s="751"/>
      <c r="WFT128" s="751"/>
      <c r="WFU128" s="751"/>
      <c r="WFV128" s="751"/>
      <c r="WFW128" s="751"/>
      <c r="WFX128" s="751"/>
      <c r="WFY128" s="751"/>
      <c r="WFZ128" s="751"/>
      <c r="WGA128" s="751"/>
      <c r="WGB128" s="751"/>
      <c r="WGC128" s="751"/>
      <c r="WGD128" s="751"/>
      <c r="WGE128" s="751"/>
      <c r="WGF128" s="751"/>
      <c r="WGG128" s="751"/>
      <c r="WGH128" s="751"/>
      <c r="WGI128" s="751"/>
      <c r="WGJ128" s="751"/>
      <c r="WGK128" s="751"/>
      <c r="WGL128" s="751"/>
      <c r="WGM128" s="751"/>
      <c r="WGN128" s="751"/>
      <c r="WGO128" s="751"/>
      <c r="WGP128" s="751"/>
      <c r="WGQ128" s="751"/>
      <c r="WGR128" s="751"/>
      <c r="WGS128" s="751"/>
      <c r="WGT128" s="751"/>
      <c r="WGU128" s="751"/>
      <c r="WGV128" s="751"/>
      <c r="WGW128" s="751"/>
      <c r="WGX128" s="751"/>
      <c r="WGY128" s="751"/>
      <c r="WGZ128" s="751"/>
      <c r="WHA128" s="751"/>
      <c r="WHB128" s="751"/>
      <c r="WHC128" s="751"/>
      <c r="WHD128" s="751"/>
      <c r="WHE128" s="751"/>
      <c r="WHF128" s="751"/>
      <c r="WHG128" s="751"/>
      <c r="WHH128" s="751"/>
      <c r="WHI128" s="751"/>
      <c r="WHJ128" s="751"/>
      <c r="WHK128" s="751"/>
      <c r="WHL128" s="751"/>
      <c r="WHM128" s="751"/>
      <c r="WHN128" s="751"/>
      <c r="WHO128" s="751"/>
      <c r="WHP128" s="751"/>
      <c r="WHQ128" s="751"/>
      <c r="WHR128" s="751"/>
      <c r="WHS128" s="751"/>
      <c r="WHT128" s="751"/>
      <c r="WHU128" s="751"/>
      <c r="WHV128" s="751"/>
      <c r="WHW128" s="751"/>
      <c r="WHX128" s="751"/>
      <c r="WHY128" s="751"/>
      <c r="WHZ128" s="751"/>
      <c r="WIA128" s="751"/>
      <c r="WIB128" s="751"/>
      <c r="WIC128" s="751"/>
      <c r="WID128" s="751"/>
      <c r="WIE128" s="751"/>
      <c r="WIF128" s="751"/>
      <c r="WIG128" s="751"/>
      <c r="WIH128" s="751"/>
      <c r="WII128" s="751"/>
      <c r="WIJ128" s="751"/>
      <c r="WIK128" s="751"/>
      <c r="WIL128" s="751"/>
      <c r="WIM128" s="751"/>
      <c r="WIN128" s="751"/>
      <c r="WIO128" s="751"/>
      <c r="WIP128" s="751"/>
      <c r="WIQ128" s="751"/>
      <c r="WIR128" s="751"/>
      <c r="WIS128" s="751"/>
      <c r="WIT128" s="751"/>
      <c r="WIU128" s="751"/>
      <c r="WIV128" s="751"/>
      <c r="WIW128" s="751"/>
      <c r="WIX128" s="751"/>
      <c r="WIY128" s="751"/>
      <c r="WIZ128" s="751"/>
      <c r="WJA128" s="751"/>
      <c r="WJB128" s="751"/>
      <c r="WJC128" s="751"/>
      <c r="WJD128" s="751"/>
      <c r="WJE128" s="751"/>
      <c r="WJF128" s="751"/>
      <c r="WJG128" s="751"/>
      <c r="WJH128" s="751"/>
      <c r="WJI128" s="751"/>
      <c r="WJJ128" s="751"/>
      <c r="WJK128" s="751"/>
      <c r="WJL128" s="751"/>
      <c r="WJM128" s="751"/>
      <c r="WJN128" s="751"/>
      <c r="WJO128" s="751"/>
      <c r="WJP128" s="751"/>
      <c r="WJQ128" s="751"/>
      <c r="WJR128" s="751"/>
      <c r="WJS128" s="751"/>
      <c r="WJT128" s="751"/>
      <c r="WJU128" s="751"/>
      <c r="WJV128" s="751"/>
      <c r="WJW128" s="751"/>
      <c r="WJX128" s="751"/>
      <c r="WJY128" s="751"/>
      <c r="WJZ128" s="751"/>
      <c r="WKA128" s="751"/>
      <c r="WKB128" s="751"/>
      <c r="WKC128" s="751"/>
      <c r="WKD128" s="751"/>
      <c r="WKE128" s="751"/>
      <c r="WKF128" s="751"/>
      <c r="WKG128" s="751"/>
      <c r="WKH128" s="751"/>
      <c r="WKI128" s="751"/>
      <c r="WKJ128" s="751"/>
      <c r="WKK128" s="751"/>
      <c r="WKL128" s="751"/>
      <c r="WKM128" s="751"/>
      <c r="WKN128" s="751"/>
      <c r="WKO128" s="751"/>
      <c r="WKP128" s="751"/>
      <c r="WKQ128" s="751"/>
      <c r="WKR128" s="751"/>
      <c r="WKS128" s="751"/>
      <c r="WKT128" s="751"/>
      <c r="WKU128" s="751"/>
      <c r="WKV128" s="751"/>
      <c r="WKW128" s="751"/>
      <c r="WKX128" s="751"/>
      <c r="WKY128" s="751"/>
      <c r="WKZ128" s="751"/>
      <c r="WLA128" s="751"/>
      <c r="WLB128" s="751"/>
      <c r="WLC128" s="751"/>
      <c r="WLD128" s="751"/>
      <c r="WLE128" s="751"/>
      <c r="WLF128" s="751"/>
      <c r="WLG128" s="751"/>
      <c r="WLH128" s="751"/>
      <c r="WLI128" s="751"/>
      <c r="WLJ128" s="751"/>
      <c r="WLK128" s="751"/>
      <c r="WLL128" s="751"/>
      <c r="WLM128" s="751"/>
      <c r="WLN128" s="751"/>
      <c r="WLO128" s="751"/>
      <c r="WLP128" s="751"/>
      <c r="WLQ128" s="751"/>
      <c r="WLR128" s="751"/>
      <c r="WLS128" s="751"/>
      <c r="WLT128" s="751"/>
      <c r="WLU128" s="751"/>
      <c r="WLV128" s="751"/>
      <c r="WLW128" s="751"/>
      <c r="WLX128" s="751"/>
      <c r="WLY128" s="751"/>
      <c r="WLZ128" s="751"/>
      <c r="WMA128" s="751"/>
      <c r="WMB128" s="751"/>
      <c r="WMC128" s="751"/>
      <c r="WMD128" s="751"/>
      <c r="WME128" s="751"/>
      <c r="WMF128" s="751"/>
      <c r="WMG128" s="751"/>
      <c r="WMH128" s="751"/>
      <c r="WMI128" s="751"/>
      <c r="WMJ128" s="751"/>
      <c r="WMK128" s="751"/>
      <c r="WML128" s="751"/>
      <c r="WMM128" s="751"/>
      <c r="WMN128" s="751"/>
      <c r="WMO128" s="751"/>
      <c r="WMP128" s="751"/>
      <c r="WMQ128" s="751"/>
      <c r="WMR128" s="751"/>
      <c r="WMS128" s="751"/>
      <c r="WMT128" s="751"/>
      <c r="WMU128" s="751"/>
      <c r="WMV128" s="751"/>
      <c r="WMW128" s="751"/>
      <c r="WMX128" s="751"/>
      <c r="WMY128" s="751"/>
      <c r="WMZ128" s="751"/>
      <c r="WNA128" s="751"/>
      <c r="WNB128" s="751"/>
      <c r="WNC128" s="751"/>
      <c r="WND128" s="751"/>
      <c r="WNE128" s="751"/>
      <c r="WNF128" s="751"/>
      <c r="WNG128" s="751"/>
      <c r="WNH128" s="751"/>
      <c r="WNI128" s="751"/>
      <c r="WNJ128" s="751"/>
      <c r="WNK128" s="751"/>
      <c r="WNL128" s="751"/>
      <c r="WNM128" s="751"/>
      <c r="WNN128" s="751"/>
      <c r="WNO128" s="751"/>
      <c r="WNP128" s="751"/>
      <c r="WNQ128" s="751"/>
      <c r="WNR128" s="751"/>
      <c r="WNS128" s="751"/>
      <c r="WNT128" s="751"/>
      <c r="WNU128" s="751"/>
      <c r="WNV128" s="751"/>
      <c r="WNW128" s="751"/>
      <c r="WNX128" s="751"/>
      <c r="WNY128" s="751"/>
      <c r="WNZ128" s="751"/>
      <c r="WOA128" s="751"/>
      <c r="WOB128" s="751"/>
      <c r="WOC128" s="751"/>
      <c r="WOD128" s="751"/>
      <c r="WOE128" s="751"/>
      <c r="WOF128" s="751"/>
      <c r="WOG128" s="751"/>
      <c r="WOH128" s="751"/>
      <c r="WOI128" s="751"/>
      <c r="WOJ128" s="751"/>
      <c r="WOK128" s="751"/>
      <c r="WOL128" s="751"/>
      <c r="WOM128" s="751"/>
      <c r="WON128" s="751"/>
      <c r="WOO128" s="751"/>
      <c r="WOP128" s="751"/>
      <c r="WOQ128" s="751"/>
      <c r="WOR128" s="751"/>
      <c r="WOS128" s="751"/>
      <c r="WOT128" s="751"/>
      <c r="WOU128" s="751"/>
      <c r="WOV128" s="751"/>
      <c r="WOW128" s="751"/>
      <c r="WOX128" s="751"/>
      <c r="WOY128" s="751"/>
      <c r="WOZ128" s="751"/>
      <c r="WPA128" s="751"/>
      <c r="WPB128" s="751"/>
      <c r="WPC128" s="751"/>
      <c r="WPD128" s="751"/>
      <c r="WPE128" s="751"/>
      <c r="WPF128" s="751"/>
      <c r="WPG128" s="751"/>
      <c r="WPH128" s="751"/>
      <c r="WPI128" s="751"/>
      <c r="WPJ128" s="751"/>
      <c r="WPK128" s="751"/>
      <c r="WPL128" s="751"/>
      <c r="WPM128" s="751"/>
      <c r="WPN128" s="751"/>
      <c r="WPO128" s="751"/>
      <c r="WPP128" s="751"/>
      <c r="WPQ128" s="751"/>
      <c r="WPR128" s="751"/>
      <c r="WPS128" s="751"/>
      <c r="WPT128" s="751"/>
      <c r="WPU128" s="751"/>
      <c r="WPV128" s="751"/>
      <c r="WPW128" s="751"/>
      <c r="WPX128" s="751"/>
      <c r="WPY128" s="751"/>
      <c r="WPZ128" s="751"/>
      <c r="WQA128" s="751"/>
      <c r="WQB128" s="751"/>
      <c r="WQC128" s="751"/>
      <c r="WQD128" s="751"/>
      <c r="WQE128" s="751"/>
      <c r="WQF128" s="751"/>
      <c r="WQG128" s="751"/>
      <c r="WQH128" s="751"/>
      <c r="WQI128" s="751"/>
      <c r="WQJ128" s="751"/>
      <c r="WQK128" s="751"/>
      <c r="WQL128" s="751"/>
      <c r="WQM128" s="751"/>
      <c r="WQN128" s="751"/>
      <c r="WQO128" s="751"/>
      <c r="WQP128" s="751"/>
      <c r="WQQ128" s="751"/>
      <c r="WQR128" s="751"/>
      <c r="WQS128" s="751"/>
      <c r="WQT128" s="751"/>
      <c r="WQU128" s="751"/>
      <c r="WQV128" s="751"/>
      <c r="WQW128" s="751"/>
      <c r="WQX128" s="751"/>
      <c r="WQY128" s="751"/>
      <c r="WQZ128" s="751"/>
      <c r="WRA128" s="751"/>
      <c r="WRB128" s="751"/>
      <c r="WRC128" s="751"/>
      <c r="WRD128" s="751"/>
      <c r="WRE128" s="751"/>
      <c r="WRF128" s="751"/>
      <c r="WRG128" s="751"/>
      <c r="WRH128" s="751"/>
      <c r="WRI128" s="751"/>
      <c r="WRJ128" s="751"/>
      <c r="WRK128" s="751"/>
      <c r="WRL128" s="751"/>
      <c r="WRM128" s="751"/>
      <c r="WRN128" s="751"/>
      <c r="WRO128" s="751"/>
      <c r="WRP128" s="751"/>
      <c r="WRQ128" s="751"/>
      <c r="WRR128" s="751"/>
      <c r="WRS128" s="751"/>
      <c r="WRT128" s="751"/>
      <c r="WRU128" s="751"/>
      <c r="WRV128" s="751"/>
      <c r="WRW128" s="751"/>
      <c r="WRX128" s="751"/>
      <c r="WRY128" s="751"/>
      <c r="WRZ128" s="751"/>
      <c r="WSA128" s="751"/>
      <c r="WSB128" s="751"/>
      <c r="WSC128" s="751"/>
      <c r="WSD128" s="751"/>
      <c r="WSE128" s="751"/>
      <c r="WSF128" s="751"/>
      <c r="WSG128" s="751"/>
      <c r="WSH128" s="751"/>
      <c r="WSI128" s="751"/>
      <c r="WSJ128" s="751"/>
      <c r="WSK128" s="751"/>
      <c r="WSL128" s="751"/>
      <c r="WSM128" s="751"/>
      <c r="WSN128" s="751"/>
      <c r="WSO128" s="751"/>
      <c r="WSP128" s="751"/>
      <c r="WSQ128" s="751"/>
      <c r="WSR128" s="751"/>
      <c r="WSS128" s="751"/>
      <c r="WST128" s="751"/>
      <c r="WSU128" s="751"/>
      <c r="WSV128" s="751"/>
      <c r="WSW128" s="751"/>
      <c r="WSX128" s="751"/>
      <c r="WSY128" s="751"/>
      <c r="WSZ128" s="751"/>
      <c r="WTA128" s="751"/>
      <c r="WTB128" s="751"/>
      <c r="WTC128" s="751"/>
      <c r="WTD128" s="751"/>
      <c r="WTE128" s="751"/>
      <c r="WTF128" s="751"/>
      <c r="WTG128" s="751"/>
      <c r="WTH128" s="751"/>
      <c r="WTI128" s="751"/>
      <c r="WTJ128" s="751"/>
      <c r="WTK128" s="751"/>
      <c r="WTL128" s="751"/>
      <c r="WTM128" s="751"/>
      <c r="WTN128" s="751"/>
      <c r="WTO128" s="751"/>
      <c r="WTP128" s="751"/>
      <c r="WTQ128" s="751"/>
      <c r="WTR128" s="751"/>
      <c r="WTS128" s="751"/>
      <c r="WTT128" s="751"/>
      <c r="WTU128" s="751"/>
      <c r="WTV128" s="751"/>
      <c r="WTW128" s="751"/>
      <c r="WTX128" s="751"/>
      <c r="WTY128" s="751"/>
      <c r="WTZ128" s="751"/>
      <c r="WUA128" s="751"/>
      <c r="WUB128" s="751"/>
      <c r="WUC128" s="751"/>
      <c r="WUD128" s="751"/>
      <c r="WUE128" s="751"/>
      <c r="WUF128" s="751"/>
      <c r="WUG128" s="751"/>
      <c r="WUH128" s="751"/>
      <c r="WUI128" s="751"/>
      <c r="WUJ128" s="751"/>
      <c r="WUK128" s="751"/>
      <c r="WUL128" s="751"/>
      <c r="WUM128" s="751"/>
      <c r="WUN128" s="751"/>
      <c r="WUO128" s="751"/>
      <c r="WUP128" s="751"/>
      <c r="WUQ128" s="751"/>
      <c r="WUR128" s="751"/>
      <c r="WUS128" s="751"/>
      <c r="WUT128" s="751"/>
      <c r="WUU128" s="751"/>
      <c r="WUV128" s="751"/>
      <c r="WUW128" s="751"/>
      <c r="WUX128" s="751"/>
      <c r="WUY128" s="751"/>
      <c r="WUZ128" s="751"/>
      <c r="WVA128" s="751"/>
      <c r="WVB128" s="751"/>
      <c r="WVC128" s="751"/>
      <c r="WVD128" s="751"/>
      <c r="WVE128" s="751"/>
      <c r="WVF128" s="751"/>
      <c r="WVG128" s="751"/>
      <c r="WVH128" s="751"/>
      <c r="WVI128" s="751"/>
      <c r="WVJ128" s="751"/>
      <c r="WVK128" s="751"/>
      <c r="WVL128" s="751"/>
      <c r="WVM128" s="751"/>
      <c r="WVN128" s="751"/>
      <c r="WVO128" s="751"/>
      <c r="WVP128" s="751"/>
      <c r="WVQ128" s="751"/>
      <c r="WVR128" s="751"/>
      <c r="WVS128" s="751"/>
    </row>
    <row r="129" spans="1:10">
      <c r="A129" s="679" t="s">
        <v>1031</v>
      </c>
      <c r="B129" s="679">
        <v>50951</v>
      </c>
      <c r="C129" s="679" t="s">
        <v>1112</v>
      </c>
      <c r="D129" s="679" t="s">
        <v>1113</v>
      </c>
      <c r="E129" s="679" t="s">
        <v>792</v>
      </c>
      <c r="F129" s="679" t="s">
        <v>793</v>
      </c>
      <c r="G129" s="679" t="s">
        <v>1114</v>
      </c>
      <c r="H129" s="679">
        <v>60654</v>
      </c>
      <c r="I129" s="679" t="s">
        <v>1115</v>
      </c>
      <c r="J129" s="679">
        <v>3.5</v>
      </c>
    </row>
    <row r="130" spans="1:10">
      <c r="A130" s="679" t="s">
        <v>1031</v>
      </c>
      <c r="B130" s="679">
        <v>50952</v>
      </c>
      <c r="C130" s="679" t="s">
        <v>1112</v>
      </c>
      <c r="D130" s="679" t="s">
        <v>1113</v>
      </c>
      <c r="E130" s="679" t="s">
        <v>792</v>
      </c>
      <c r="F130" s="679" t="s">
        <v>793</v>
      </c>
      <c r="G130" s="679" t="s">
        <v>1114</v>
      </c>
      <c r="H130" s="679">
        <v>60653</v>
      </c>
      <c r="I130" s="679" t="s">
        <v>1115</v>
      </c>
      <c r="J130" s="679">
        <v>3.5</v>
      </c>
    </row>
    <row r="131" spans="1:10">
      <c r="A131" s="679" t="s">
        <v>1031</v>
      </c>
      <c r="B131" s="679">
        <v>50953</v>
      </c>
      <c r="C131" s="679" t="s">
        <v>1112</v>
      </c>
      <c r="D131" s="679" t="s">
        <v>1113</v>
      </c>
      <c r="E131" s="679" t="s">
        <v>792</v>
      </c>
      <c r="F131" s="679" t="s">
        <v>793</v>
      </c>
      <c r="G131" s="679" t="s">
        <v>1114</v>
      </c>
      <c r="H131" s="679">
        <v>60652</v>
      </c>
      <c r="I131" s="679" t="s">
        <v>1115</v>
      </c>
      <c r="J131" s="679">
        <v>3.5</v>
      </c>
    </row>
    <row r="132" spans="1:10">
      <c r="A132" s="679" t="s">
        <v>1031</v>
      </c>
      <c r="B132" s="679">
        <v>50954</v>
      </c>
      <c r="C132" s="679" t="s">
        <v>1112</v>
      </c>
      <c r="D132" s="679" t="s">
        <v>1113</v>
      </c>
      <c r="E132" s="679" t="s">
        <v>792</v>
      </c>
      <c r="F132" s="679" t="s">
        <v>793</v>
      </c>
      <c r="G132" s="679" t="s">
        <v>1114</v>
      </c>
      <c r="H132" s="679">
        <v>60658</v>
      </c>
      <c r="I132" s="679" t="s">
        <v>1116</v>
      </c>
      <c r="J132" s="679">
        <v>5</v>
      </c>
    </row>
    <row r="133" spans="1:10">
      <c r="A133" s="679" t="s">
        <v>1031</v>
      </c>
      <c r="B133" s="679">
        <v>50957</v>
      </c>
      <c r="C133" s="679" t="s">
        <v>1112</v>
      </c>
      <c r="D133" s="679" t="s">
        <v>1113</v>
      </c>
      <c r="E133" s="679" t="s">
        <v>792</v>
      </c>
      <c r="F133" s="679" t="s">
        <v>793</v>
      </c>
      <c r="G133" s="679" t="s">
        <v>1114</v>
      </c>
      <c r="H133" s="679">
        <v>60655</v>
      </c>
      <c r="I133" s="679" t="s">
        <v>1115</v>
      </c>
      <c r="J133" s="679">
        <v>3.5</v>
      </c>
    </row>
    <row r="134" spans="1:10">
      <c r="A134" s="679" t="s">
        <v>1031</v>
      </c>
      <c r="B134" s="679">
        <v>50958</v>
      </c>
      <c r="C134" s="679" t="s">
        <v>1112</v>
      </c>
      <c r="D134" s="679" t="s">
        <v>1113</v>
      </c>
      <c r="E134" s="679" t="s">
        <v>792</v>
      </c>
      <c r="F134" s="679" t="s">
        <v>793</v>
      </c>
      <c r="G134" s="679" t="s">
        <v>1114</v>
      </c>
      <c r="H134" s="679">
        <v>60656</v>
      </c>
      <c r="I134" s="679" t="s">
        <v>1117</v>
      </c>
      <c r="J134" s="679">
        <v>8</v>
      </c>
    </row>
    <row r="135" spans="1:10">
      <c r="A135" s="679" t="s">
        <v>1031</v>
      </c>
      <c r="B135" s="679">
        <v>50959</v>
      </c>
      <c r="C135" s="679" t="s">
        <v>1112</v>
      </c>
      <c r="D135" s="679" t="s">
        <v>1113</v>
      </c>
      <c r="E135" s="679" t="s">
        <v>792</v>
      </c>
      <c r="F135" s="679" t="s">
        <v>793</v>
      </c>
      <c r="G135" s="679" t="s">
        <v>1114</v>
      </c>
      <c r="H135" s="679">
        <v>60657</v>
      </c>
      <c r="I135" s="679" t="s">
        <v>1117</v>
      </c>
      <c r="J135" s="679">
        <v>8</v>
      </c>
    </row>
    <row r="136" spans="1:10">
      <c r="A136" s="679" t="s">
        <v>1031</v>
      </c>
      <c r="B136" s="679">
        <v>50960</v>
      </c>
      <c r="C136" s="679" t="s">
        <v>1112</v>
      </c>
      <c r="D136" s="679" t="s">
        <v>1113</v>
      </c>
      <c r="E136" s="679" t="s">
        <v>792</v>
      </c>
      <c r="F136" s="679" t="s">
        <v>793</v>
      </c>
      <c r="G136" s="679" t="s">
        <v>1114</v>
      </c>
      <c r="H136" s="679">
        <v>60659</v>
      </c>
      <c r="I136" s="679" t="s">
        <v>1116</v>
      </c>
      <c r="J136" s="679">
        <v>5</v>
      </c>
    </row>
    <row r="137" spans="1:10">
      <c r="A137" s="679" t="s">
        <v>1031</v>
      </c>
      <c r="B137" s="679">
        <v>50961</v>
      </c>
      <c r="C137" s="679" t="s">
        <v>1112</v>
      </c>
      <c r="D137" s="679" t="s">
        <v>1113</v>
      </c>
      <c r="E137" s="679" t="s">
        <v>792</v>
      </c>
      <c r="F137" s="679" t="s">
        <v>793</v>
      </c>
      <c r="G137" s="679" t="s">
        <v>1114</v>
      </c>
      <c r="H137" s="679">
        <v>60660</v>
      </c>
      <c r="I137" s="679" t="s">
        <v>1118</v>
      </c>
      <c r="J137" s="679">
        <v>5</v>
      </c>
    </row>
    <row r="138" spans="1:10">
      <c r="A138" s="679" t="s">
        <v>1031</v>
      </c>
      <c r="B138" s="679">
        <v>50962</v>
      </c>
      <c r="C138" s="679" t="s">
        <v>1112</v>
      </c>
      <c r="D138" s="679" t="s">
        <v>1113</v>
      </c>
      <c r="E138" s="679" t="s">
        <v>792</v>
      </c>
      <c r="F138" s="679" t="s">
        <v>793</v>
      </c>
      <c r="G138" s="679" t="s">
        <v>1114</v>
      </c>
      <c r="H138" s="679">
        <v>60664</v>
      </c>
      <c r="I138" s="679" t="s">
        <v>1119</v>
      </c>
      <c r="J138" s="679">
        <v>8</v>
      </c>
    </row>
    <row r="139" spans="1:10">
      <c r="A139" s="679" t="s">
        <v>1031</v>
      </c>
      <c r="B139" s="679">
        <v>50963</v>
      </c>
      <c r="C139" s="679" t="s">
        <v>1112</v>
      </c>
      <c r="D139" s="679" t="s">
        <v>1113</v>
      </c>
      <c r="E139" s="679" t="s">
        <v>792</v>
      </c>
      <c r="F139" s="679" t="s">
        <v>793</v>
      </c>
      <c r="G139" s="679" t="s">
        <v>1114</v>
      </c>
      <c r="H139" s="679">
        <v>60661</v>
      </c>
      <c r="I139" s="679" t="s">
        <v>1120</v>
      </c>
      <c r="J139" s="679">
        <v>5</v>
      </c>
    </row>
    <row r="140" spans="1:10">
      <c r="A140" s="679" t="s">
        <v>1031</v>
      </c>
      <c r="B140" s="679">
        <v>50965</v>
      </c>
      <c r="C140" s="679" t="s">
        <v>1112</v>
      </c>
      <c r="D140" s="679" t="s">
        <v>1113</v>
      </c>
      <c r="E140" s="679" t="s">
        <v>792</v>
      </c>
      <c r="F140" s="679" t="s">
        <v>793</v>
      </c>
      <c r="G140" s="679" t="s">
        <v>1114</v>
      </c>
      <c r="H140" s="679">
        <v>60662</v>
      </c>
      <c r="I140" s="679" t="s">
        <v>1120</v>
      </c>
      <c r="J140" s="679">
        <v>5</v>
      </c>
    </row>
    <row r="141" spans="1:10">
      <c r="A141" s="679" t="s">
        <v>1031</v>
      </c>
      <c r="B141" s="679">
        <v>50966</v>
      </c>
      <c r="C141" s="679" t="s">
        <v>1112</v>
      </c>
      <c r="D141" s="679" t="s">
        <v>1113</v>
      </c>
      <c r="E141" s="679" t="s">
        <v>792</v>
      </c>
      <c r="F141" s="679" t="s">
        <v>793</v>
      </c>
      <c r="G141" s="679" t="s">
        <v>1114</v>
      </c>
      <c r="H141" s="679">
        <v>60663</v>
      </c>
      <c r="I141" s="679" t="s">
        <v>1121</v>
      </c>
      <c r="J141" s="679">
        <v>7</v>
      </c>
    </row>
    <row r="142" spans="1:10">
      <c r="A142" s="679" t="s">
        <v>1031</v>
      </c>
      <c r="B142" s="679" t="s">
        <v>1122</v>
      </c>
      <c r="C142" s="679" t="s">
        <v>1037</v>
      </c>
      <c r="D142" s="679" t="s">
        <v>1123</v>
      </c>
      <c r="E142" s="679" t="s">
        <v>792</v>
      </c>
      <c r="F142" s="679" t="s">
        <v>830</v>
      </c>
      <c r="G142" s="679" t="s">
        <v>1114</v>
      </c>
      <c r="H142" s="679">
        <v>54738</v>
      </c>
      <c r="I142" s="679" t="s">
        <v>1124</v>
      </c>
      <c r="J142" s="679">
        <v>78</v>
      </c>
    </row>
    <row r="143" spans="1:10">
      <c r="A143" s="679" t="s">
        <v>1031</v>
      </c>
      <c r="B143" s="679" t="s">
        <v>1125</v>
      </c>
      <c r="C143" s="679" t="s">
        <v>1033</v>
      </c>
      <c r="D143" s="679" t="s">
        <v>1123</v>
      </c>
      <c r="E143" s="679" t="s">
        <v>792</v>
      </c>
      <c r="F143" s="679" t="s">
        <v>830</v>
      </c>
      <c r="G143" s="679" t="s">
        <v>1114</v>
      </c>
      <c r="H143" s="679">
        <v>54737</v>
      </c>
      <c r="I143" s="679" t="s">
        <v>1124</v>
      </c>
      <c r="J143" s="679">
        <v>78</v>
      </c>
    </row>
    <row r="144" spans="1:10">
      <c r="A144" s="679" t="s">
        <v>1031</v>
      </c>
      <c r="B144" s="679" t="s">
        <v>1126</v>
      </c>
      <c r="C144" s="679" t="s">
        <v>1040</v>
      </c>
      <c r="D144" s="679" t="s">
        <v>1123</v>
      </c>
      <c r="E144" s="679" t="s">
        <v>792</v>
      </c>
      <c r="F144" s="679" t="s">
        <v>830</v>
      </c>
      <c r="G144" s="679" t="s">
        <v>1114</v>
      </c>
      <c r="H144" s="679">
        <v>54739</v>
      </c>
      <c r="I144" s="679" t="s">
        <v>1124</v>
      </c>
      <c r="J144" s="679">
        <v>78</v>
      </c>
    </row>
    <row r="145" spans="1:16139">
      <c r="A145" s="679" t="s">
        <v>1031</v>
      </c>
      <c r="B145" s="679" t="s">
        <v>1127</v>
      </c>
      <c r="C145" s="679" t="s">
        <v>1128</v>
      </c>
      <c r="D145" s="679" t="s">
        <v>1123</v>
      </c>
      <c r="E145" s="679" t="s">
        <v>792</v>
      </c>
      <c r="F145" s="679" t="s">
        <v>830</v>
      </c>
      <c r="G145" s="679" t="s">
        <v>1114</v>
      </c>
      <c r="H145" s="679">
        <v>54741</v>
      </c>
      <c r="I145" s="679" t="s">
        <v>1124</v>
      </c>
      <c r="J145" s="679">
        <v>78</v>
      </c>
    </row>
    <row r="146" spans="1:16139">
      <c r="A146" s="679" t="s">
        <v>1031</v>
      </c>
      <c r="B146" s="679" t="s">
        <v>1129</v>
      </c>
      <c r="C146" s="679" t="s">
        <v>1130</v>
      </c>
      <c r="D146" s="679" t="s">
        <v>1123</v>
      </c>
      <c r="E146" s="679" t="s">
        <v>792</v>
      </c>
      <c r="F146" s="679" t="s">
        <v>830</v>
      </c>
      <c r="G146" s="679" t="s">
        <v>1114</v>
      </c>
      <c r="H146" s="679">
        <v>54743</v>
      </c>
      <c r="I146" s="679" t="s">
        <v>1124</v>
      </c>
      <c r="J146" s="679">
        <v>78</v>
      </c>
    </row>
    <row r="147" spans="1:16139">
      <c r="A147" s="679" t="s">
        <v>1031</v>
      </c>
      <c r="B147" s="679" t="s">
        <v>1129</v>
      </c>
      <c r="C147" s="679" t="s">
        <v>1130</v>
      </c>
      <c r="D147" s="679" t="s">
        <v>1123</v>
      </c>
      <c r="E147" s="679" t="s">
        <v>792</v>
      </c>
      <c r="F147" s="679" t="s">
        <v>830</v>
      </c>
      <c r="G147" s="679" t="s">
        <v>1114</v>
      </c>
      <c r="H147" s="679">
        <v>519311</v>
      </c>
      <c r="I147" s="679" t="s">
        <v>1124</v>
      </c>
      <c r="J147" s="679">
        <v>78</v>
      </c>
    </row>
    <row r="148" spans="1:16139">
      <c r="A148" s="679" t="s">
        <v>1031</v>
      </c>
      <c r="B148" s="679" t="s">
        <v>1131</v>
      </c>
      <c r="C148" s="679" t="s">
        <v>1132</v>
      </c>
      <c r="E148" s="679" t="s">
        <v>792</v>
      </c>
      <c r="F148" s="679" t="s">
        <v>793</v>
      </c>
      <c r="G148" s="679" t="s">
        <v>1114</v>
      </c>
      <c r="H148" s="679">
        <v>54745</v>
      </c>
      <c r="I148" s="679" t="s">
        <v>882</v>
      </c>
      <c r="J148" s="679">
        <v>99</v>
      </c>
      <c r="K148" s="679" t="s">
        <v>1133</v>
      </c>
    </row>
    <row r="149" spans="1:16139">
      <c r="A149" s="679" t="s">
        <v>970</v>
      </c>
      <c r="B149" s="679" t="s">
        <v>1134</v>
      </c>
      <c r="C149" s="679" t="s">
        <v>828</v>
      </c>
      <c r="D149" s="679" t="s">
        <v>1135</v>
      </c>
      <c r="E149" s="679" t="s">
        <v>792</v>
      </c>
      <c r="F149" s="679" t="s">
        <v>793</v>
      </c>
      <c r="G149" s="679" t="s">
        <v>1136</v>
      </c>
      <c r="H149" s="679">
        <v>60080</v>
      </c>
      <c r="I149" s="679" t="s">
        <v>1137</v>
      </c>
      <c r="J149" s="679">
        <v>78</v>
      </c>
    </row>
    <row r="150" spans="1:16139">
      <c r="A150" s="679" t="s">
        <v>970</v>
      </c>
      <c r="B150" s="679" t="s">
        <v>1138</v>
      </c>
      <c r="C150" s="679" t="s">
        <v>832</v>
      </c>
      <c r="D150" s="679" t="s">
        <v>1135</v>
      </c>
      <c r="E150" s="679" t="s">
        <v>792</v>
      </c>
      <c r="F150" s="679" t="s">
        <v>793</v>
      </c>
      <c r="G150" s="679" t="s">
        <v>1136</v>
      </c>
      <c r="H150" s="679">
        <v>60081</v>
      </c>
      <c r="I150" s="679" t="s">
        <v>1137</v>
      </c>
      <c r="J150" s="679">
        <v>78</v>
      </c>
    </row>
    <row r="151" spans="1:16139">
      <c r="A151" s="679" t="s">
        <v>970</v>
      </c>
      <c r="B151" s="679" t="s">
        <v>1139</v>
      </c>
      <c r="C151" s="679" t="s">
        <v>833</v>
      </c>
      <c r="D151" s="679" t="s">
        <v>1135</v>
      </c>
      <c r="E151" s="679" t="s">
        <v>792</v>
      </c>
      <c r="F151" s="679" t="s">
        <v>793</v>
      </c>
      <c r="G151" s="679" t="s">
        <v>1136</v>
      </c>
      <c r="H151" s="679">
        <v>60082</v>
      </c>
      <c r="I151" s="679" t="s">
        <v>1137</v>
      </c>
      <c r="J151" s="679">
        <v>78</v>
      </c>
    </row>
    <row r="152" spans="1:16139">
      <c r="A152" s="679" t="s">
        <v>970</v>
      </c>
      <c r="B152" s="679" t="s">
        <v>1140</v>
      </c>
      <c r="C152" s="679" t="s">
        <v>834</v>
      </c>
      <c r="D152" s="679" t="s">
        <v>1135</v>
      </c>
      <c r="E152" s="679" t="s">
        <v>792</v>
      </c>
      <c r="F152" s="679" t="s">
        <v>793</v>
      </c>
      <c r="G152" s="679" t="s">
        <v>1136</v>
      </c>
      <c r="H152" s="679">
        <v>60083</v>
      </c>
      <c r="I152" s="679" t="s">
        <v>1137</v>
      </c>
      <c r="J152" s="679">
        <v>78</v>
      </c>
    </row>
    <row r="153" spans="1:16139">
      <c r="A153" s="679" t="s">
        <v>970</v>
      </c>
      <c r="B153" s="679" t="s">
        <v>1141</v>
      </c>
      <c r="C153" s="679" t="s">
        <v>837</v>
      </c>
      <c r="D153" s="679" t="s">
        <v>1135</v>
      </c>
      <c r="E153" s="679" t="s">
        <v>792</v>
      </c>
      <c r="F153" s="679" t="s">
        <v>793</v>
      </c>
      <c r="G153" s="679" t="s">
        <v>1136</v>
      </c>
      <c r="H153" s="679">
        <v>60084</v>
      </c>
      <c r="I153" s="679" t="s">
        <v>1137</v>
      </c>
      <c r="J153" s="679">
        <v>78</v>
      </c>
    </row>
    <row r="154" spans="1:16139">
      <c r="A154" s="679" t="s">
        <v>970</v>
      </c>
      <c r="B154" s="679" t="s">
        <v>1142</v>
      </c>
      <c r="C154" s="679" t="s">
        <v>838</v>
      </c>
      <c r="D154" s="679" t="s">
        <v>1135</v>
      </c>
      <c r="E154" s="679" t="s">
        <v>792</v>
      </c>
      <c r="F154" s="679" t="s">
        <v>793</v>
      </c>
      <c r="G154" s="679" t="s">
        <v>1136</v>
      </c>
      <c r="H154" s="679">
        <v>60085</v>
      </c>
      <c r="I154" s="679" t="s">
        <v>1137</v>
      </c>
      <c r="J154" s="679">
        <v>78</v>
      </c>
    </row>
    <row r="155" spans="1:16139">
      <c r="A155" s="679" t="s">
        <v>970</v>
      </c>
      <c r="B155" s="679" t="s">
        <v>1143</v>
      </c>
      <c r="C155" s="679" t="s">
        <v>839</v>
      </c>
      <c r="D155" s="679" t="s">
        <v>1135</v>
      </c>
      <c r="E155" s="679" t="s">
        <v>792</v>
      </c>
      <c r="F155" s="679" t="s">
        <v>793</v>
      </c>
      <c r="G155" s="679" t="s">
        <v>1136</v>
      </c>
      <c r="H155" s="679">
        <v>60086</v>
      </c>
      <c r="I155" s="679" t="s">
        <v>1137</v>
      </c>
      <c r="J155" s="679">
        <v>78</v>
      </c>
    </row>
    <row r="156" spans="1:16139">
      <c r="A156" s="679" t="s">
        <v>970</v>
      </c>
      <c r="B156" s="679" t="s">
        <v>1144</v>
      </c>
      <c r="C156" s="679" t="s">
        <v>840</v>
      </c>
      <c r="D156" s="679" t="s">
        <v>1135</v>
      </c>
      <c r="E156" s="679" t="s">
        <v>792</v>
      </c>
      <c r="F156" s="679" t="s">
        <v>793</v>
      </c>
      <c r="G156" s="679" t="s">
        <v>1136</v>
      </c>
      <c r="H156" s="679">
        <v>60087</v>
      </c>
      <c r="I156" s="679" t="s">
        <v>1145</v>
      </c>
      <c r="J156" s="679">
        <v>78</v>
      </c>
    </row>
    <row r="157" spans="1:16139">
      <c r="A157" s="679" t="s">
        <v>970</v>
      </c>
      <c r="C157" s="679" t="s">
        <v>841</v>
      </c>
      <c r="D157" s="679" t="s">
        <v>1135</v>
      </c>
      <c r="E157" s="679" t="s">
        <v>792</v>
      </c>
      <c r="F157" s="679" t="s">
        <v>793</v>
      </c>
      <c r="G157" s="679" t="s">
        <v>1136</v>
      </c>
      <c r="J157" s="679">
        <v>78</v>
      </c>
    </row>
    <row r="158" spans="1:16139">
      <c r="A158" s="679" t="s">
        <v>970</v>
      </c>
      <c r="B158" s="679" t="s">
        <v>1146</v>
      </c>
      <c r="C158" s="679" t="s">
        <v>923</v>
      </c>
      <c r="D158" s="679" t="s">
        <v>1147</v>
      </c>
      <c r="E158" s="679" t="s">
        <v>792</v>
      </c>
      <c r="F158" s="679" t="s">
        <v>818</v>
      </c>
      <c r="G158" s="679" t="s">
        <v>1136</v>
      </c>
      <c r="H158" s="679">
        <v>60088</v>
      </c>
      <c r="I158" s="679" t="s">
        <v>1148</v>
      </c>
      <c r="J158" s="679">
        <v>78</v>
      </c>
    </row>
    <row r="159" spans="1:16139">
      <c r="A159" s="679" t="s">
        <v>970</v>
      </c>
      <c r="B159" s="679" t="s">
        <v>1149</v>
      </c>
      <c r="C159" s="679" t="s">
        <v>928</v>
      </c>
      <c r="D159" s="679" t="s">
        <v>1147</v>
      </c>
      <c r="E159" s="679" t="s">
        <v>792</v>
      </c>
      <c r="F159" s="679" t="s">
        <v>818</v>
      </c>
      <c r="G159" s="679" t="s">
        <v>1136</v>
      </c>
      <c r="H159" s="679">
        <v>60089</v>
      </c>
      <c r="I159" s="679" t="s">
        <v>1148</v>
      </c>
      <c r="J159" s="679">
        <v>78</v>
      </c>
    </row>
    <row r="160" spans="1:16139" s="751" customFormat="1">
      <c r="A160" s="679" t="s">
        <v>970</v>
      </c>
      <c r="B160" s="679" t="s">
        <v>1150</v>
      </c>
      <c r="C160" s="679" t="s">
        <v>994</v>
      </c>
      <c r="D160" s="679" t="s">
        <v>1147</v>
      </c>
      <c r="E160" s="679" t="s">
        <v>792</v>
      </c>
      <c r="F160" s="679" t="s">
        <v>818</v>
      </c>
      <c r="G160" s="679" t="s">
        <v>1136</v>
      </c>
      <c r="H160" s="679">
        <v>60090</v>
      </c>
      <c r="I160" s="679" t="s">
        <v>1148</v>
      </c>
      <c r="J160" s="679">
        <v>78</v>
      </c>
      <c r="K160" s="679"/>
      <c r="L160" s="679"/>
      <c r="M160" s="679"/>
      <c r="N160" s="679"/>
      <c r="O160" s="679"/>
      <c r="P160" s="679"/>
      <c r="Q160" s="679"/>
      <c r="R160" s="679"/>
      <c r="S160" s="679"/>
      <c r="T160" s="679"/>
      <c r="U160" s="679"/>
      <c r="V160" s="679"/>
      <c r="W160" s="679"/>
      <c r="X160" s="679"/>
      <c r="Y160" s="679"/>
      <c r="Z160" s="679"/>
      <c r="AA160" s="679"/>
      <c r="AB160" s="679"/>
      <c r="AC160" s="679"/>
      <c r="AD160" s="679"/>
      <c r="AE160" s="679"/>
      <c r="AF160" s="679"/>
      <c r="AG160" s="679"/>
      <c r="AH160" s="679"/>
      <c r="AI160" s="679"/>
      <c r="AJ160" s="679"/>
      <c r="AK160" s="679"/>
      <c r="AL160" s="679"/>
      <c r="AM160" s="679"/>
      <c r="AN160" s="679"/>
      <c r="AO160" s="679"/>
      <c r="AP160" s="679"/>
      <c r="AQ160" s="679"/>
      <c r="AR160" s="679"/>
      <c r="AS160" s="679"/>
      <c r="AT160" s="679"/>
      <c r="AU160" s="679"/>
      <c r="AV160" s="679"/>
      <c r="AW160" s="679"/>
      <c r="AX160" s="679"/>
      <c r="AY160" s="679"/>
      <c r="AZ160" s="679"/>
      <c r="BA160" s="679"/>
      <c r="BB160" s="679"/>
      <c r="BC160" s="679"/>
      <c r="BD160" s="679"/>
      <c r="BE160" s="679"/>
      <c r="BF160" s="679"/>
      <c r="BG160" s="679"/>
      <c r="BH160" s="679"/>
      <c r="BI160" s="679"/>
      <c r="BJ160" s="679"/>
      <c r="BK160" s="679"/>
      <c r="BL160" s="679"/>
      <c r="BM160" s="679"/>
      <c r="BN160" s="679"/>
      <c r="BO160" s="679"/>
      <c r="BP160" s="679"/>
      <c r="BQ160" s="679"/>
      <c r="BR160" s="679"/>
      <c r="BS160" s="679"/>
      <c r="BT160" s="679"/>
      <c r="BU160" s="679"/>
      <c r="BV160" s="679"/>
      <c r="BW160" s="679"/>
      <c r="BX160" s="679"/>
      <c r="BY160" s="679"/>
      <c r="BZ160" s="679"/>
      <c r="CA160" s="679"/>
      <c r="CB160" s="679"/>
      <c r="CC160" s="679"/>
      <c r="CD160" s="679"/>
      <c r="CE160" s="679"/>
      <c r="CF160" s="679"/>
      <c r="CG160" s="679"/>
      <c r="CH160" s="679"/>
      <c r="CI160" s="679"/>
      <c r="CJ160" s="679"/>
      <c r="CK160" s="679"/>
      <c r="CL160" s="679"/>
      <c r="CM160" s="679"/>
      <c r="CN160" s="679"/>
      <c r="CO160" s="679"/>
      <c r="CP160" s="679"/>
      <c r="CQ160" s="679"/>
      <c r="CR160" s="679"/>
      <c r="CS160" s="679"/>
      <c r="CT160" s="679"/>
      <c r="CU160" s="679"/>
      <c r="CV160" s="679"/>
      <c r="CW160" s="679"/>
      <c r="CX160" s="679"/>
      <c r="CY160" s="679"/>
      <c r="CZ160" s="679"/>
      <c r="DA160" s="679"/>
      <c r="DB160" s="679"/>
      <c r="DC160" s="679"/>
      <c r="DD160" s="679"/>
      <c r="DE160" s="679"/>
      <c r="DF160" s="679"/>
      <c r="DG160" s="679"/>
      <c r="DH160" s="679"/>
      <c r="DI160" s="679"/>
      <c r="DJ160" s="679"/>
      <c r="DK160" s="679"/>
      <c r="DL160" s="679"/>
      <c r="DM160" s="679"/>
      <c r="DN160" s="679"/>
      <c r="DO160" s="679"/>
      <c r="DP160" s="679"/>
      <c r="DQ160" s="679"/>
      <c r="DR160" s="679"/>
      <c r="DS160" s="679"/>
      <c r="DT160" s="679"/>
      <c r="DU160" s="679"/>
      <c r="DV160" s="679"/>
      <c r="DW160" s="679"/>
      <c r="DX160" s="679"/>
      <c r="DY160" s="679"/>
      <c r="DZ160" s="679"/>
      <c r="EA160" s="679"/>
      <c r="EB160" s="679"/>
      <c r="EC160" s="679"/>
      <c r="ED160" s="679"/>
      <c r="EE160" s="679"/>
      <c r="EF160" s="679"/>
      <c r="EG160" s="679"/>
      <c r="EH160" s="679"/>
      <c r="EI160" s="679"/>
      <c r="EJ160" s="679"/>
      <c r="EK160" s="679"/>
      <c r="EL160" s="679"/>
      <c r="EM160" s="679"/>
      <c r="EN160" s="679"/>
      <c r="EO160" s="679"/>
      <c r="EP160" s="679"/>
      <c r="EQ160" s="679"/>
      <c r="ER160" s="679"/>
      <c r="ES160" s="679"/>
      <c r="ET160" s="679"/>
      <c r="EU160" s="679"/>
      <c r="EV160" s="679"/>
      <c r="EW160" s="679"/>
      <c r="EX160" s="679"/>
      <c r="EY160" s="679"/>
      <c r="EZ160" s="679"/>
      <c r="FA160" s="679"/>
      <c r="FB160" s="679"/>
      <c r="FC160" s="679"/>
      <c r="FD160" s="679"/>
      <c r="FE160" s="679"/>
      <c r="FF160" s="679"/>
      <c r="FG160" s="679"/>
      <c r="FH160" s="679"/>
      <c r="FI160" s="679"/>
      <c r="FJ160" s="679"/>
      <c r="FK160" s="679"/>
      <c r="FL160" s="679"/>
      <c r="FM160" s="679"/>
      <c r="FN160" s="679"/>
      <c r="FO160" s="679"/>
      <c r="FP160" s="679"/>
      <c r="FQ160" s="679"/>
      <c r="FR160" s="679"/>
      <c r="FS160" s="679"/>
      <c r="FT160" s="679"/>
      <c r="FU160" s="679"/>
      <c r="FV160" s="679"/>
      <c r="FW160" s="679"/>
      <c r="FX160" s="679"/>
      <c r="FY160" s="679"/>
      <c r="FZ160" s="679"/>
      <c r="GA160" s="679"/>
      <c r="GB160" s="679"/>
      <c r="GC160" s="679"/>
      <c r="GD160" s="679"/>
      <c r="GE160" s="679"/>
      <c r="GF160" s="679"/>
      <c r="GG160" s="679"/>
      <c r="GH160" s="679"/>
      <c r="GI160" s="679"/>
      <c r="GJ160" s="679"/>
      <c r="GK160" s="679"/>
      <c r="GL160" s="679"/>
      <c r="GM160" s="679"/>
      <c r="GN160" s="679"/>
      <c r="GO160" s="679"/>
      <c r="GP160" s="679"/>
      <c r="GQ160" s="679"/>
      <c r="GR160" s="679"/>
      <c r="GS160" s="679"/>
      <c r="GT160" s="679"/>
      <c r="GU160" s="679"/>
      <c r="GV160" s="679"/>
      <c r="GW160" s="679"/>
      <c r="GX160" s="679"/>
      <c r="GY160" s="679"/>
      <c r="GZ160" s="679"/>
      <c r="HA160" s="679"/>
      <c r="HB160" s="679"/>
      <c r="HC160" s="679"/>
      <c r="HD160" s="679"/>
      <c r="HE160" s="679"/>
      <c r="HF160" s="679"/>
      <c r="HG160" s="679"/>
      <c r="HH160" s="679"/>
      <c r="HI160" s="679"/>
      <c r="HJ160" s="679"/>
      <c r="HK160" s="679"/>
      <c r="HL160" s="679"/>
      <c r="HM160" s="679"/>
      <c r="HN160" s="679"/>
      <c r="HO160" s="679"/>
      <c r="HP160" s="679"/>
      <c r="HQ160" s="679"/>
      <c r="HR160" s="679"/>
      <c r="HS160" s="679"/>
      <c r="HT160" s="679"/>
      <c r="HU160" s="679"/>
      <c r="HV160" s="679"/>
      <c r="HW160" s="679"/>
      <c r="HX160" s="679"/>
      <c r="HY160" s="679"/>
      <c r="HZ160" s="679"/>
      <c r="IA160" s="679"/>
      <c r="IB160" s="679"/>
      <c r="IC160" s="679"/>
      <c r="ID160" s="679"/>
      <c r="IE160" s="679"/>
      <c r="IF160" s="679"/>
      <c r="IG160" s="679"/>
      <c r="IH160" s="679"/>
      <c r="II160" s="679"/>
      <c r="IJ160" s="679"/>
      <c r="IK160" s="679"/>
      <c r="IL160" s="679"/>
      <c r="IM160" s="679"/>
      <c r="IN160" s="679"/>
      <c r="IO160" s="679"/>
      <c r="IP160" s="679"/>
      <c r="IQ160" s="679"/>
      <c r="IR160" s="679"/>
      <c r="IS160" s="679"/>
      <c r="IT160" s="679"/>
      <c r="IU160" s="679"/>
      <c r="IV160" s="679"/>
      <c r="IW160" s="679"/>
      <c r="IX160" s="679"/>
      <c r="IY160" s="679"/>
      <c r="IZ160" s="679"/>
      <c r="JA160" s="679"/>
      <c r="JB160" s="679"/>
      <c r="JC160" s="679"/>
      <c r="JD160" s="679"/>
      <c r="JE160" s="679"/>
      <c r="JF160" s="679"/>
      <c r="JG160" s="679"/>
      <c r="JH160" s="679"/>
      <c r="JI160" s="679"/>
      <c r="JJ160" s="679"/>
      <c r="JK160" s="679"/>
      <c r="JL160" s="679"/>
      <c r="JM160" s="679"/>
      <c r="JN160" s="679"/>
      <c r="JO160" s="679"/>
      <c r="JP160" s="679"/>
      <c r="JQ160" s="679"/>
      <c r="JR160" s="679"/>
      <c r="JS160" s="679"/>
      <c r="JT160" s="679"/>
      <c r="JU160" s="679"/>
      <c r="JV160" s="679"/>
      <c r="JW160" s="679"/>
      <c r="JX160" s="679"/>
      <c r="JY160" s="679"/>
      <c r="JZ160" s="679"/>
      <c r="KA160" s="679"/>
      <c r="KB160" s="679"/>
      <c r="KC160" s="679"/>
      <c r="KD160" s="679"/>
      <c r="KE160" s="679"/>
      <c r="KF160" s="679"/>
      <c r="KG160" s="679"/>
      <c r="KH160" s="679"/>
      <c r="KI160" s="679"/>
      <c r="KJ160" s="679"/>
      <c r="KK160" s="679"/>
      <c r="KL160" s="679"/>
      <c r="KM160" s="679"/>
      <c r="KN160" s="679"/>
      <c r="KO160" s="679"/>
      <c r="KP160" s="679"/>
      <c r="KQ160" s="679"/>
      <c r="KR160" s="679"/>
      <c r="KS160" s="679"/>
      <c r="KT160" s="679"/>
      <c r="KU160" s="679"/>
      <c r="KV160" s="679"/>
      <c r="KW160" s="679"/>
      <c r="KX160" s="679"/>
      <c r="KY160" s="679"/>
      <c r="KZ160" s="679"/>
      <c r="LA160" s="679"/>
      <c r="LB160" s="679"/>
      <c r="LC160" s="679"/>
      <c r="LD160" s="679"/>
      <c r="LE160" s="679"/>
      <c r="LF160" s="679"/>
      <c r="LG160" s="679"/>
      <c r="LH160" s="679"/>
      <c r="LI160" s="679"/>
      <c r="LJ160" s="679"/>
      <c r="LK160" s="679"/>
      <c r="LL160" s="679"/>
      <c r="LM160" s="679"/>
      <c r="LN160" s="679"/>
      <c r="LO160" s="679"/>
      <c r="LP160" s="679"/>
      <c r="LQ160" s="679"/>
      <c r="LR160" s="679"/>
      <c r="LS160" s="679"/>
      <c r="LT160" s="679"/>
      <c r="LU160" s="679"/>
      <c r="LV160" s="679"/>
      <c r="LW160" s="679"/>
      <c r="LX160" s="679"/>
      <c r="LY160" s="679"/>
      <c r="LZ160" s="679"/>
      <c r="MA160" s="679"/>
      <c r="MB160" s="679"/>
      <c r="MC160" s="679"/>
      <c r="MD160" s="679"/>
      <c r="ME160" s="679"/>
      <c r="MF160" s="679"/>
      <c r="MG160" s="679"/>
      <c r="MH160" s="679"/>
      <c r="MI160" s="679"/>
      <c r="MJ160" s="679"/>
      <c r="MK160" s="679"/>
      <c r="ML160" s="679"/>
      <c r="MM160" s="679"/>
      <c r="MN160" s="679"/>
      <c r="MO160" s="679"/>
      <c r="MP160" s="679"/>
      <c r="MQ160" s="679"/>
      <c r="MR160" s="679"/>
      <c r="MS160" s="679"/>
      <c r="MT160" s="679"/>
      <c r="MU160" s="679"/>
      <c r="MV160" s="679"/>
      <c r="MW160" s="679"/>
      <c r="MX160" s="679"/>
      <c r="MY160" s="679"/>
      <c r="MZ160" s="679"/>
      <c r="NA160" s="679"/>
      <c r="NB160" s="679"/>
      <c r="NC160" s="679"/>
      <c r="ND160" s="679"/>
      <c r="NE160" s="679"/>
      <c r="NF160" s="679"/>
      <c r="NG160" s="679"/>
      <c r="NH160" s="679"/>
      <c r="NI160" s="679"/>
      <c r="NJ160" s="679"/>
      <c r="NK160" s="679"/>
      <c r="NL160" s="679"/>
      <c r="NM160" s="679"/>
      <c r="NN160" s="679"/>
      <c r="NO160" s="679"/>
      <c r="NP160" s="679"/>
      <c r="NQ160" s="679"/>
      <c r="NR160" s="679"/>
      <c r="NS160" s="679"/>
      <c r="NT160" s="679"/>
      <c r="NU160" s="679"/>
      <c r="NV160" s="679"/>
      <c r="NW160" s="679"/>
      <c r="NX160" s="679"/>
      <c r="NY160" s="679"/>
      <c r="NZ160" s="679"/>
      <c r="OA160" s="679"/>
      <c r="OB160" s="679"/>
      <c r="OC160" s="679"/>
      <c r="OD160" s="679"/>
      <c r="OE160" s="679"/>
      <c r="OF160" s="679"/>
      <c r="OG160" s="679"/>
      <c r="OH160" s="679"/>
      <c r="OI160" s="679"/>
      <c r="OJ160" s="679"/>
      <c r="OK160" s="679"/>
      <c r="OL160" s="679"/>
      <c r="OM160" s="679"/>
      <c r="ON160" s="679"/>
      <c r="OO160" s="679"/>
      <c r="OP160" s="679"/>
      <c r="OQ160" s="679"/>
      <c r="OR160" s="679"/>
      <c r="OS160" s="679"/>
      <c r="OT160" s="679"/>
      <c r="OU160" s="679"/>
      <c r="OV160" s="679"/>
      <c r="OW160" s="679"/>
      <c r="OX160" s="679"/>
      <c r="OY160" s="679"/>
      <c r="OZ160" s="679"/>
      <c r="PA160" s="679"/>
      <c r="PB160" s="679"/>
      <c r="PC160" s="679"/>
      <c r="PD160" s="679"/>
      <c r="PE160" s="679"/>
      <c r="PF160" s="679"/>
      <c r="PG160" s="679"/>
      <c r="PH160" s="679"/>
      <c r="PI160" s="679"/>
      <c r="PJ160" s="679"/>
      <c r="PK160" s="679"/>
      <c r="PL160" s="679"/>
      <c r="PM160" s="679"/>
      <c r="PN160" s="679"/>
      <c r="PO160" s="679"/>
      <c r="PP160" s="679"/>
      <c r="PQ160" s="679"/>
      <c r="PR160" s="679"/>
      <c r="PS160" s="679"/>
      <c r="PT160" s="679"/>
      <c r="PU160" s="679"/>
      <c r="PV160" s="679"/>
      <c r="PW160" s="679"/>
      <c r="PX160" s="679"/>
      <c r="PY160" s="679"/>
      <c r="PZ160" s="679"/>
      <c r="QA160" s="679"/>
      <c r="QB160" s="679"/>
      <c r="QC160" s="679"/>
      <c r="QD160" s="679"/>
      <c r="QE160" s="679"/>
      <c r="QF160" s="679"/>
      <c r="QG160" s="679"/>
      <c r="QH160" s="679"/>
      <c r="QI160" s="679"/>
      <c r="QJ160" s="679"/>
      <c r="QK160" s="679"/>
      <c r="QL160" s="679"/>
      <c r="QM160" s="679"/>
      <c r="QN160" s="679"/>
      <c r="QO160" s="679"/>
      <c r="QP160" s="679"/>
      <c r="QQ160" s="679"/>
      <c r="QR160" s="679"/>
      <c r="QS160" s="679"/>
      <c r="QT160" s="679"/>
      <c r="QU160" s="679"/>
      <c r="QV160" s="679"/>
      <c r="QW160" s="679"/>
      <c r="QX160" s="679"/>
      <c r="QY160" s="679"/>
      <c r="QZ160" s="679"/>
      <c r="RA160" s="679"/>
      <c r="RB160" s="679"/>
      <c r="RC160" s="679"/>
      <c r="RD160" s="679"/>
      <c r="RE160" s="679"/>
      <c r="RF160" s="679"/>
      <c r="RG160" s="679"/>
      <c r="RH160" s="679"/>
      <c r="RI160" s="679"/>
      <c r="RJ160" s="679"/>
      <c r="RK160" s="679"/>
      <c r="RL160" s="679"/>
      <c r="RM160" s="679"/>
      <c r="RN160" s="679"/>
      <c r="RO160" s="679"/>
      <c r="RP160" s="679"/>
      <c r="RQ160" s="679"/>
      <c r="RR160" s="679"/>
      <c r="RS160" s="679"/>
      <c r="RT160" s="679"/>
      <c r="RU160" s="679"/>
      <c r="RV160" s="679"/>
      <c r="RW160" s="679"/>
      <c r="RX160" s="679"/>
      <c r="RY160" s="679"/>
      <c r="RZ160" s="679"/>
      <c r="SA160" s="679"/>
      <c r="SB160" s="679"/>
      <c r="SC160" s="679"/>
      <c r="SD160" s="679"/>
      <c r="SE160" s="679"/>
      <c r="SF160" s="679"/>
      <c r="SG160" s="679"/>
      <c r="SH160" s="679"/>
      <c r="SI160" s="679"/>
      <c r="SJ160" s="679"/>
      <c r="SK160" s="679"/>
      <c r="SL160" s="679"/>
      <c r="SM160" s="679"/>
      <c r="SN160" s="679"/>
      <c r="SO160" s="679"/>
      <c r="SP160" s="679"/>
      <c r="SQ160" s="679"/>
      <c r="SR160" s="679"/>
      <c r="SS160" s="679"/>
      <c r="ST160" s="679"/>
      <c r="SU160" s="679"/>
      <c r="SV160" s="679"/>
      <c r="SW160" s="679"/>
      <c r="SX160" s="679"/>
      <c r="SY160" s="679"/>
      <c r="SZ160" s="679"/>
      <c r="TA160" s="679"/>
      <c r="TB160" s="679"/>
      <c r="TC160" s="679"/>
      <c r="TD160" s="679"/>
      <c r="TE160" s="679"/>
      <c r="TF160" s="679"/>
      <c r="TG160" s="679"/>
      <c r="TH160" s="679"/>
      <c r="TI160" s="679"/>
      <c r="TJ160" s="679"/>
      <c r="TK160" s="679"/>
      <c r="TL160" s="679"/>
      <c r="TM160" s="679"/>
      <c r="TN160" s="679"/>
      <c r="TO160" s="679"/>
      <c r="TP160" s="679"/>
      <c r="TQ160" s="679"/>
      <c r="TR160" s="679"/>
      <c r="TS160" s="679"/>
      <c r="TT160" s="679"/>
      <c r="TU160" s="679"/>
      <c r="TV160" s="679"/>
      <c r="TW160" s="679"/>
      <c r="TX160" s="679"/>
      <c r="TY160" s="679"/>
      <c r="TZ160" s="679"/>
      <c r="UA160" s="679"/>
      <c r="UB160" s="679"/>
      <c r="UC160" s="679"/>
      <c r="UD160" s="679"/>
      <c r="UE160" s="679"/>
      <c r="UF160" s="679"/>
      <c r="UG160" s="679"/>
      <c r="UH160" s="679"/>
      <c r="UI160" s="679"/>
      <c r="UJ160" s="679"/>
      <c r="UK160" s="679"/>
      <c r="UL160" s="679"/>
      <c r="UM160" s="679"/>
      <c r="UN160" s="679"/>
      <c r="UO160" s="679"/>
      <c r="UP160" s="679"/>
      <c r="UQ160" s="679"/>
      <c r="UR160" s="679"/>
      <c r="US160" s="679"/>
      <c r="UT160" s="679"/>
      <c r="UU160" s="679"/>
      <c r="UV160" s="679"/>
      <c r="UW160" s="679"/>
      <c r="UX160" s="679"/>
      <c r="UY160" s="679"/>
      <c r="UZ160" s="679"/>
      <c r="VA160" s="679"/>
      <c r="VB160" s="679"/>
      <c r="VC160" s="679"/>
      <c r="VD160" s="679"/>
      <c r="VE160" s="679"/>
      <c r="VF160" s="679"/>
      <c r="VG160" s="679"/>
      <c r="VH160" s="679"/>
      <c r="VI160" s="679"/>
      <c r="VJ160" s="679"/>
      <c r="VK160" s="679"/>
      <c r="VL160" s="679"/>
      <c r="VM160" s="679"/>
      <c r="VN160" s="679"/>
      <c r="VO160" s="679"/>
      <c r="VP160" s="679"/>
      <c r="VQ160" s="679"/>
      <c r="VR160" s="679"/>
      <c r="VS160" s="679"/>
      <c r="VT160" s="679"/>
      <c r="VU160" s="679"/>
      <c r="VV160" s="679"/>
      <c r="VW160" s="679"/>
      <c r="VX160" s="679"/>
      <c r="VY160" s="679"/>
      <c r="VZ160" s="679"/>
      <c r="WA160" s="679"/>
      <c r="WB160" s="679"/>
      <c r="WC160" s="679"/>
      <c r="WD160" s="679"/>
      <c r="WE160" s="679"/>
      <c r="WF160" s="679"/>
      <c r="WG160" s="679"/>
      <c r="WH160" s="679"/>
      <c r="WI160" s="679"/>
      <c r="WJ160" s="679"/>
      <c r="WK160" s="679"/>
      <c r="WL160" s="679"/>
      <c r="WM160" s="679"/>
      <c r="WN160" s="679"/>
      <c r="WO160" s="679"/>
      <c r="WP160" s="679"/>
      <c r="WQ160" s="679"/>
      <c r="WR160" s="679"/>
      <c r="WS160" s="679"/>
      <c r="WT160" s="679"/>
      <c r="WU160" s="679"/>
      <c r="WV160" s="679"/>
      <c r="WW160" s="679"/>
      <c r="WX160" s="679"/>
      <c r="WY160" s="679"/>
      <c r="WZ160" s="679"/>
      <c r="XA160" s="679"/>
      <c r="XB160" s="679"/>
      <c r="XC160" s="679"/>
      <c r="XD160" s="679"/>
      <c r="XE160" s="679"/>
      <c r="XF160" s="679"/>
      <c r="XG160" s="679"/>
      <c r="XH160" s="679"/>
      <c r="XI160" s="679"/>
      <c r="XJ160" s="679"/>
      <c r="XK160" s="679"/>
      <c r="XL160" s="679"/>
      <c r="XM160" s="679"/>
      <c r="XN160" s="679"/>
      <c r="XO160" s="679"/>
      <c r="XP160" s="679"/>
      <c r="XQ160" s="679"/>
      <c r="XR160" s="679"/>
      <c r="XS160" s="679"/>
      <c r="XT160" s="679"/>
      <c r="XU160" s="679"/>
      <c r="XV160" s="679"/>
      <c r="XW160" s="679"/>
      <c r="XX160" s="679"/>
      <c r="XY160" s="679"/>
      <c r="XZ160" s="679"/>
      <c r="YA160" s="679"/>
      <c r="YB160" s="679"/>
      <c r="YC160" s="679"/>
      <c r="YD160" s="679"/>
      <c r="YE160" s="679"/>
      <c r="YF160" s="679"/>
      <c r="YG160" s="679"/>
      <c r="YH160" s="679"/>
      <c r="YI160" s="679"/>
      <c r="YJ160" s="679"/>
      <c r="YK160" s="679"/>
      <c r="YL160" s="679"/>
      <c r="YM160" s="679"/>
      <c r="YN160" s="679"/>
      <c r="YO160" s="679"/>
      <c r="YP160" s="679"/>
      <c r="YQ160" s="679"/>
      <c r="YR160" s="679"/>
      <c r="YS160" s="679"/>
      <c r="YT160" s="679"/>
      <c r="YU160" s="679"/>
      <c r="YV160" s="679"/>
      <c r="YW160" s="679"/>
      <c r="YX160" s="679"/>
      <c r="YY160" s="679"/>
      <c r="YZ160" s="679"/>
      <c r="ZA160" s="679"/>
      <c r="ZB160" s="679"/>
      <c r="ZC160" s="679"/>
      <c r="ZD160" s="679"/>
      <c r="ZE160" s="679"/>
      <c r="ZF160" s="679"/>
      <c r="ZG160" s="679"/>
      <c r="ZH160" s="679"/>
      <c r="ZI160" s="679"/>
      <c r="ZJ160" s="679"/>
      <c r="ZK160" s="679"/>
      <c r="ZL160" s="679"/>
      <c r="ZM160" s="679"/>
      <c r="ZN160" s="679"/>
      <c r="ZO160" s="679"/>
      <c r="ZP160" s="679"/>
      <c r="ZQ160" s="679"/>
      <c r="ZR160" s="679"/>
      <c r="ZS160" s="679"/>
      <c r="ZT160" s="679"/>
      <c r="ZU160" s="679"/>
      <c r="ZV160" s="679"/>
      <c r="ZW160" s="679"/>
      <c r="ZX160" s="679"/>
      <c r="ZY160" s="679"/>
      <c r="ZZ160" s="679"/>
      <c r="AAA160" s="679"/>
      <c r="AAB160" s="679"/>
      <c r="AAC160" s="679"/>
      <c r="AAD160" s="679"/>
      <c r="AAE160" s="679"/>
      <c r="AAF160" s="679"/>
      <c r="AAG160" s="679"/>
      <c r="AAH160" s="679"/>
      <c r="AAI160" s="679"/>
      <c r="AAJ160" s="679"/>
      <c r="AAK160" s="679"/>
      <c r="AAL160" s="679"/>
      <c r="AAM160" s="679"/>
      <c r="AAN160" s="679"/>
      <c r="AAO160" s="679"/>
      <c r="AAP160" s="679"/>
      <c r="AAQ160" s="679"/>
      <c r="AAR160" s="679"/>
      <c r="AAS160" s="679"/>
      <c r="AAT160" s="679"/>
      <c r="AAU160" s="679"/>
      <c r="AAV160" s="679"/>
      <c r="AAW160" s="679"/>
      <c r="AAX160" s="679"/>
      <c r="AAY160" s="679"/>
      <c r="AAZ160" s="679"/>
      <c r="ABA160" s="679"/>
      <c r="ABB160" s="679"/>
      <c r="ABC160" s="679"/>
      <c r="ABD160" s="679"/>
      <c r="ABE160" s="679"/>
      <c r="ABF160" s="679"/>
      <c r="ABG160" s="679"/>
      <c r="ABH160" s="679"/>
      <c r="ABI160" s="679"/>
      <c r="ABJ160" s="679"/>
      <c r="ABK160" s="679"/>
      <c r="ABL160" s="679"/>
      <c r="ABM160" s="679"/>
      <c r="ABN160" s="679"/>
      <c r="ABO160" s="679"/>
      <c r="ABP160" s="679"/>
      <c r="ABQ160" s="679"/>
      <c r="ABR160" s="679"/>
      <c r="ABS160" s="679"/>
      <c r="ABT160" s="679"/>
      <c r="ABU160" s="679"/>
      <c r="ABV160" s="679"/>
      <c r="ABW160" s="679"/>
      <c r="ABX160" s="679"/>
      <c r="ABY160" s="679"/>
      <c r="ABZ160" s="679"/>
      <c r="ACA160" s="679"/>
      <c r="ACB160" s="679"/>
      <c r="ACC160" s="679"/>
      <c r="ACD160" s="679"/>
      <c r="ACE160" s="679"/>
      <c r="ACF160" s="679"/>
      <c r="ACG160" s="679"/>
      <c r="ACH160" s="679"/>
      <c r="ACI160" s="679"/>
      <c r="ACJ160" s="679"/>
      <c r="ACK160" s="679"/>
      <c r="ACL160" s="679"/>
      <c r="ACM160" s="679"/>
      <c r="ACN160" s="679"/>
      <c r="ACO160" s="679"/>
      <c r="ACP160" s="679"/>
      <c r="ACQ160" s="679"/>
      <c r="ACR160" s="679"/>
      <c r="ACS160" s="679"/>
      <c r="ACT160" s="679"/>
      <c r="ACU160" s="679"/>
      <c r="ACV160" s="679"/>
      <c r="ACW160" s="679"/>
      <c r="ACX160" s="679"/>
      <c r="ACY160" s="679"/>
      <c r="ACZ160" s="679"/>
      <c r="ADA160" s="679"/>
      <c r="ADB160" s="679"/>
      <c r="ADC160" s="679"/>
      <c r="ADD160" s="679"/>
      <c r="ADE160" s="679"/>
      <c r="ADF160" s="679"/>
      <c r="ADG160" s="679"/>
      <c r="ADH160" s="679"/>
      <c r="ADI160" s="679"/>
      <c r="ADJ160" s="679"/>
      <c r="ADK160" s="679"/>
      <c r="ADL160" s="679"/>
      <c r="ADM160" s="679"/>
      <c r="ADN160" s="679"/>
      <c r="ADO160" s="679"/>
      <c r="ADP160" s="679"/>
      <c r="ADQ160" s="679"/>
      <c r="ADR160" s="679"/>
      <c r="ADS160" s="679"/>
      <c r="ADT160" s="679"/>
      <c r="ADU160" s="679"/>
      <c r="ADV160" s="679"/>
      <c r="ADW160" s="679"/>
      <c r="ADX160" s="679"/>
      <c r="ADY160" s="679"/>
      <c r="ADZ160" s="679"/>
      <c r="AEA160" s="679"/>
      <c r="AEB160" s="679"/>
      <c r="AEC160" s="679"/>
      <c r="AED160" s="679"/>
      <c r="AEE160" s="679"/>
      <c r="AEF160" s="679"/>
      <c r="AEG160" s="679"/>
      <c r="AEH160" s="679"/>
      <c r="AEI160" s="679"/>
      <c r="AEJ160" s="679"/>
      <c r="AEK160" s="679"/>
      <c r="AEL160" s="679"/>
      <c r="AEM160" s="679"/>
      <c r="AEN160" s="679"/>
      <c r="AEO160" s="679"/>
      <c r="AEP160" s="679"/>
      <c r="AEQ160" s="679"/>
      <c r="AER160" s="679"/>
      <c r="AES160" s="679"/>
      <c r="AET160" s="679"/>
      <c r="AEU160" s="679"/>
      <c r="AEV160" s="679"/>
      <c r="AEW160" s="679"/>
      <c r="AEX160" s="679"/>
      <c r="AEY160" s="679"/>
      <c r="AEZ160" s="679"/>
      <c r="AFA160" s="679"/>
      <c r="AFB160" s="679"/>
      <c r="AFC160" s="679"/>
      <c r="AFD160" s="679"/>
      <c r="AFE160" s="679"/>
      <c r="AFF160" s="679"/>
      <c r="AFG160" s="679"/>
      <c r="AFH160" s="679"/>
      <c r="AFI160" s="679"/>
      <c r="AFJ160" s="679"/>
      <c r="AFK160" s="679"/>
      <c r="AFL160" s="679"/>
      <c r="AFM160" s="679"/>
      <c r="AFN160" s="679"/>
      <c r="AFO160" s="679"/>
      <c r="AFP160" s="679"/>
      <c r="AFQ160" s="679"/>
      <c r="AFR160" s="679"/>
      <c r="AFS160" s="679"/>
      <c r="AFT160" s="679"/>
      <c r="AFU160" s="679"/>
      <c r="AFV160" s="679"/>
      <c r="AFW160" s="679"/>
      <c r="AFX160" s="679"/>
      <c r="AFY160" s="679"/>
      <c r="AFZ160" s="679"/>
      <c r="AGA160" s="679"/>
      <c r="AGB160" s="679"/>
      <c r="AGC160" s="679"/>
      <c r="AGD160" s="679"/>
      <c r="AGE160" s="679"/>
      <c r="AGF160" s="679"/>
      <c r="AGG160" s="679"/>
      <c r="AGH160" s="679"/>
      <c r="AGI160" s="679"/>
      <c r="AGJ160" s="679"/>
      <c r="AGK160" s="679"/>
      <c r="AGL160" s="679"/>
      <c r="AGM160" s="679"/>
      <c r="AGN160" s="679"/>
      <c r="AGO160" s="679"/>
      <c r="AGP160" s="679"/>
      <c r="AGQ160" s="679"/>
      <c r="AGR160" s="679"/>
      <c r="AGS160" s="679"/>
      <c r="AGT160" s="679"/>
      <c r="AGU160" s="679"/>
      <c r="AGV160" s="679"/>
      <c r="AGW160" s="679"/>
      <c r="AGX160" s="679"/>
      <c r="AGY160" s="679"/>
      <c r="AGZ160" s="679"/>
      <c r="AHA160" s="679"/>
      <c r="AHB160" s="679"/>
      <c r="AHC160" s="679"/>
      <c r="AHD160" s="679"/>
      <c r="AHE160" s="679"/>
      <c r="AHF160" s="679"/>
      <c r="AHG160" s="679"/>
      <c r="AHH160" s="679"/>
      <c r="AHI160" s="679"/>
      <c r="AHJ160" s="679"/>
      <c r="AHK160" s="679"/>
      <c r="AHL160" s="679"/>
      <c r="AHM160" s="679"/>
      <c r="AHN160" s="679"/>
      <c r="AHO160" s="679"/>
      <c r="AHP160" s="679"/>
      <c r="AHQ160" s="679"/>
      <c r="AHR160" s="679"/>
      <c r="AHS160" s="679"/>
      <c r="AHT160" s="679"/>
      <c r="AHU160" s="679"/>
      <c r="AHV160" s="679"/>
      <c r="AHW160" s="679"/>
      <c r="AHX160" s="679"/>
      <c r="AHY160" s="679"/>
      <c r="AHZ160" s="679"/>
      <c r="AIA160" s="679"/>
      <c r="AIB160" s="679"/>
      <c r="AIC160" s="679"/>
      <c r="AID160" s="679"/>
      <c r="AIE160" s="679"/>
      <c r="AIF160" s="679"/>
      <c r="AIG160" s="679"/>
      <c r="AIH160" s="679"/>
      <c r="AII160" s="679"/>
      <c r="AIJ160" s="679"/>
      <c r="AIK160" s="679"/>
      <c r="AIL160" s="679"/>
      <c r="AIM160" s="679"/>
      <c r="AIN160" s="679"/>
      <c r="AIO160" s="679"/>
      <c r="AIP160" s="679"/>
      <c r="AIQ160" s="679"/>
      <c r="AIR160" s="679"/>
      <c r="AIS160" s="679"/>
      <c r="AIT160" s="679"/>
      <c r="AIU160" s="679"/>
      <c r="AIV160" s="679"/>
      <c r="AIW160" s="679"/>
      <c r="AIX160" s="679"/>
      <c r="AIY160" s="679"/>
      <c r="AIZ160" s="679"/>
      <c r="AJA160" s="679"/>
      <c r="AJB160" s="679"/>
      <c r="AJC160" s="679"/>
      <c r="AJD160" s="679"/>
      <c r="AJE160" s="679"/>
      <c r="AJF160" s="679"/>
      <c r="AJG160" s="679"/>
      <c r="AJH160" s="679"/>
      <c r="AJI160" s="679"/>
      <c r="AJJ160" s="679"/>
      <c r="AJK160" s="679"/>
      <c r="AJL160" s="679"/>
      <c r="AJM160" s="679"/>
      <c r="AJN160" s="679"/>
      <c r="AJO160" s="679"/>
      <c r="AJP160" s="679"/>
      <c r="AJQ160" s="679"/>
      <c r="AJR160" s="679"/>
      <c r="AJS160" s="679"/>
      <c r="AJT160" s="679"/>
      <c r="AJU160" s="679"/>
      <c r="AJV160" s="679"/>
      <c r="AJW160" s="679"/>
      <c r="AJX160" s="679"/>
      <c r="AJY160" s="679"/>
      <c r="AJZ160" s="679"/>
      <c r="AKA160" s="679"/>
      <c r="AKB160" s="679"/>
      <c r="AKC160" s="679"/>
      <c r="AKD160" s="679"/>
      <c r="AKE160" s="679"/>
      <c r="AKF160" s="679"/>
      <c r="AKG160" s="679"/>
      <c r="AKH160" s="679"/>
      <c r="AKI160" s="679"/>
      <c r="AKJ160" s="679"/>
      <c r="AKK160" s="679"/>
      <c r="AKL160" s="679"/>
      <c r="AKM160" s="679"/>
      <c r="AKN160" s="679"/>
      <c r="AKO160" s="679"/>
      <c r="AKP160" s="679"/>
      <c r="AKQ160" s="679"/>
      <c r="AKR160" s="679"/>
      <c r="AKS160" s="679"/>
      <c r="AKT160" s="679"/>
      <c r="AKU160" s="679"/>
      <c r="AKV160" s="679"/>
      <c r="AKW160" s="679"/>
      <c r="AKX160" s="679"/>
      <c r="AKY160" s="679"/>
      <c r="AKZ160" s="679"/>
      <c r="ALA160" s="679"/>
      <c r="ALB160" s="679"/>
      <c r="ALC160" s="679"/>
      <c r="ALD160" s="679"/>
      <c r="ALE160" s="679"/>
      <c r="ALF160" s="679"/>
      <c r="ALG160" s="679"/>
      <c r="ALH160" s="679"/>
      <c r="ALI160" s="679"/>
      <c r="ALJ160" s="679"/>
      <c r="ALK160" s="679"/>
      <c r="ALL160" s="679"/>
      <c r="ALM160" s="679"/>
      <c r="ALN160" s="679"/>
      <c r="ALO160" s="679"/>
      <c r="ALP160" s="679"/>
      <c r="ALQ160" s="679"/>
      <c r="ALR160" s="679"/>
      <c r="ALS160" s="679"/>
      <c r="ALT160" s="679"/>
      <c r="ALU160" s="679"/>
      <c r="ALV160" s="679"/>
      <c r="ALW160" s="679"/>
      <c r="ALX160" s="679"/>
      <c r="ALY160" s="679"/>
      <c r="ALZ160" s="679"/>
      <c r="AMA160" s="679"/>
      <c r="AMB160" s="679"/>
      <c r="AMC160" s="679"/>
      <c r="AMD160" s="679"/>
      <c r="AME160" s="679"/>
      <c r="AMF160" s="679"/>
      <c r="AMG160" s="679"/>
      <c r="AMH160" s="679"/>
      <c r="AMI160" s="679"/>
      <c r="AMJ160" s="679"/>
      <c r="AMK160" s="679"/>
      <c r="AML160" s="679"/>
      <c r="AMM160" s="679"/>
      <c r="AMN160" s="679"/>
      <c r="AMO160" s="679"/>
      <c r="AMP160" s="679"/>
      <c r="AMQ160" s="679"/>
      <c r="AMR160" s="679"/>
      <c r="AMS160" s="679"/>
      <c r="AMT160" s="679"/>
      <c r="AMU160" s="679"/>
      <c r="AMV160" s="679"/>
      <c r="AMW160" s="679"/>
      <c r="AMX160" s="679"/>
      <c r="AMY160" s="679"/>
      <c r="AMZ160" s="679"/>
      <c r="ANA160" s="679"/>
      <c r="ANB160" s="679"/>
      <c r="ANC160" s="679"/>
      <c r="AND160" s="679"/>
      <c r="ANE160" s="679"/>
      <c r="ANF160" s="679"/>
      <c r="ANG160" s="679"/>
      <c r="ANH160" s="679"/>
      <c r="ANI160" s="679"/>
      <c r="ANJ160" s="679"/>
      <c r="ANK160" s="679"/>
      <c r="ANL160" s="679"/>
      <c r="ANM160" s="679"/>
      <c r="ANN160" s="679"/>
      <c r="ANO160" s="679"/>
      <c r="ANP160" s="679"/>
      <c r="ANQ160" s="679"/>
      <c r="ANR160" s="679"/>
      <c r="ANS160" s="679"/>
      <c r="ANT160" s="679"/>
      <c r="ANU160" s="679"/>
      <c r="ANV160" s="679"/>
      <c r="ANW160" s="679"/>
      <c r="ANX160" s="679"/>
      <c r="ANY160" s="679"/>
      <c r="ANZ160" s="679"/>
      <c r="AOA160" s="679"/>
      <c r="AOB160" s="679"/>
      <c r="AOC160" s="679"/>
      <c r="AOD160" s="679"/>
      <c r="AOE160" s="679"/>
      <c r="AOF160" s="679"/>
      <c r="AOG160" s="679"/>
      <c r="AOH160" s="679"/>
      <c r="AOI160" s="679"/>
      <c r="AOJ160" s="679"/>
      <c r="AOK160" s="679"/>
      <c r="AOL160" s="679"/>
      <c r="AOM160" s="679"/>
      <c r="AON160" s="679"/>
      <c r="AOO160" s="679"/>
      <c r="AOP160" s="679"/>
      <c r="AOQ160" s="679"/>
      <c r="AOR160" s="679"/>
      <c r="AOS160" s="679"/>
      <c r="AOT160" s="679"/>
      <c r="AOU160" s="679"/>
      <c r="AOV160" s="679"/>
      <c r="AOW160" s="679"/>
      <c r="AOX160" s="679"/>
      <c r="AOY160" s="679"/>
      <c r="AOZ160" s="679"/>
      <c r="APA160" s="679"/>
      <c r="APB160" s="679"/>
      <c r="APC160" s="679"/>
      <c r="APD160" s="679"/>
      <c r="APE160" s="679"/>
      <c r="APF160" s="679"/>
      <c r="APG160" s="679"/>
      <c r="APH160" s="679"/>
      <c r="API160" s="679"/>
      <c r="APJ160" s="679"/>
      <c r="APK160" s="679"/>
      <c r="APL160" s="679"/>
      <c r="APM160" s="679"/>
      <c r="APN160" s="679"/>
      <c r="APO160" s="679"/>
      <c r="APP160" s="679"/>
      <c r="APQ160" s="679"/>
      <c r="APR160" s="679"/>
      <c r="APS160" s="679"/>
      <c r="APT160" s="679"/>
      <c r="APU160" s="679"/>
      <c r="APV160" s="679"/>
      <c r="APW160" s="679"/>
      <c r="APX160" s="679"/>
      <c r="APY160" s="679"/>
      <c r="APZ160" s="679"/>
      <c r="AQA160" s="679"/>
      <c r="AQB160" s="679"/>
      <c r="AQC160" s="679"/>
      <c r="AQD160" s="679"/>
      <c r="AQE160" s="679"/>
      <c r="AQF160" s="679"/>
      <c r="AQG160" s="679"/>
      <c r="AQH160" s="679"/>
      <c r="AQI160" s="679"/>
      <c r="AQJ160" s="679"/>
      <c r="AQK160" s="679"/>
      <c r="AQL160" s="679"/>
      <c r="AQM160" s="679"/>
      <c r="AQN160" s="679"/>
      <c r="AQO160" s="679"/>
      <c r="AQP160" s="679"/>
      <c r="AQQ160" s="679"/>
      <c r="AQR160" s="679"/>
      <c r="AQS160" s="679"/>
      <c r="AQT160" s="679"/>
      <c r="AQU160" s="679"/>
      <c r="AQV160" s="679"/>
      <c r="AQW160" s="679"/>
      <c r="AQX160" s="679"/>
      <c r="AQY160" s="679"/>
      <c r="AQZ160" s="679"/>
      <c r="ARA160" s="679"/>
      <c r="ARB160" s="679"/>
      <c r="ARC160" s="679"/>
      <c r="ARD160" s="679"/>
      <c r="ARE160" s="679"/>
      <c r="ARF160" s="679"/>
      <c r="ARG160" s="679"/>
      <c r="ARH160" s="679"/>
      <c r="ARI160" s="679"/>
      <c r="ARJ160" s="679"/>
      <c r="ARK160" s="679"/>
      <c r="ARL160" s="679"/>
      <c r="ARM160" s="679"/>
      <c r="ARN160" s="679"/>
      <c r="ARO160" s="679"/>
      <c r="ARP160" s="679"/>
      <c r="ARQ160" s="679"/>
      <c r="ARR160" s="679"/>
      <c r="ARS160" s="679"/>
      <c r="ART160" s="679"/>
      <c r="ARU160" s="679"/>
      <c r="ARV160" s="679"/>
      <c r="ARW160" s="679"/>
      <c r="ARX160" s="679"/>
      <c r="ARY160" s="679"/>
      <c r="ARZ160" s="679"/>
      <c r="ASA160" s="679"/>
      <c r="ASB160" s="679"/>
      <c r="ASC160" s="679"/>
      <c r="ASD160" s="679"/>
      <c r="ASE160" s="679"/>
      <c r="ASF160" s="679"/>
      <c r="ASG160" s="679"/>
      <c r="ASH160" s="679"/>
      <c r="ASI160" s="679"/>
      <c r="ASJ160" s="679"/>
      <c r="ASK160" s="679"/>
      <c r="ASL160" s="679"/>
      <c r="ASM160" s="679"/>
      <c r="ASN160" s="679"/>
      <c r="ASO160" s="679"/>
      <c r="ASP160" s="679"/>
      <c r="ASQ160" s="679"/>
      <c r="ASR160" s="679"/>
      <c r="ASS160" s="679"/>
      <c r="AST160" s="679"/>
      <c r="ASU160" s="679"/>
      <c r="ASV160" s="679"/>
      <c r="ASW160" s="679"/>
      <c r="ASX160" s="679"/>
      <c r="ASY160" s="679"/>
      <c r="ASZ160" s="679"/>
      <c r="ATA160" s="679"/>
      <c r="ATB160" s="679"/>
      <c r="ATC160" s="679"/>
      <c r="ATD160" s="679"/>
      <c r="ATE160" s="679"/>
      <c r="ATF160" s="679"/>
      <c r="ATG160" s="679"/>
      <c r="ATH160" s="679"/>
      <c r="ATI160" s="679"/>
      <c r="ATJ160" s="679"/>
      <c r="ATK160" s="679"/>
      <c r="ATL160" s="679"/>
      <c r="ATM160" s="679"/>
      <c r="ATN160" s="679"/>
      <c r="ATO160" s="679"/>
      <c r="ATP160" s="679"/>
      <c r="ATQ160" s="679"/>
      <c r="ATR160" s="679"/>
      <c r="ATS160" s="679"/>
      <c r="ATT160" s="679"/>
      <c r="ATU160" s="679"/>
      <c r="ATV160" s="679"/>
      <c r="ATW160" s="679"/>
      <c r="ATX160" s="679"/>
      <c r="ATY160" s="679"/>
      <c r="ATZ160" s="679"/>
      <c r="AUA160" s="679"/>
      <c r="AUB160" s="679"/>
      <c r="AUC160" s="679"/>
      <c r="AUD160" s="679"/>
      <c r="AUE160" s="679"/>
      <c r="AUF160" s="679"/>
      <c r="AUG160" s="679"/>
      <c r="AUH160" s="679"/>
      <c r="AUI160" s="679"/>
      <c r="AUJ160" s="679"/>
      <c r="AUK160" s="679"/>
      <c r="AUL160" s="679"/>
      <c r="AUM160" s="679"/>
      <c r="AUN160" s="679"/>
      <c r="AUO160" s="679"/>
      <c r="AUP160" s="679"/>
      <c r="AUQ160" s="679"/>
      <c r="AUR160" s="679"/>
      <c r="AUS160" s="679"/>
      <c r="AUT160" s="679"/>
      <c r="AUU160" s="679"/>
      <c r="AUV160" s="679"/>
      <c r="AUW160" s="679"/>
      <c r="AUX160" s="679"/>
      <c r="AUY160" s="679"/>
      <c r="AUZ160" s="679"/>
      <c r="AVA160" s="679"/>
      <c r="AVB160" s="679"/>
      <c r="AVC160" s="679"/>
      <c r="AVD160" s="679"/>
      <c r="AVE160" s="679"/>
      <c r="AVF160" s="679"/>
      <c r="AVG160" s="679"/>
      <c r="AVH160" s="679"/>
      <c r="AVI160" s="679"/>
      <c r="AVJ160" s="679"/>
      <c r="AVK160" s="679"/>
      <c r="AVL160" s="679"/>
      <c r="AVM160" s="679"/>
      <c r="AVN160" s="679"/>
      <c r="AVO160" s="679"/>
      <c r="AVP160" s="679"/>
      <c r="AVQ160" s="679"/>
      <c r="AVR160" s="679"/>
      <c r="AVS160" s="679"/>
      <c r="AVT160" s="679"/>
      <c r="AVU160" s="679"/>
      <c r="AVV160" s="679"/>
      <c r="AVW160" s="679"/>
      <c r="AVX160" s="679"/>
      <c r="AVY160" s="679"/>
      <c r="AVZ160" s="679"/>
      <c r="AWA160" s="679"/>
      <c r="AWB160" s="679"/>
      <c r="AWC160" s="679"/>
      <c r="AWD160" s="679"/>
      <c r="AWE160" s="679"/>
      <c r="AWF160" s="679"/>
      <c r="AWG160" s="679"/>
      <c r="AWH160" s="679"/>
      <c r="AWI160" s="679"/>
      <c r="AWJ160" s="679"/>
      <c r="AWK160" s="679"/>
      <c r="AWL160" s="679"/>
      <c r="AWM160" s="679"/>
      <c r="AWN160" s="679"/>
      <c r="AWO160" s="679"/>
      <c r="AWP160" s="679"/>
      <c r="AWQ160" s="679"/>
      <c r="AWR160" s="679"/>
      <c r="AWS160" s="679"/>
      <c r="AWT160" s="679"/>
      <c r="AWU160" s="679"/>
      <c r="AWV160" s="679"/>
      <c r="AWW160" s="679"/>
      <c r="AWX160" s="679"/>
      <c r="AWY160" s="679"/>
      <c r="AWZ160" s="679"/>
      <c r="AXA160" s="679"/>
      <c r="AXB160" s="679"/>
      <c r="AXC160" s="679"/>
      <c r="AXD160" s="679"/>
      <c r="AXE160" s="679"/>
      <c r="AXF160" s="679"/>
      <c r="AXG160" s="679"/>
      <c r="AXH160" s="679"/>
      <c r="AXI160" s="679"/>
      <c r="AXJ160" s="679"/>
      <c r="AXK160" s="679"/>
      <c r="AXL160" s="679"/>
      <c r="AXM160" s="679"/>
      <c r="AXN160" s="679"/>
      <c r="AXO160" s="679"/>
      <c r="AXP160" s="679"/>
      <c r="AXQ160" s="679"/>
      <c r="AXR160" s="679"/>
      <c r="AXS160" s="679"/>
      <c r="AXT160" s="679"/>
      <c r="AXU160" s="679"/>
      <c r="AXV160" s="679"/>
      <c r="AXW160" s="679"/>
      <c r="AXX160" s="679"/>
      <c r="AXY160" s="679"/>
      <c r="AXZ160" s="679"/>
      <c r="AYA160" s="679"/>
      <c r="AYB160" s="679"/>
      <c r="AYC160" s="679"/>
      <c r="AYD160" s="679"/>
      <c r="AYE160" s="679"/>
      <c r="AYF160" s="679"/>
      <c r="AYG160" s="679"/>
      <c r="AYH160" s="679"/>
      <c r="AYI160" s="679"/>
      <c r="AYJ160" s="679"/>
      <c r="AYK160" s="679"/>
      <c r="AYL160" s="679"/>
      <c r="AYM160" s="679"/>
      <c r="AYN160" s="679"/>
      <c r="AYO160" s="679"/>
      <c r="AYP160" s="679"/>
      <c r="AYQ160" s="679"/>
      <c r="AYR160" s="679"/>
      <c r="AYS160" s="679"/>
      <c r="AYT160" s="679"/>
      <c r="AYU160" s="679"/>
      <c r="AYV160" s="679"/>
      <c r="AYW160" s="679"/>
      <c r="AYX160" s="679"/>
      <c r="AYY160" s="679"/>
      <c r="AYZ160" s="679"/>
      <c r="AZA160" s="679"/>
      <c r="AZB160" s="679"/>
      <c r="AZC160" s="679"/>
      <c r="AZD160" s="679"/>
      <c r="AZE160" s="679"/>
      <c r="AZF160" s="679"/>
      <c r="AZG160" s="679"/>
      <c r="AZH160" s="679"/>
      <c r="AZI160" s="679"/>
      <c r="AZJ160" s="679"/>
      <c r="AZK160" s="679"/>
      <c r="AZL160" s="679"/>
      <c r="AZM160" s="679"/>
      <c r="AZN160" s="679"/>
      <c r="AZO160" s="679"/>
      <c r="AZP160" s="679"/>
      <c r="AZQ160" s="679"/>
      <c r="AZR160" s="679"/>
      <c r="AZS160" s="679"/>
      <c r="AZT160" s="679"/>
      <c r="AZU160" s="679"/>
      <c r="AZV160" s="679"/>
      <c r="AZW160" s="679"/>
      <c r="AZX160" s="679"/>
      <c r="AZY160" s="679"/>
      <c r="AZZ160" s="679"/>
      <c r="BAA160" s="679"/>
      <c r="BAB160" s="679"/>
      <c r="BAC160" s="679"/>
      <c r="BAD160" s="679"/>
      <c r="BAE160" s="679"/>
      <c r="BAF160" s="679"/>
      <c r="BAG160" s="679"/>
      <c r="BAH160" s="679"/>
      <c r="BAI160" s="679"/>
      <c r="BAJ160" s="679"/>
      <c r="BAK160" s="679"/>
      <c r="BAL160" s="679"/>
      <c r="BAM160" s="679"/>
      <c r="BAN160" s="679"/>
      <c r="BAO160" s="679"/>
      <c r="BAP160" s="679"/>
      <c r="BAQ160" s="679"/>
      <c r="BAR160" s="679"/>
      <c r="BAS160" s="679"/>
      <c r="BAT160" s="679"/>
      <c r="BAU160" s="679"/>
      <c r="BAV160" s="679"/>
      <c r="BAW160" s="679"/>
      <c r="BAX160" s="679"/>
      <c r="BAY160" s="679"/>
      <c r="BAZ160" s="679"/>
      <c r="BBA160" s="679"/>
      <c r="BBB160" s="679"/>
      <c r="BBC160" s="679"/>
      <c r="BBD160" s="679"/>
      <c r="BBE160" s="679"/>
      <c r="BBF160" s="679"/>
      <c r="BBG160" s="679"/>
      <c r="BBH160" s="679"/>
      <c r="BBI160" s="679"/>
      <c r="BBJ160" s="679"/>
      <c r="BBK160" s="679"/>
      <c r="BBL160" s="679"/>
      <c r="BBM160" s="679"/>
      <c r="BBN160" s="679"/>
      <c r="BBO160" s="679"/>
      <c r="BBP160" s="679"/>
      <c r="BBQ160" s="679"/>
      <c r="BBR160" s="679"/>
      <c r="BBS160" s="679"/>
      <c r="BBT160" s="679"/>
      <c r="BBU160" s="679"/>
      <c r="BBV160" s="679"/>
      <c r="BBW160" s="679"/>
      <c r="BBX160" s="679"/>
      <c r="BBY160" s="679"/>
      <c r="BBZ160" s="679"/>
      <c r="BCA160" s="679"/>
      <c r="BCB160" s="679"/>
      <c r="BCC160" s="679"/>
      <c r="BCD160" s="679"/>
      <c r="BCE160" s="679"/>
      <c r="BCF160" s="679"/>
      <c r="BCG160" s="679"/>
      <c r="BCH160" s="679"/>
      <c r="BCI160" s="679"/>
      <c r="BCJ160" s="679"/>
      <c r="BCK160" s="679"/>
      <c r="BCL160" s="679"/>
      <c r="BCM160" s="679"/>
      <c r="BCN160" s="679"/>
      <c r="BCO160" s="679"/>
      <c r="BCP160" s="679"/>
      <c r="BCQ160" s="679"/>
      <c r="BCR160" s="679"/>
      <c r="BCS160" s="679"/>
      <c r="BCT160" s="679"/>
      <c r="BCU160" s="679"/>
      <c r="BCV160" s="679"/>
      <c r="BCW160" s="679"/>
      <c r="BCX160" s="679"/>
      <c r="BCY160" s="679"/>
      <c r="BCZ160" s="679"/>
      <c r="BDA160" s="679"/>
      <c r="BDB160" s="679"/>
      <c r="BDC160" s="679"/>
      <c r="BDD160" s="679"/>
      <c r="BDE160" s="679"/>
      <c r="BDF160" s="679"/>
      <c r="BDG160" s="679"/>
      <c r="BDH160" s="679"/>
      <c r="BDI160" s="679"/>
      <c r="BDJ160" s="679"/>
      <c r="BDK160" s="679"/>
      <c r="BDL160" s="679"/>
      <c r="BDM160" s="679"/>
      <c r="BDN160" s="679"/>
      <c r="BDO160" s="679"/>
      <c r="BDP160" s="679"/>
      <c r="BDQ160" s="679"/>
      <c r="BDR160" s="679"/>
      <c r="BDS160" s="679"/>
      <c r="BDT160" s="679"/>
      <c r="BDU160" s="679"/>
      <c r="BDV160" s="679"/>
      <c r="BDW160" s="679"/>
      <c r="BDX160" s="679"/>
      <c r="BDY160" s="679"/>
      <c r="BDZ160" s="679"/>
      <c r="BEA160" s="679"/>
      <c r="BEB160" s="679"/>
      <c r="BEC160" s="679"/>
      <c r="BED160" s="679"/>
      <c r="BEE160" s="679"/>
      <c r="BEF160" s="679"/>
      <c r="BEG160" s="679"/>
      <c r="BEH160" s="679"/>
      <c r="BEI160" s="679"/>
      <c r="BEJ160" s="679"/>
      <c r="BEK160" s="679"/>
      <c r="BEL160" s="679"/>
      <c r="BEM160" s="679"/>
      <c r="BEN160" s="679"/>
      <c r="BEO160" s="679"/>
      <c r="BEP160" s="679"/>
      <c r="BEQ160" s="679"/>
      <c r="BER160" s="679"/>
      <c r="BES160" s="679"/>
      <c r="BET160" s="679"/>
      <c r="BEU160" s="679"/>
      <c r="BEV160" s="679"/>
      <c r="BEW160" s="679"/>
      <c r="BEX160" s="679"/>
      <c r="BEY160" s="679"/>
      <c r="BEZ160" s="679"/>
      <c r="BFA160" s="679"/>
      <c r="BFB160" s="679"/>
      <c r="BFC160" s="679"/>
      <c r="BFD160" s="679"/>
      <c r="BFE160" s="679"/>
      <c r="BFF160" s="679"/>
      <c r="BFG160" s="679"/>
      <c r="BFH160" s="679"/>
      <c r="BFI160" s="679"/>
      <c r="BFJ160" s="679"/>
      <c r="BFK160" s="679"/>
      <c r="BFL160" s="679"/>
      <c r="BFM160" s="679"/>
      <c r="BFN160" s="679"/>
      <c r="BFO160" s="679"/>
      <c r="BFP160" s="679"/>
      <c r="BFQ160" s="679"/>
      <c r="BFR160" s="679"/>
      <c r="BFS160" s="679"/>
      <c r="BFT160" s="679"/>
      <c r="BFU160" s="679"/>
      <c r="BFV160" s="679"/>
      <c r="BFW160" s="679"/>
      <c r="BFX160" s="679"/>
      <c r="BFY160" s="679"/>
      <c r="BFZ160" s="679"/>
      <c r="BGA160" s="679"/>
      <c r="BGB160" s="679"/>
      <c r="BGC160" s="679"/>
      <c r="BGD160" s="679"/>
      <c r="BGE160" s="679"/>
      <c r="BGF160" s="679"/>
      <c r="BGG160" s="679"/>
      <c r="BGH160" s="679"/>
      <c r="BGI160" s="679"/>
      <c r="BGJ160" s="679"/>
      <c r="BGK160" s="679"/>
      <c r="BGL160" s="679"/>
      <c r="BGM160" s="679"/>
      <c r="BGN160" s="679"/>
      <c r="BGO160" s="679"/>
      <c r="BGP160" s="679"/>
      <c r="BGQ160" s="679"/>
      <c r="BGR160" s="679"/>
      <c r="BGS160" s="679"/>
      <c r="BGT160" s="679"/>
      <c r="BGU160" s="679"/>
      <c r="BGV160" s="679"/>
      <c r="BGW160" s="679"/>
      <c r="BGX160" s="679"/>
      <c r="BGY160" s="679"/>
      <c r="BGZ160" s="679"/>
      <c r="BHA160" s="679"/>
      <c r="BHB160" s="679"/>
      <c r="BHC160" s="679"/>
      <c r="BHD160" s="679"/>
      <c r="BHE160" s="679"/>
      <c r="BHF160" s="679"/>
      <c r="BHG160" s="679"/>
      <c r="BHH160" s="679"/>
      <c r="BHI160" s="679"/>
      <c r="BHJ160" s="679"/>
      <c r="BHK160" s="679"/>
      <c r="BHL160" s="679"/>
      <c r="BHM160" s="679"/>
      <c r="BHN160" s="679"/>
      <c r="BHO160" s="679"/>
      <c r="BHP160" s="679"/>
      <c r="BHQ160" s="679"/>
      <c r="BHR160" s="679"/>
      <c r="BHS160" s="679"/>
      <c r="BHT160" s="679"/>
      <c r="BHU160" s="679"/>
      <c r="BHV160" s="679"/>
      <c r="BHW160" s="679"/>
      <c r="BHX160" s="679"/>
      <c r="BHY160" s="679"/>
      <c r="BHZ160" s="679"/>
      <c r="BIA160" s="679"/>
      <c r="BIB160" s="679"/>
      <c r="BIC160" s="679"/>
      <c r="BID160" s="679"/>
      <c r="BIE160" s="679"/>
      <c r="BIF160" s="679"/>
      <c r="BIG160" s="679"/>
      <c r="BIH160" s="679"/>
      <c r="BII160" s="679"/>
      <c r="BIJ160" s="679"/>
      <c r="BIK160" s="679"/>
      <c r="BIL160" s="679"/>
      <c r="BIM160" s="679"/>
      <c r="BIN160" s="679"/>
      <c r="BIO160" s="679"/>
      <c r="BIP160" s="679"/>
      <c r="BIQ160" s="679"/>
      <c r="BIR160" s="679"/>
      <c r="BIS160" s="679"/>
      <c r="BIT160" s="679"/>
      <c r="BIU160" s="679"/>
      <c r="BIV160" s="679"/>
      <c r="BIW160" s="679"/>
      <c r="BIX160" s="679"/>
      <c r="BIY160" s="679"/>
      <c r="BIZ160" s="679"/>
      <c r="BJA160" s="679"/>
      <c r="BJB160" s="679"/>
      <c r="BJC160" s="679"/>
      <c r="BJD160" s="679"/>
      <c r="BJE160" s="679"/>
      <c r="BJF160" s="679"/>
      <c r="BJG160" s="679"/>
      <c r="BJH160" s="679"/>
      <c r="BJI160" s="679"/>
      <c r="BJJ160" s="679"/>
      <c r="BJK160" s="679"/>
      <c r="BJL160" s="679"/>
      <c r="BJM160" s="679"/>
      <c r="BJN160" s="679"/>
      <c r="BJO160" s="679"/>
      <c r="BJP160" s="679"/>
      <c r="BJQ160" s="679"/>
      <c r="BJR160" s="679"/>
      <c r="BJS160" s="679"/>
      <c r="BJT160" s="679"/>
      <c r="BJU160" s="679"/>
      <c r="BJV160" s="679"/>
      <c r="BJW160" s="679"/>
      <c r="BJX160" s="679"/>
      <c r="BJY160" s="679"/>
      <c r="BJZ160" s="679"/>
      <c r="BKA160" s="679"/>
      <c r="BKB160" s="679"/>
      <c r="BKC160" s="679"/>
      <c r="BKD160" s="679"/>
      <c r="BKE160" s="679"/>
      <c r="BKF160" s="679"/>
      <c r="BKG160" s="679"/>
      <c r="BKH160" s="679"/>
      <c r="BKI160" s="679"/>
      <c r="BKJ160" s="679"/>
      <c r="BKK160" s="679"/>
      <c r="BKL160" s="679"/>
      <c r="BKM160" s="679"/>
      <c r="BKN160" s="679"/>
      <c r="BKO160" s="679"/>
      <c r="BKP160" s="679"/>
      <c r="BKQ160" s="679"/>
      <c r="BKR160" s="679"/>
      <c r="BKS160" s="679"/>
      <c r="BKT160" s="679"/>
      <c r="BKU160" s="679"/>
      <c r="BKV160" s="679"/>
      <c r="BKW160" s="679"/>
      <c r="BKX160" s="679"/>
      <c r="BKY160" s="679"/>
      <c r="BKZ160" s="679"/>
      <c r="BLA160" s="679"/>
      <c r="BLB160" s="679"/>
      <c r="BLC160" s="679"/>
      <c r="BLD160" s="679"/>
      <c r="BLE160" s="679"/>
      <c r="BLF160" s="679"/>
      <c r="BLG160" s="679"/>
      <c r="BLH160" s="679"/>
      <c r="BLI160" s="679"/>
      <c r="BLJ160" s="679"/>
      <c r="BLK160" s="679"/>
      <c r="BLL160" s="679"/>
      <c r="BLM160" s="679"/>
      <c r="BLN160" s="679"/>
      <c r="BLO160" s="679"/>
      <c r="BLP160" s="679"/>
      <c r="BLQ160" s="679"/>
      <c r="BLR160" s="679"/>
      <c r="BLS160" s="679"/>
      <c r="BLT160" s="679"/>
      <c r="BLU160" s="679"/>
      <c r="BLV160" s="679"/>
      <c r="BLW160" s="679"/>
      <c r="BLX160" s="679"/>
      <c r="BLY160" s="679"/>
      <c r="BLZ160" s="679"/>
      <c r="BMA160" s="679"/>
      <c r="BMB160" s="679"/>
      <c r="BMC160" s="679"/>
      <c r="BMD160" s="679"/>
      <c r="BME160" s="679"/>
      <c r="BMF160" s="679"/>
      <c r="BMG160" s="679"/>
      <c r="BMH160" s="679"/>
      <c r="BMI160" s="679"/>
      <c r="BMJ160" s="679"/>
      <c r="BMK160" s="679"/>
      <c r="BML160" s="679"/>
      <c r="BMM160" s="679"/>
      <c r="BMN160" s="679"/>
      <c r="BMO160" s="679"/>
      <c r="BMP160" s="679"/>
      <c r="BMQ160" s="679"/>
      <c r="BMR160" s="679"/>
      <c r="BMS160" s="679"/>
      <c r="BMT160" s="679"/>
      <c r="BMU160" s="679"/>
      <c r="BMV160" s="679"/>
      <c r="BMW160" s="679"/>
      <c r="BMX160" s="679"/>
      <c r="BMY160" s="679"/>
      <c r="BMZ160" s="679"/>
      <c r="BNA160" s="679"/>
      <c r="BNB160" s="679"/>
      <c r="BNC160" s="679"/>
      <c r="BND160" s="679"/>
      <c r="BNE160" s="679"/>
      <c r="BNF160" s="679"/>
      <c r="BNG160" s="679"/>
      <c r="BNH160" s="679"/>
      <c r="BNI160" s="679"/>
      <c r="BNJ160" s="679"/>
      <c r="BNK160" s="679"/>
      <c r="BNL160" s="679"/>
      <c r="BNM160" s="679"/>
      <c r="BNN160" s="679"/>
      <c r="BNO160" s="679"/>
      <c r="BNP160" s="679"/>
      <c r="BNQ160" s="679"/>
      <c r="BNR160" s="679"/>
      <c r="BNS160" s="679"/>
      <c r="BNT160" s="679"/>
      <c r="BNU160" s="679"/>
      <c r="BNV160" s="679"/>
      <c r="BNW160" s="679"/>
      <c r="BNX160" s="679"/>
      <c r="BNY160" s="679"/>
      <c r="BNZ160" s="679"/>
      <c r="BOA160" s="679"/>
      <c r="BOB160" s="679"/>
      <c r="BOC160" s="679"/>
      <c r="BOD160" s="679"/>
      <c r="BOE160" s="679"/>
      <c r="BOF160" s="679"/>
      <c r="BOG160" s="679"/>
      <c r="BOH160" s="679"/>
      <c r="BOI160" s="679"/>
      <c r="BOJ160" s="679"/>
      <c r="BOK160" s="679"/>
      <c r="BOL160" s="679"/>
      <c r="BOM160" s="679"/>
      <c r="BON160" s="679"/>
      <c r="BOO160" s="679"/>
      <c r="BOP160" s="679"/>
      <c r="BOQ160" s="679"/>
      <c r="BOR160" s="679"/>
      <c r="BOS160" s="679"/>
      <c r="BOT160" s="679"/>
      <c r="BOU160" s="679"/>
      <c r="BOV160" s="679"/>
      <c r="BOW160" s="679"/>
      <c r="BOX160" s="679"/>
      <c r="BOY160" s="679"/>
      <c r="BOZ160" s="679"/>
      <c r="BPA160" s="679"/>
      <c r="BPB160" s="679"/>
      <c r="BPC160" s="679"/>
      <c r="BPD160" s="679"/>
      <c r="BPE160" s="679"/>
      <c r="BPF160" s="679"/>
      <c r="BPG160" s="679"/>
      <c r="BPH160" s="679"/>
      <c r="BPI160" s="679"/>
      <c r="BPJ160" s="679"/>
      <c r="BPK160" s="679"/>
      <c r="BPL160" s="679"/>
      <c r="BPM160" s="679"/>
      <c r="BPN160" s="679"/>
      <c r="BPO160" s="679"/>
      <c r="BPP160" s="679"/>
      <c r="BPQ160" s="679"/>
      <c r="BPR160" s="679"/>
      <c r="BPS160" s="679"/>
      <c r="BPT160" s="679"/>
      <c r="BPU160" s="679"/>
      <c r="BPV160" s="679"/>
      <c r="BPW160" s="679"/>
      <c r="BPX160" s="679"/>
      <c r="BPY160" s="679"/>
      <c r="BPZ160" s="679"/>
      <c r="BQA160" s="679"/>
      <c r="BQB160" s="679"/>
      <c r="BQC160" s="679"/>
      <c r="BQD160" s="679"/>
      <c r="BQE160" s="679"/>
      <c r="BQF160" s="679"/>
      <c r="BQG160" s="679"/>
      <c r="BQH160" s="679"/>
      <c r="BQI160" s="679"/>
      <c r="BQJ160" s="679"/>
      <c r="BQK160" s="679"/>
      <c r="BQL160" s="679"/>
      <c r="BQM160" s="679"/>
      <c r="BQN160" s="679"/>
      <c r="BQO160" s="679"/>
      <c r="BQP160" s="679"/>
      <c r="BQQ160" s="679"/>
      <c r="BQR160" s="679"/>
      <c r="BQS160" s="679"/>
      <c r="BQT160" s="679"/>
      <c r="BQU160" s="679"/>
      <c r="BQV160" s="679"/>
      <c r="BQW160" s="679"/>
      <c r="BQX160" s="679"/>
      <c r="BQY160" s="679"/>
      <c r="BQZ160" s="679"/>
      <c r="BRA160" s="679"/>
      <c r="BRB160" s="679"/>
      <c r="BRC160" s="679"/>
      <c r="BRD160" s="679"/>
      <c r="BRE160" s="679"/>
      <c r="BRF160" s="679"/>
      <c r="BRG160" s="679"/>
      <c r="BRH160" s="679"/>
      <c r="BRI160" s="679"/>
      <c r="BRJ160" s="679"/>
      <c r="BRK160" s="679"/>
      <c r="BRL160" s="679"/>
      <c r="BRM160" s="679"/>
      <c r="BRN160" s="679"/>
      <c r="BRO160" s="679"/>
      <c r="BRP160" s="679"/>
      <c r="BRQ160" s="679"/>
      <c r="BRR160" s="679"/>
      <c r="BRS160" s="679"/>
      <c r="BRT160" s="679"/>
      <c r="BRU160" s="679"/>
      <c r="BRV160" s="679"/>
      <c r="BRW160" s="679"/>
      <c r="BRX160" s="679"/>
      <c r="BRY160" s="679"/>
      <c r="BRZ160" s="679"/>
      <c r="BSA160" s="679"/>
      <c r="BSB160" s="679"/>
      <c r="BSC160" s="679"/>
      <c r="BSD160" s="679"/>
      <c r="BSE160" s="679"/>
      <c r="BSF160" s="679"/>
      <c r="BSG160" s="679"/>
      <c r="BSH160" s="679"/>
      <c r="BSI160" s="679"/>
      <c r="BSJ160" s="679"/>
      <c r="BSK160" s="679"/>
      <c r="BSL160" s="679"/>
      <c r="BSM160" s="679"/>
      <c r="BSN160" s="679"/>
      <c r="BSO160" s="679"/>
      <c r="BSP160" s="679"/>
      <c r="BSQ160" s="679"/>
      <c r="BSR160" s="679"/>
      <c r="BSS160" s="679"/>
      <c r="BST160" s="679"/>
      <c r="BSU160" s="679"/>
      <c r="BSV160" s="679"/>
      <c r="BSW160" s="679"/>
      <c r="BSX160" s="679"/>
      <c r="BSY160" s="679"/>
      <c r="BSZ160" s="679"/>
      <c r="BTA160" s="679"/>
      <c r="BTB160" s="679"/>
      <c r="BTC160" s="679"/>
      <c r="BTD160" s="679"/>
      <c r="BTE160" s="679"/>
      <c r="BTF160" s="679"/>
      <c r="BTG160" s="679"/>
      <c r="BTH160" s="679"/>
      <c r="BTI160" s="679"/>
      <c r="BTJ160" s="679"/>
      <c r="BTK160" s="679"/>
      <c r="BTL160" s="679"/>
      <c r="BTM160" s="679"/>
      <c r="BTN160" s="679"/>
      <c r="BTO160" s="679"/>
      <c r="BTP160" s="679"/>
      <c r="BTQ160" s="679"/>
      <c r="BTR160" s="679"/>
      <c r="BTS160" s="679"/>
      <c r="BTT160" s="679"/>
      <c r="BTU160" s="679"/>
      <c r="BTV160" s="679"/>
      <c r="BTW160" s="679"/>
      <c r="BTX160" s="679"/>
      <c r="BTY160" s="679"/>
      <c r="BTZ160" s="679"/>
      <c r="BUA160" s="679"/>
      <c r="BUB160" s="679"/>
      <c r="BUC160" s="679"/>
      <c r="BUD160" s="679"/>
      <c r="BUE160" s="679"/>
      <c r="BUF160" s="679"/>
      <c r="BUG160" s="679"/>
      <c r="BUH160" s="679"/>
      <c r="BUI160" s="679"/>
      <c r="BUJ160" s="679"/>
      <c r="BUK160" s="679"/>
      <c r="BUL160" s="679"/>
      <c r="BUM160" s="679"/>
      <c r="BUN160" s="679"/>
      <c r="BUO160" s="679"/>
      <c r="BUP160" s="679"/>
      <c r="BUQ160" s="679"/>
      <c r="BUR160" s="679"/>
      <c r="BUS160" s="679"/>
      <c r="BUT160" s="679"/>
      <c r="BUU160" s="679"/>
      <c r="BUV160" s="679"/>
      <c r="BUW160" s="679"/>
      <c r="BUX160" s="679"/>
      <c r="BUY160" s="679"/>
      <c r="BUZ160" s="679"/>
      <c r="BVA160" s="679"/>
      <c r="BVB160" s="679"/>
      <c r="BVC160" s="679"/>
      <c r="BVD160" s="679"/>
      <c r="BVE160" s="679"/>
      <c r="BVF160" s="679"/>
      <c r="BVG160" s="679"/>
      <c r="BVH160" s="679"/>
      <c r="BVI160" s="679"/>
      <c r="BVJ160" s="679"/>
      <c r="BVK160" s="679"/>
      <c r="BVL160" s="679"/>
      <c r="BVM160" s="679"/>
      <c r="BVN160" s="679"/>
      <c r="BVO160" s="679"/>
      <c r="BVP160" s="679"/>
      <c r="BVQ160" s="679"/>
      <c r="BVR160" s="679"/>
      <c r="BVS160" s="679"/>
      <c r="BVT160" s="679"/>
      <c r="BVU160" s="679"/>
      <c r="BVV160" s="679"/>
      <c r="BVW160" s="679"/>
      <c r="BVX160" s="679"/>
      <c r="BVY160" s="679"/>
      <c r="BVZ160" s="679"/>
      <c r="BWA160" s="679"/>
      <c r="BWB160" s="679"/>
      <c r="BWC160" s="679"/>
      <c r="BWD160" s="679"/>
      <c r="BWE160" s="679"/>
      <c r="BWF160" s="679"/>
      <c r="BWG160" s="679"/>
      <c r="BWH160" s="679"/>
      <c r="BWI160" s="679"/>
      <c r="BWJ160" s="679"/>
      <c r="BWK160" s="679"/>
      <c r="BWL160" s="679"/>
      <c r="BWM160" s="679"/>
      <c r="BWN160" s="679"/>
      <c r="BWO160" s="679"/>
      <c r="BWP160" s="679"/>
      <c r="BWQ160" s="679"/>
      <c r="BWR160" s="679"/>
      <c r="BWS160" s="679"/>
      <c r="BWT160" s="679"/>
      <c r="BWU160" s="679"/>
      <c r="BWV160" s="679"/>
      <c r="BWW160" s="679"/>
      <c r="BWX160" s="679"/>
      <c r="BWY160" s="679"/>
      <c r="BWZ160" s="679"/>
      <c r="BXA160" s="679"/>
      <c r="BXB160" s="679"/>
      <c r="BXC160" s="679"/>
      <c r="BXD160" s="679"/>
      <c r="BXE160" s="679"/>
      <c r="BXF160" s="679"/>
      <c r="BXG160" s="679"/>
      <c r="BXH160" s="679"/>
      <c r="BXI160" s="679"/>
      <c r="BXJ160" s="679"/>
      <c r="BXK160" s="679"/>
      <c r="BXL160" s="679"/>
      <c r="BXM160" s="679"/>
      <c r="BXN160" s="679"/>
      <c r="BXO160" s="679"/>
      <c r="BXP160" s="679"/>
      <c r="BXQ160" s="679"/>
      <c r="BXR160" s="679"/>
      <c r="BXS160" s="679"/>
      <c r="BXT160" s="679"/>
      <c r="BXU160" s="679"/>
      <c r="BXV160" s="679"/>
      <c r="BXW160" s="679"/>
      <c r="BXX160" s="679"/>
      <c r="BXY160" s="679"/>
      <c r="BXZ160" s="679"/>
      <c r="BYA160" s="679"/>
      <c r="BYB160" s="679"/>
      <c r="BYC160" s="679"/>
      <c r="BYD160" s="679"/>
      <c r="BYE160" s="679"/>
      <c r="BYF160" s="679"/>
      <c r="BYG160" s="679"/>
      <c r="BYH160" s="679"/>
      <c r="BYI160" s="679"/>
      <c r="BYJ160" s="679"/>
      <c r="BYK160" s="679"/>
      <c r="BYL160" s="679"/>
      <c r="BYM160" s="679"/>
      <c r="BYN160" s="679"/>
      <c r="BYO160" s="679"/>
      <c r="BYP160" s="679"/>
      <c r="BYQ160" s="679"/>
      <c r="BYR160" s="679"/>
      <c r="BYS160" s="679"/>
      <c r="BYT160" s="679"/>
      <c r="BYU160" s="679"/>
      <c r="BYV160" s="679"/>
      <c r="BYW160" s="679"/>
      <c r="BYX160" s="679"/>
      <c r="BYY160" s="679"/>
      <c r="BYZ160" s="679"/>
      <c r="BZA160" s="679"/>
      <c r="BZB160" s="679"/>
      <c r="BZC160" s="679"/>
      <c r="BZD160" s="679"/>
      <c r="BZE160" s="679"/>
      <c r="BZF160" s="679"/>
      <c r="BZG160" s="679"/>
      <c r="BZH160" s="679"/>
      <c r="BZI160" s="679"/>
      <c r="BZJ160" s="679"/>
      <c r="BZK160" s="679"/>
      <c r="BZL160" s="679"/>
      <c r="BZM160" s="679"/>
      <c r="BZN160" s="679"/>
      <c r="BZO160" s="679"/>
      <c r="BZP160" s="679"/>
      <c r="BZQ160" s="679"/>
      <c r="BZR160" s="679"/>
      <c r="BZS160" s="679"/>
      <c r="BZT160" s="679"/>
      <c r="BZU160" s="679"/>
      <c r="BZV160" s="679"/>
      <c r="BZW160" s="679"/>
      <c r="BZX160" s="679"/>
      <c r="BZY160" s="679"/>
      <c r="BZZ160" s="679"/>
      <c r="CAA160" s="679"/>
      <c r="CAB160" s="679"/>
      <c r="CAC160" s="679"/>
      <c r="CAD160" s="679"/>
      <c r="CAE160" s="679"/>
      <c r="CAF160" s="679"/>
      <c r="CAG160" s="679"/>
      <c r="CAH160" s="679"/>
      <c r="CAI160" s="679"/>
      <c r="CAJ160" s="679"/>
      <c r="CAK160" s="679"/>
      <c r="CAL160" s="679"/>
      <c r="CAM160" s="679"/>
      <c r="CAN160" s="679"/>
      <c r="CAO160" s="679"/>
      <c r="CAP160" s="679"/>
      <c r="CAQ160" s="679"/>
      <c r="CAR160" s="679"/>
      <c r="CAS160" s="679"/>
      <c r="CAT160" s="679"/>
      <c r="CAU160" s="679"/>
      <c r="CAV160" s="679"/>
      <c r="CAW160" s="679"/>
      <c r="CAX160" s="679"/>
      <c r="CAY160" s="679"/>
      <c r="CAZ160" s="679"/>
      <c r="CBA160" s="679"/>
      <c r="CBB160" s="679"/>
      <c r="CBC160" s="679"/>
      <c r="CBD160" s="679"/>
      <c r="CBE160" s="679"/>
      <c r="CBF160" s="679"/>
      <c r="CBG160" s="679"/>
      <c r="CBH160" s="679"/>
      <c r="CBI160" s="679"/>
      <c r="CBJ160" s="679"/>
      <c r="CBK160" s="679"/>
      <c r="CBL160" s="679"/>
      <c r="CBM160" s="679"/>
      <c r="CBN160" s="679"/>
      <c r="CBO160" s="679"/>
      <c r="CBP160" s="679"/>
      <c r="CBQ160" s="679"/>
      <c r="CBR160" s="679"/>
      <c r="CBS160" s="679"/>
      <c r="CBT160" s="679"/>
      <c r="CBU160" s="679"/>
      <c r="CBV160" s="679"/>
      <c r="CBW160" s="679"/>
      <c r="CBX160" s="679"/>
      <c r="CBY160" s="679"/>
      <c r="CBZ160" s="679"/>
      <c r="CCA160" s="679"/>
      <c r="CCB160" s="679"/>
      <c r="CCC160" s="679"/>
      <c r="CCD160" s="679"/>
      <c r="CCE160" s="679"/>
      <c r="CCF160" s="679"/>
      <c r="CCG160" s="679"/>
      <c r="CCH160" s="679"/>
      <c r="CCI160" s="679"/>
      <c r="CCJ160" s="679"/>
      <c r="CCK160" s="679"/>
      <c r="CCL160" s="679"/>
      <c r="CCM160" s="679"/>
      <c r="CCN160" s="679"/>
      <c r="CCO160" s="679"/>
      <c r="CCP160" s="679"/>
      <c r="CCQ160" s="679"/>
      <c r="CCR160" s="679"/>
      <c r="CCS160" s="679"/>
      <c r="CCT160" s="679"/>
      <c r="CCU160" s="679"/>
      <c r="CCV160" s="679"/>
      <c r="CCW160" s="679"/>
      <c r="CCX160" s="679"/>
      <c r="CCY160" s="679"/>
      <c r="CCZ160" s="679"/>
      <c r="CDA160" s="679"/>
      <c r="CDB160" s="679"/>
      <c r="CDC160" s="679"/>
      <c r="CDD160" s="679"/>
      <c r="CDE160" s="679"/>
      <c r="CDF160" s="679"/>
      <c r="CDG160" s="679"/>
      <c r="CDH160" s="679"/>
      <c r="CDI160" s="679"/>
      <c r="CDJ160" s="679"/>
      <c r="CDK160" s="679"/>
      <c r="CDL160" s="679"/>
      <c r="CDM160" s="679"/>
      <c r="CDN160" s="679"/>
      <c r="CDO160" s="679"/>
      <c r="CDP160" s="679"/>
      <c r="CDQ160" s="679"/>
      <c r="CDR160" s="679"/>
      <c r="CDS160" s="679"/>
      <c r="CDT160" s="679"/>
      <c r="CDU160" s="679"/>
      <c r="CDV160" s="679"/>
      <c r="CDW160" s="679"/>
      <c r="CDX160" s="679"/>
      <c r="CDY160" s="679"/>
      <c r="CDZ160" s="679"/>
      <c r="CEA160" s="679"/>
      <c r="CEB160" s="679"/>
      <c r="CEC160" s="679"/>
      <c r="CED160" s="679"/>
      <c r="CEE160" s="679"/>
      <c r="CEF160" s="679"/>
      <c r="CEG160" s="679"/>
      <c r="CEH160" s="679"/>
      <c r="CEI160" s="679"/>
      <c r="CEJ160" s="679"/>
      <c r="CEK160" s="679"/>
      <c r="CEL160" s="679"/>
      <c r="CEM160" s="679"/>
      <c r="CEN160" s="679"/>
      <c r="CEO160" s="679"/>
      <c r="CEP160" s="679"/>
      <c r="CEQ160" s="679"/>
      <c r="CER160" s="679"/>
      <c r="CES160" s="679"/>
      <c r="CET160" s="679"/>
      <c r="CEU160" s="679"/>
      <c r="CEV160" s="679"/>
      <c r="CEW160" s="679"/>
      <c r="CEX160" s="679"/>
      <c r="CEY160" s="679"/>
      <c r="CEZ160" s="679"/>
      <c r="CFA160" s="679"/>
      <c r="CFB160" s="679"/>
      <c r="CFC160" s="679"/>
      <c r="CFD160" s="679"/>
      <c r="CFE160" s="679"/>
      <c r="CFF160" s="679"/>
      <c r="CFG160" s="679"/>
      <c r="CFH160" s="679"/>
      <c r="CFI160" s="679"/>
      <c r="CFJ160" s="679"/>
      <c r="CFK160" s="679"/>
      <c r="CFL160" s="679"/>
      <c r="CFM160" s="679"/>
      <c r="CFN160" s="679"/>
      <c r="CFO160" s="679"/>
      <c r="CFP160" s="679"/>
      <c r="CFQ160" s="679"/>
      <c r="CFR160" s="679"/>
      <c r="CFS160" s="679"/>
      <c r="CFT160" s="679"/>
      <c r="CFU160" s="679"/>
      <c r="CFV160" s="679"/>
      <c r="CFW160" s="679"/>
      <c r="CFX160" s="679"/>
      <c r="CFY160" s="679"/>
      <c r="CFZ160" s="679"/>
      <c r="CGA160" s="679"/>
      <c r="CGB160" s="679"/>
      <c r="CGC160" s="679"/>
      <c r="CGD160" s="679"/>
      <c r="CGE160" s="679"/>
      <c r="CGF160" s="679"/>
      <c r="CGG160" s="679"/>
      <c r="CGH160" s="679"/>
      <c r="CGI160" s="679"/>
      <c r="CGJ160" s="679"/>
      <c r="CGK160" s="679"/>
      <c r="CGL160" s="679"/>
      <c r="CGM160" s="679"/>
      <c r="CGN160" s="679"/>
      <c r="CGO160" s="679"/>
      <c r="CGP160" s="679"/>
      <c r="CGQ160" s="679"/>
      <c r="CGR160" s="679"/>
      <c r="CGS160" s="679"/>
      <c r="CGT160" s="679"/>
      <c r="CGU160" s="679"/>
      <c r="CGV160" s="679"/>
      <c r="CGW160" s="679"/>
      <c r="CGX160" s="679"/>
      <c r="CGY160" s="679"/>
      <c r="CGZ160" s="679"/>
      <c r="CHA160" s="679"/>
      <c r="CHB160" s="679"/>
      <c r="CHC160" s="679"/>
      <c r="CHD160" s="679"/>
      <c r="CHE160" s="679"/>
      <c r="CHF160" s="679"/>
      <c r="CHG160" s="679"/>
      <c r="CHH160" s="679"/>
      <c r="CHI160" s="679"/>
      <c r="CHJ160" s="679"/>
      <c r="CHK160" s="679"/>
      <c r="CHL160" s="679"/>
      <c r="CHM160" s="679"/>
      <c r="CHN160" s="679"/>
      <c r="CHO160" s="679"/>
      <c r="CHP160" s="679"/>
      <c r="CHQ160" s="679"/>
      <c r="CHR160" s="679"/>
      <c r="CHS160" s="679"/>
      <c r="CHT160" s="679"/>
      <c r="CHU160" s="679"/>
      <c r="CHV160" s="679"/>
      <c r="CHW160" s="679"/>
      <c r="CHX160" s="679"/>
      <c r="CHY160" s="679"/>
      <c r="CHZ160" s="679"/>
      <c r="CIA160" s="679"/>
      <c r="CIB160" s="679"/>
      <c r="CIC160" s="679"/>
      <c r="CID160" s="679"/>
      <c r="CIE160" s="679"/>
      <c r="CIF160" s="679"/>
      <c r="CIG160" s="679"/>
      <c r="CIH160" s="679"/>
      <c r="CII160" s="679"/>
      <c r="CIJ160" s="679"/>
      <c r="CIK160" s="679"/>
      <c r="CIL160" s="679"/>
      <c r="CIM160" s="679"/>
      <c r="CIN160" s="679"/>
      <c r="CIO160" s="679"/>
      <c r="CIP160" s="679"/>
      <c r="CIQ160" s="679"/>
      <c r="CIR160" s="679"/>
      <c r="CIS160" s="679"/>
      <c r="CIT160" s="679"/>
      <c r="CIU160" s="679"/>
      <c r="CIV160" s="679"/>
      <c r="CIW160" s="679"/>
      <c r="CIX160" s="679"/>
      <c r="CIY160" s="679"/>
      <c r="CIZ160" s="679"/>
      <c r="CJA160" s="679"/>
      <c r="CJB160" s="679"/>
      <c r="CJC160" s="679"/>
      <c r="CJD160" s="679"/>
      <c r="CJE160" s="679"/>
      <c r="CJF160" s="679"/>
      <c r="CJG160" s="679"/>
      <c r="CJH160" s="679"/>
      <c r="CJI160" s="679"/>
      <c r="CJJ160" s="679"/>
      <c r="CJK160" s="679"/>
      <c r="CJL160" s="679"/>
      <c r="CJM160" s="679"/>
      <c r="CJN160" s="679"/>
      <c r="CJO160" s="679"/>
      <c r="CJP160" s="679"/>
      <c r="CJQ160" s="679"/>
      <c r="CJR160" s="679"/>
      <c r="CJS160" s="679"/>
      <c r="CJT160" s="679"/>
      <c r="CJU160" s="679"/>
      <c r="CJV160" s="679"/>
      <c r="CJW160" s="679"/>
      <c r="CJX160" s="679"/>
      <c r="CJY160" s="679"/>
      <c r="CJZ160" s="679"/>
      <c r="CKA160" s="679"/>
      <c r="CKB160" s="679"/>
      <c r="CKC160" s="679"/>
      <c r="CKD160" s="679"/>
      <c r="CKE160" s="679"/>
      <c r="CKF160" s="679"/>
      <c r="CKG160" s="679"/>
      <c r="CKH160" s="679"/>
      <c r="CKI160" s="679"/>
      <c r="CKJ160" s="679"/>
      <c r="CKK160" s="679"/>
      <c r="CKL160" s="679"/>
      <c r="CKM160" s="679"/>
      <c r="CKN160" s="679"/>
      <c r="CKO160" s="679"/>
      <c r="CKP160" s="679"/>
      <c r="CKQ160" s="679"/>
      <c r="CKR160" s="679"/>
      <c r="CKS160" s="679"/>
      <c r="CKT160" s="679"/>
      <c r="CKU160" s="679"/>
      <c r="CKV160" s="679"/>
      <c r="CKW160" s="679"/>
      <c r="CKX160" s="679"/>
      <c r="CKY160" s="679"/>
      <c r="CKZ160" s="679"/>
      <c r="CLA160" s="679"/>
      <c r="CLB160" s="679"/>
      <c r="CLC160" s="679"/>
      <c r="CLD160" s="679"/>
      <c r="CLE160" s="679"/>
      <c r="CLF160" s="679"/>
      <c r="CLG160" s="679"/>
      <c r="CLH160" s="679"/>
      <c r="CLI160" s="679"/>
      <c r="CLJ160" s="679"/>
      <c r="CLK160" s="679"/>
      <c r="CLL160" s="679"/>
      <c r="CLM160" s="679"/>
      <c r="CLN160" s="679"/>
      <c r="CLO160" s="679"/>
      <c r="CLP160" s="679"/>
      <c r="CLQ160" s="679"/>
      <c r="CLR160" s="679"/>
      <c r="CLS160" s="679"/>
      <c r="CLT160" s="679"/>
      <c r="CLU160" s="679"/>
      <c r="CLV160" s="679"/>
      <c r="CLW160" s="679"/>
      <c r="CLX160" s="679"/>
      <c r="CLY160" s="679"/>
      <c r="CLZ160" s="679"/>
      <c r="CMA160" s="679"/>
      <c r="CMB160" s="679"/>
      <c r="CMC160" s="679"/>
      <c r="CMD160" s="679"/>
      <c r="CME160" s="679"/>
      <c r="CMF160" s="679"/>
      <c r="CMG160" s="679"/>
      <c r="CMH160" s="679"/>
      <c r="CMI160" s="679"/>
      <c r="CMJ160" s="679"/>
      <c r="CMK160" s="679"/>
      <c r="CML160" s="679"/>
      <c r="CMM160" s="679"/>
      <c r="CMN160" s="679"/>
      <c r="CMO160" s="679"/>
      <c r="CMP160" s="679"/>
      <c r="CMQ160" s="679"/>
      <c r="CMR160" s="679"/>
      <c r="CMS160" s="679"/>
      <c r="CMT160" s="679"/>
      <c r="CMU160" s="679"/>
      <c r="CMV160" s="679"/>
      <c r="CMW160" s="679"/>
      <c r="CMX160" s="679"/>
      <c r="CMY160" s="679"/>
      <c r="CMZ160" s="679"/>
      <c r="CNA160" s="679"/>
      <c r="CNB160" s="679"/>
      <c r="CNC160" s="679"/>
      <c r="CND160" s="679"/>
      <c r="CNE160" s="679"/>
      <c r="CNF160" s="679"/>
      <c r="CNG160" s="679"/>
      <c r="CNH160" s="679"/>
      <c r="CNI160" s="679"/>
      <c r="CNJ160" s="679"/>
      <c r="CNK160" s="679"/>
      <c r="CNL160" s="679"/>
      <c r="CNM160" s="679"/>
      <c r="CNN160" s="679"/>
      <c r="CNO160" s="679"/>
      <c r="CNP160" s="679"/>
      <c r="CNQ160" s="679"/>
      <c r="CNR160" s="679"/>
      <c r="CNS160" s="679"/>
      <c r="CNT160" s="679"/>
      <c r="CNU160" s="679"/>
      <c r="CNV160" s="679"/>
      <c r="CNW160" s="679"/>
      <c r="CNX160" s="679"/>
      <c r="CNY160" s="679"/>
      <c r="CNZ160" s="679"/>
      <c r="COA160" s="679"/>
      <c r="COB160" s="679"/>
      <c r="COC160" s="679"/>
      <c r="COD160" s="679"/>
      <c r="COE160" s="679"/>
      <c r="COF160" s="679"/>
      <c r="COG160" s="679"/>
      <c r="COH160" s="679"/>
      <c r="COI160" s="679"/>
      <c r="COJ160" s="679"/>
      <c r="COK160" s="679"/>
      <c r="COL160" s="679"/>
      <c r="COM160" s="679"/>
      <c r="CON160" s="679"/>
      <c r="COO160" s="679"/>
      <c r="COP160" s="679"/>
      <c r="COQ160" s="679"/>
      <c r="COR160" s="679"/>
      <c r="COS160" s="679"/>
      <c r="COT160" s="679"/>
      <c r="COU160" s="679"/>
      <c r="COV160" s="679"/>
      <c r="COW160" s="679"/>
      <c r="COX160" s="679"/>
      <c r="COY160" s="679"/>
      <c r="COZ160" s="679"/>
      <c r="CPA160" s="679"/>
      <c r="CPB160" s="679"/>
      <c r="CPC160" s="679"/>
      <c r="CPD160" s="679"/>
      <c r="CPE160" s="679"/>
      <c r="CPF160" s="679"/>
      <c r="CPG160" s="679"/>
      <c r="CPH160" s="679"/>
      <c r="CPI160" s="679"/>
      <c r="CPJ160" s="679"/>
      <c r="CPK160" s="679"/>
      <c r="CPL160" s="679"/>
      <c r="CPM160" s="679"/>
      <c r="CPN160" s="679"/>
      <c r="CPO160" s="679"/>
      <c r="CPP160" s="679"/>
      <c r="CPQ160" s="679"/>
      <c r="CPR160" s="679"/>
      <c r="CPS160" s="679"/>
      <c r="CPT160" s="679"/>
      <c r="CPU160" s="679"/>
      <c r="CPV160" s="679"/>
      <c r="CPW160" s="679"/>
      <c r="CPX160" s="679"/>
      <c r="CPY160" s="679"/>
      <c r="CPZ160" s="679"/>
      <c r="CQA160" s="679"/>
      <c r="CQB160" s="679"/>
      <c r="CQC160" s="679"/>
      <c r="CQD160" s="679"/>
      <c r="CQE160" s="679"/>
      <c r="CQF160" s="679"/>
      <c r="CQG160" s="679"/>
      <c r="CQH160" s="679"/>
      <c r="CQI160" s="679"/>
      <c r="CQJ160" s="679"/>
      <c r="CQK160" s="679"/>
      <c r="CQL160" s="679"/>
      <c r="CQM160" s="679"/>
      <c r="CQN160" s="679"/>
      <c r="CQO160" s="679"/>
      <c r="CQP160" s="679"/>
      <c r="CQQ160" s="679"/>
      <c r="CQR160" s="679"/>
      <c r="CQS160" s="679"/>
      <c r="CQT160" s="679"/>
      <c r="CQU160" s="679"/>
      <c r="CQV160" s="679"/>
      <c r="CQW160" s="679"/>
      <c r="CQX160" s="679"/>
      <c r="CQY160" s="679"/>
      <c r="CQZ160" s="679"/>
      <c r="CRA160" s="679"/>
      <c r="CRB160" s="679"/>
      <c r="CRC160" s="679"/>
      <c r="CRD160" s="679"/>
      <c r="CRE160" s="679"/>
      <c r="CRF160" s="679"/>
      <c r="CRG160" s="679"/>
      <c r="CRH160" s="679"/>
      <c r="CRI160" s="679"/>
      <c r="CRJ160" s="679"/>
      <c r="CRK160" s="679"/>
      <c r="CRL160" s="679"/>
      <c r="CRM160" s="679"/>
      <c r="CRN160" s="679"/>
      <c r="CRO160" s="679"/>
      <c r="CRP160" s="679"/>
      <c r="CRQ160" s="679"/>
      <c r="CRR160" s="679"/>
      <c r="CRS160" s="679"/>
      <c r="CRT160" s="679"/>
      <c r="CRU160" s="679"/>
      <c r="CRV160" s="679"/>
      <c r="CRW160" s="679"/>
      <c r="CRX160" s="679"/>
      <c r="CRY160" s="679"/>
      <c r="CRZ160" s="679"/>
      <c r="CSA160" s="679"/>
      <c r="CSB160" s="679"/>
      <c r="CSC160" s="679"/>
      <c r="CSD160" s="679"/>
      <c r="CSE160" s="679"/>
      <c r="CSF160" s="679"/>
      <c r="CSG160" s="679"/>
      <c r="CSH160" s="679"/>
      <c r="CSI160" s="679"/>
      <c r="CSJ160" s="679"/>
      <c r="CSK160" s="679"/>
      <c r="CSL160" s="679"/>
      <c r="CSM160" s="679"/>
      <c r="CSN160" s="679"/>
      <c r="CSO160" s="679"/>
      <c r="CSP160" s="679"/>
      <c r="CSQ160" s="679"/>
      <c r="CSR160" s="679"/>
      <c r="CSS160" s="679"/>
      <c r="CST160" s="679"/>
      <c r="CSU160" s="679"/>
      <c r="CSV160" s="679"/>
      <c r="CSW160" s="679"/>
      <c r="CSX160" s="679"/>
      <c r="CSY160" s="679"/>
      <c r="CSZ160" s="679"/>
      <c r="CTA160" s="679"/>
      <c r="CTB160" s="679"/>
      <c r="CTC160" s="679"/>
      <c r="CTD160" s="679"/>
      <c r="CTE160" s="679"/>
      <c r="CTF160" s="679"/>
      <c r="CTG160" s="679"/>
      <c r="CTH160" s="679"/>
      <c r="CTI160" s="679"/>
      <c r="CTJ160" s="679"/>
      <c r="CTK160" s="679"/>
      <c r="CTL160" s="679"/>
      <c r="CTM160" s="679"/>
      <c r="CTN160" s="679"/>
      <c r="CTO160" s="679"/>
      <c r="CTP160" s="679"/>
      <c r="CTQ160" s="679"/>
      <c r="CTR160" s="679"/>
      <c r="CTS160" s="679"/>
      <c r="CTT160" s="679"/>
      <c r="CTU160" s="679"/>
      <c r="CTV160" s="679"/>
      <c r="CTW160" s="679"/>
      <c r="CTX160" s="679"/>
      <c r="CTY160" s="679"/>
      <c r="CTZ160" s="679"/>
      <c r="CUA160" s="679"/>
      <c r="CUB160" s="679"/>
      <c r="CUC160" s="679"/>
      <c r="CUD160" s="679"/>
      <c r="CUE160" s="679"/>
      <c r="CUF160" s="679"/>
      <c r="CUG160" s="679"/>
      <c r="CUH160" s="679"/>
      <c r="CUI160" s="679"/>
      <c r="CUJ160" s="679"/>
      <c r="CUK160" s="679"/>
      <c r="CUL160" s="679"/>
      <c r="CUM160" s="679"/>
      <c r="CUN160" s="679"/>
      <c r="CUO160" s="679"/>
      <c r="CUP160" s="679"/>
      <c r="CUQ160" s="679"/>
      <c r="CUR160" s="679"/>
      <c r="CUS160" s="679"/>
      <c r="CUT160" s="679"/>
      <c r="CUU160" s="679"/>
      <c r="CUV160" s="679"/>
      <c r="CUW160" s="679"/>
      <c r="CUX160" s="679"/>
      <c r="CUY160" s="679"/>
      <c r="CUZ160" s="679"/>
      <c r="CVA160" s="679"/>
      <c r="CVB160" s="679"/>
      <c r="CVC160" s="679"/>
      <c r="CVD160" s="679"/>
      <c r="CVE160" s="679"/>
      <c r="CVF160" s="679"/>
      <c r="CVG160" s="679"/>
      <c r="CVH160" s="679"/>
      <c r="CVI160" s="679"/>
      <c r="CVJ160" s="679"/>
      <c r="CVK160" s="679"/>
      <c r="CVL160" s="679"/>
      <c r="CVM160" s="679"/>
      <c r="CVN160" s="679"/>
      <c r="CVO160" s="679"/>
      <c r="CVP160" s="679"/>
      <c r="CVQ160" s="679"/>
      <c r="CVR160" s="679"/>
      <c r="CVS160" s="679"/>
      <c r="CVT160" s="679"/>
      <c r="CVU160" s="679"/>
      <c r="CVV160" s="679"/>
      <c r="CVW160" s="679"/>
      <c r="CVX160" s="679"/>
      <c r="CVY160" s="679"/>
      <c r="CVZ160" s="679"/>
      <c r="CWA160" s="679"/>
      <c r="CWB160" s="679"/>
      <c r="CWC160" s="679"/>
      <c r="CWD160" s="679"/>
      <c r="CWE160" s="679"/>
      <c r="CWF160" s="679"/>
      <c r="CWG160" s="679"/>
      <c r="CWH160" s="679"/>
      <c r="CWI160" s="679"/>
      <c r="CWJ160" s="679"/>
      <c r="CWK160" s="679"/>
      <c r="CWL160" s="679"/>
      <c r="CWM160" s="679"/>
      <c r="CWN160" s="679"/>
      <c r="CWO160" s="679"/>
      <c r="CWP160" s="679"/>
      <c r="CWQ160" s="679"/>
      <c r="CWR160" s="679"/>
      <c r="CWS160" s="679"/>
      <c r="CWT160" s="679"/>
      <c r="CWU160" s="679"/>
      <c r="CWV160" s="679"/>
      <c r="CWW160" s="679"/>
      <c r="CWX160" s="679"/>
      <c r="CWY160" s="679"/>
      <c r="CWZ160" s="679"/>
      <c r="CXA160" s="679"/>
      <c r="CXB160" s="679"/>
      <c r="CXC160" s="679"/>
      <c r="CXD160" s="679"/>
      <c r="CXE160" s="679"/>
      <c r="CXF160" s="679"/>
      <c r="CXG160" s="679"/>
      <c r="CXH160" s="679"/>
      <c r="CXI160" s="679"/>
      <c r="CXJ160" s="679"/>
      <c r="CXK160" s="679"/>
      <c r="CXL160" s="679"/>
      <c r="CXM160" s="679"/>
      <c r="CXN160" s="679"/>
      <c r="CXO160" s="679"/>
      <c r="CXP160" s="679"/>
      <c r="CXQ160" s="679"/>
      <c r="CXR160" s="679"/>
      <c r="CXS160" s="679"/>
      <c r="CXT160" s="679"/>
      <c r="CXU160" s="679"/>
      <c r="CXV160" s="679"/>
      <c r="CXW160" s="679"/>
      <c r="CXX160" s="679"/>
      <c r="CXY160" s="679"/>
      <c r="CXZ160" s="679"/>
      <c r="CYA160" s="679"/>
      <c r="CYB160" s="679"/>
      <c r="CYC160" s="679"/>
      <c r="CYD160" s="679"/>
      <c r="CYE160" s="679"/>
      <c r="CYF160" s="679"/>
      <c r="CYG160" s="679"/>
      <c r="CYH160" s="679"/>
      <c r="CYI160" s="679"/>
      <c r="CYJ160" s="679"/>
      <c r="CYK160" s="679"/>
      <c r="CYL160" s="679"/>
      <c r="CYM160" s="679"/>
      <c r="CYN160" s="679"/>
      <c r="CYO160" s="679"/>
      <c r="CYP160" s="679"/>
      <c r="CYQ160" s="679"/>
      <c r="CYR160" s="679"/>
      <c r="CYS160" s="679"/>
      <c r="CYT160" s="679"/>
      <c r="CYU160" s="679"/>
      <c r="CYV160" s="679"/>
      <c r="CYW160" s="679"/>
      <c r="CYX160" s="679"/>
      <c r="CYY160" s="679"/>
      <c r="CYZ160" s="679"/>
      <c r="CZA160" s="679"/>
      <c r="CZB160" s="679"/>
      <c r="CZC160" s="679"/>
      <c r="CZD160" s="679"/>
      <c r="CZE160" s="679"/>
      <c r="CZF160" s="679"/>
      <c r="CZG160" s="679"/>
      <c r="CZH160" s="679"/>
      <c r="CZI160" s="679"/>
      <c r="CZJ160" s="679"/>
      <c r="CZK160" s="679"/>
      <c r="CZL160" s="679"/>
      <c r="CZM160" s="679"/>
      <c r="CZN160" s="679"/>
      <c r="CZO160" s="679"/>
      <c r="CZP160" s="679"/>
      <c r="CZQ160" s="679"/>
      <c r="CZR160" s="679"/>
      <c r="CZS160" s="679"/>
      <c r="CZT160" s="679"/>
      <c r="CZU160" s="679"/>
      <c r="CZV160" s="679"/>
      <c r="CZW160" s="679"/>
      <c r="CZX160" s="679"/>
      <c r="CZY160" s="679"/>
      <c r="CZZ160" s="679"/>
      <c r="DAA160" s="679"/>
      <c r="DAB160" s="679"/>
      <c r="DAC160" s="679"/>
      <c r="DAD160" s="679"/>
      <c r="DAE160" s="679"/>
      <c r="DAF160" s="679"/>
      <c r="DAG160" s="679"/>
      <c r="DAH160" s="679"/>
      <c r="DAI160" s="679"/>
      <c r="DAJ160" s="679"/>
      <c r="DAK160" s="679"/>
      <c r="DAL160" s="679"/>
      <c r="DAM160" s="679"/>
      <c r="DAN160" s="679"/>
      <c r="DAO160" s="679"/>
      <c r="DAP160" s="679"/>
      <c r="DAQ160" s="679"/>
      <c r="DAR160" s="679"/>
      <c r="DAS160" s="679"/>
      <c r="DAT160" s="679"/>
      <c r="DAU160" s="679"/>
      <c r="DAV160" s="679"/>
      <c r="DAW160" s="679"/>
      <c r="DAX160" s="679"/>
      <c r="DAY160" s="679"/>
      <c r="DAZ160" s="679"/>
      <c r="DBA160" s="679"/>
      <c r="DBB160" s="679"/>
      <c r="DBC160" s="679"/>
      <c r="DBD160" s="679"/>
      <c r="DBE160" s="679"/>
      <c r="DBF160" s="679"/>
      <c r="DBG160" s="679"/>
      <c r="DBH160" s="679"/>
      <c r="DBI160" s="679"/>
      <c r="DBJ160" s="679"/>
      <c r="DBK160" s="679"/>
      <c r="DBL160" s="679"/>
      <c r="DBM160" s="679"/>
      <c r="DBN160" s="679"/>
      <c r="DBO160" s="679"/>
      <c r="DBP160" s="679"/>
      <c r="DBQ160" s="679"/>
      <c r="DBR160" s="679"/>
      <c r="DBS160" s="679"/>
      <c r="DBT160" s="679"/>
      <c r="DBU160" s="679"/>
      <c r="DBV160" s="679"/>
      <c r="DBW160" s="679"/>
      <c r="DBX160" s="679"/>
      <c r="DBY160" s="679"/>
      <c r="DBZ160" s="679"/>
      <c r="DCA160" s="679"/>
      <c r="DCB160" s="679"/>
      <c r="DCC160" s="679"/>
      <c r="DCD160" s="679"/>
      <c r="DCE160" s="679"/>
      <c r="DCF160" s="679"/>
      <c r="DCG160" s="679"/>
      <c r="DCH160" s="679"/>
      <c r="DCI160" s="679"/>
      <c r="DCJ160" s="679"/>
      <c r="DCK160" s="679"/>
      <c r="DCL160" s="679"/>
      <c r="DCM160" s="679"/>
      <c r="DCN160" s="679"/>
      <c r="DCO160" s="679"/>
      <c r="DCP160" s="679"/>
      <c r="DCQ160" s="679"/>
      <c r="DCR160" s="679"/>
      <c r="DCS160" s="679"/>
      <c r="DCT160" s="679"/>
      <c r="DCU160" s="679"/>
      <c r="DCV160" s="679"/>
      <c r="DCW160" s="679"/>
      <c r="DCX160" s="679"/>
      <c r="DCY160" s="679"/>
      <c r="DCZ160" s="679"/>
      <c r="DDA160" s="679"/>
      <c r="DDB160" s="679"/>
      <c r="DDC160" s="679"/>
      <c r="DDD160" s="679"/>
      <c r="DDE160" s="679"/>
      <c r="DDF160" s="679"/>
      <c r="DDG160" s="679"/>
      <c r="DDH160" s="679"/>
      <c r="DDI160" s="679"/>
      <c r="DDJ160" s="679"/>
      <c r="DDK160" s="679"/>
      <c r="DDL160" s="679"/>
      <c r="DDM160" s="679"/>
      <c r="DDN160" s="679"/>
      <c r="DDO160" s="679"/>
      <c r="DDP160" s="679"/>
      <c r="DDQ160" s="679"/>
      <c r="DDR160" s="679"/>
      <c r="DDS160" s="679"/>
      <c r="DDT160" s="679"/>
      <c r="DDU160" s="679"/>
      <c r="DDV160" s="679"/>
      <c r="DDW160" s="679"/>
      <c r="DDX160" s="679"/>
      <c r="DDY160" s="679"/>
      <c r="DDZ160" s="679"/>
      <c r="DEA160" s="679"/>
      <c r="DEB160" s="679"/>
      <c r="DEC160" s="679"/>
      <c r="DED160" s="679"/>
      <c r="DEE160" s="679"/>
      <c r="DEF160" s="679"/>
      <c r="DEG160" s="679"/>
      <c r="DEH160" s="679"/>
      <c r="DEI160" s="679"/>
      <c r="DEJ160" s="679"/>
      <c r="DEK160" s="679"/>
      <c r="DEL160" s="679"/>
      <c r="DEM160" s="679"/>
      <c r="DEN160" s="679"/>
      <c r="DEO160" s="679"/>
      <c r="DEP160" s="679"/>
      <c r="DEQ160" s="679"/>
      <c r="DER160" s="679"/>
      <c r="DES160" s="679"/>
      <c r="DET160" s="679"/>
      <c r="DEU160" s="679"/>
      <c r="DEV160" s="679"/>
      <c r="DEW160" s="679"/>
      <c r="DEX160" s="679"/>
      <c r="DEY160" s="679"/>
      <c r="DEZ160" s="679"/>
      <c r="DFA160" s="679"/>
      <c r="DFB160" s="679"/>
      <c r="DFC160" s="679"/>
      <c r="DFD160" s="679"/>
      <c r="DFE160" s="679"/>
      <c r="DFF160" s="679"/>
      <c r="DFG160" s="679"/>
      <c r="DFH160" s="679"/>
      <c r="DFI160" s="679"/>
      <c r="DFJ160" s="679"/>
      <c r="DFK160" s="679"/>
      <c r="DFL160" s="679"/>
      <c r="DFM160" s="679"/>
      <c r="DFN160" s="679"/>
      <c r="DFO160" s="679"/>
      <c r="DFP160" s="679"/>
      <c r="DFQ160" s="679"/>
      <c r="DFR160" s="679"/>
      <c r="DFS160" s="679"/>
      <c r="DFT160" s="679"/>
      <c r="DFU160" s="679"/>
      <c r="DFV160" s="679"/>
      <c r="DFW160" s="679"/>
      <c r="DFX160" s="679"/>
      <c r="DFY160" s="679"/>
      <c r="DFZ160" s="679"/>
      <c r="DGA160" s="679"/>
      <c r="DGB160" s="679"/>
      <c r="DGC160" s="679"/>
      <c r="DGD160" s="679"/>
      <c r="DGE160" s="679"/>
      <c r="DGF160" s="679"/>
      <c r="DGG160" s="679"/>
      <c r="DGH160" s="679"/>
      <c r="DGI160" s="679"/>
      <c r="DGJ160" s="679"/>
      <c r="DGK160" s="679"/>
      <c r="DGL160" s="679"/>
      <c r="DGM160" s="679"/>
      <c r="DGN160" s="679"/>
      <c r="DGO160" s="679"/>
      <c r="DGP160" s="679"/>
      <c r="DGQ160" s="679"/>
      <c r="DGR160" s="679"/>
      <c r="DGS160" s="679"/>
      <c r="DGT160" s="679"/>
      <c r="DGU160" s="679"/>
      <c r="DGV160" s="679"/>
      <c r="DGW160" s="679"/>
      <c r="DGX160" s="679"/>
      <c r="DGY160" s="679"/>
      <c r="DGZ160" s="679"/>
      <c r="DHA160" s="679"/>
      <c r="DHB160" s="679"/>
      <c r="DHC160" s="679"/>
      <c r="DHD160" s="679"/>
      <c r="DHE160" s="679"/>
      <c r="DHF160" s="679"/>
      <c r="DHG160" s="679"/>
      <c r="DHH160" s="679"/>
      <c r="DHI160" s="679"/>
      <c r="DHJ160" s="679"/>
      <c r="DHK160" s="679"/>
      <c r="DHL160" s="679"/>
      <c r="DHM160" s="679"/>
      <c r="DHN160" s="679"/>
      <c r="DHO160" s="679"/>
      <c r="DHP160" s="679"/>
      <c r="DHQ160" s="679"/>
      <c r="DHR160" s="679"/>
      <c r="DHS160" s="679"/>
      <c r="DHT160" s="679"/>
      <c r="DHU160" s="679"/>
      <c r="DHV160" s="679"/>
      <c r="DHW160" s="679"/>
      <c r="DHX160" s="679"/>
      <c r="DHY160" s="679"/>
      <c r="DHZ160" s="679"/>
      <c r="DIA160" s="679"/>
      <c r="DIB160" s="679"/>
      <c r="DIC160" s="679"/>
      <c r="DID160" s="679"/>
      <c r="DIE160" s="679"/>
      <c r="DIF160" s="679"/>
      <c r="DIG160" s="679"/>
      <c r="DIH160" s="679"/>
      <c r="DII160" s="679"/>
      <c r="DIJ160" s="679"/>
      <c r="DIK160" s="679"/>
      <c r="DIL160" s="679"/>
      <c r="DIM160" s="679"/>
      <c r="DIN160" s="679"/>
      <c r="DIO160" s="679"/>
      <c r="DIP160" s="679"/>
      <c r="DIQ160" s="679"/>
      <c r="DIR160" s="679"/>
      <c r="DIS160" s="679"/>
      <c r="DIT160" s="679"/>
      <c r="DIU160" s="679"/>
      <c r="DIV160" s="679"/>
      <c r="DIW160" s="679"/>
      <c r="DIX160" s="679"/>
      <c r="DIY160" s="679"/>
      <c r="DIZ160" s="679"/>
      <c r="DJA160" s="679"/>
      <c r="DJB160" s="679"/>
      <c r="DJC160" s="679"/>
      <c r="DJD160" s="679"/>
      <c r="DJE160" s="679"/>
      <c r="DJF160" s="679"/>
      <c r="DJG160" s="679"/>
      <c r="DJH160" s="679"/>
      <c r="DJI160" s="679"/>
      <c r="DJJ160" s="679"/>
      <c r="DJK160" s="679"/>
      <c r="DJL160" s="679"/>
      <c r="DJM160" s="679"/>
      <c r="DJN160" s="679"/>
      <c r="DJO160" s="679"/>
      <c r="DJP160" s="679"/>
      <c r="DJQ160" s="679"/>
      <c r="DJR160" s="679"/>
      <c r="DJS160" s="679"/>
      <c r="DJT160" s="679"/>
      <c r="DJU160" s="679"/>
      <c r="DJV160" s="679"/>
      <c r="DJW160" s="679"/>
      <c r="DJX160" s="679"/>
      <c r="DJY160" s="679"/>
      <c r="DJZ160" s="679"/>
      <c r="DKA160" s="679"/>
      <c r="DKB160" s="679"/>
      <c r="DKC160" s="679"/>
      <c r="DKD160" s="679"/>
      <c r="DKE160" s="679"/>
      <c r="DKF160" s="679"/>
      <c r="DKG160" s="679"/>
      <c r="DKH160" s="679"/>
      <c r="DKI160" s="679"/>
      <c r="DKJ160" s="679"/>
      <c r="DKK160" s="679"/>
      <c r="DKL160" s="679"/>
      <c r="DKM160" s="679"/>
      <c r="DKN160" s="679"/>
      <c r="DKO160" s="679"/>
      <c r="DKP160" s="679"/>
      <c r="DKQ160" s="679"/>
      <c r="DKR160" s="679"/>
      <c r="DKS160" s="679"/>
      <c r="DKT160" s="679"/>
      <c r="DKU160" s="679"/>
      <c r="DKV160" s="679"/>
      <c r="DKW160" s="679"/>
      <c r="DKX160" s="679"/>
      <c r="DKY160" s="679"/>
      <c r="DKZ160" s="679"/>
      <c r="DLA160" s="679"/>
      <c r="DLB160" s="679"/>
      <c r="DLC160" s="679"/>
      <c r="DLD160" s="679"/>
      <c r="DLE160" s="679"/>
      <c r="DLF160" s="679"/>
      <c r="DLG160" s="679"/>
      <c r="DLH160" s="679"/>
      <c r="DLI160" s="679"/>
      <c r="DLJ160" s="679"/>
      <c r="DLK160" s="679"/>
      <c r="DLL160" s="679"/>
      <c r="DLM160" s="679"/>
      <c r="DLN160" s="679"/>
      <c r="DLO160" s="679"/>
      <c r="DLP160" s="679"/>
      <c r="DLQ160" s="679"/>
      <c r="DLR160" s="679"/>
      <c r="DLS160" s="679"/>
      <c r="DLT160" s="679"/>
      <c r="DLU160" s="679"/>
      <c r="DLV160" s="679"/>
      <c r="DLW160" s="679"/>
      <c r="DLX160" s="679"/>
      <c r="DLY160" s="679"/>
      <c r="DLZ160" s="679"/>
      <c r="DMA160" s="679"/>
      <c r="DMB160" s="679"/>
      <c r="DMC160" s="679"/>
      <c r="DMD160" s="679"/>
      <c r="DME160" s="679"/>
      <c r="DMF160" s="679"/>
      <c r="DMG160" s="679"/>
      <c r="DMH160" s="679"/>
      <c r="DMI160" s="679"/>
      <c r="DMJ160" s="679"/>
      <c r="DMK160" s="679"/>
      <c r="DML160" s="679"/>
      <c r="DMM160" s="679"/>
      <c r="DMN160" s="679"/>
      <c r="DMO160" s="679"/>
      <c r="DMP160" s="679"/>
      <c r="DMQ160" s="679"/>
      <c r="DMR160" s="679"/>
      <c r="DMS160" s="679"/>
      <c r="DMT160" s="679"/>
      <c r="DMU160" s="679"/>
      <c r="DMV160" s="679"/>
      <c r="DMW160" s="679"/>
      <c r="DMX160" s="679"/>
      <c r="DMY160" s="679"/>
      <c r="DMZ160" s="679"/>
      <c r="DNA160" s="679"/>
      <c r="DNB160" s="679"/>
      <c r="DNC160" s="679"/>
      <c r="DND160" s="679"/>
      <c r="DNE160" s="679"/>
      <c r="DNF160" s="679"/>
      <c r="DNG160" s="679"/>
      <c r="DNH160" s="679"/>
      <c r="DNI160" s="679"/>
      <c r="DNJ160" s="679"/>
      <c r="DNK160" s="679"/>
      <c r="DNL160" s="679"/>
      <c r="DNM160" s="679"/>
      <c r="DNN160" s="679"/>
      <c r="DNO160" s="679"/>
      <c r="DNP160" s="679"/>
      <c r="DNQ160" s="679"/>
      <c r="DNR160" s="679"/>
      <c r="DNS160" s="679"/>
      <c r="DNT160" s="679"/>
      <c r="DNU160" s="679"/>
      <c r="DNV160" s="679"/>
      <c r="DNW160" s="679"/>
      <c r="DNX160" s="679"/>
      <c r="DNY160" s="679"/>
      <c r="DNZ160" s="679"/>
      <c r="DOA160" s="679"/>
      <c r="DOB160" s="679"/>
      <c r="DOC160" s="679"/>
      <c r="DOD160" s="679"/>
      <c r="DOE160" s="679"/>
      <c r="DOF160" s="679"/>
      <c r="DOG160" s="679"/>
      <c r="DOH160" s="679"/>
      <c r="DOI160" s="679"/>
      <c r="DOJ160" s="679"/>
      <c r="DOK160" s="679"/>
      <c r="DOL160" s="679"/>
      <c r="DOM160" s="679"/>
      <c r="DON160" s="679"/>
      <c r="DOO160" s="679"/>
      <c r="DOP160" s="679"/>
      <c r="DOQ160" s="679"/>
      <c r="DOR160" s="679"/>
      <c r="DOS160" s="679"/>
      <c r="DOT160" s="679"/>
      <c r="DOU160" s="679"/>
      <c r="DOV160" s="679"/>
      <c r="DOW160" s="679"/>
      <c r="DOX160" s="679"/>
      <c r="DOY160" s="679"/>
      <c r="DOZ160" s="679"/>
      <c r="DPA160" s="679"/>
      <c r="DPB160" s="679"/>
      <c r="DPC160" s="679"/>
      <c r="DPD160" s="679"/>
      <c r="DPE160" s="679"/>
      <c r="DPF160" s="679"/>
      <c r="DPG160" s="679"/>
      <c r="DPH160" s="679"/>
      <c r="DPI160" s="679"/>
      <c r="DPJ160" s="679"/>
      <c r="DPK160" s="679"/>
      <c r="DPL160" s="679"/>
      <c r="DPM160" s="679"/>
      <c r="DPN160" s="679"/>
      <c r="DPO160" s="679"/>
      <c r="DPP160" s="679"/>
      <c r="DPQ160" s="679"/>
      <c r="DPR160" s="679"/>
      <c r="DPS160" s="679"/>
      <c r="DPT160" s="679"/>
      <c r="DPU160" s="679"/>
      <c r="DPV160" s="679"/>
      <c r="DPW160" s="679"/>
      <c r="DPX160" s="679"/>
      <c r="DPY160" s="679"/>
      <c r="DPZ160" s="679"/>
      <c r="DQA160" s="679"/>
      <c r="DQB160" s="679"/>
      <c r="DQC160" s="679"/>
      <c r="DQD160" s="679"/>
      <c r="DQE160" s="679"/>
      <c r="DQF160" s="679"/>
      <c r="DQG160" s="679"/>
      <c r="DQH160" s="679"/>
      <c r="DQI160" s="679"/>
      <c r="DQJ160" s="679"/>
      <c r="DQK160" s="679"/>
      <c r="DQL160" s="679"/>
      <c r="DQM160" s="679"/>
      <c r="DQN160" s="679"/>
      <c r="DQO160" s="679"/>
      <c r="DQP160" s="679"/>
      <c r="DQQ160" s="679"/>
      <c r="DQR160" s="679"/>
      <c r="DQS160" s="679"/>
      <c r="DQT160" s="679"/>
      <c r="DQU160" s="679"/>
      <c r="DQV160" s="679"/>
      <c r="DQW160" s="679"/>
      <c r="DQX160" s="679"/>
      <c r="DQY160" s="679"/>
      <c r="DQZ160" s="679"/>
      <c r="DRA160" s="679"/>
      <c r="DRB160" s="679"/>
      <c r="DRC160" s="679"/>
      <c r="DRD160" s="679"/>
      <c r="DRE160" s="679"/>
      <c r="DRF160" s="679"/>
      <c r="DRG160" s="679"/>
      <c r="DRH160" s="679"/>
      <c r="DRI160" s="679"/>
      <c r="DRJ160" s="679"/>
      <c r="DRK160" s="679"/>
      <c r="DRL160" s="679"/>
      <c r="DRM160" s="679"/>
      <c r="DRN160" s="679"/>
      <c r="DRO160" s="679"/>
      <c r="DRP160" s="679"/>
      <c r="DRQ160" s="679"/>
      <c r="DRR160" s="679"/>
      <c r="DRS160" s="679"/>
      <c r="DRT160" s="679"/>
      <c r="DRU160" s="679"/>
      <c r="DRV160" s="679"/>
      <c r="DRW160" s="679"/>
      <c r="DRX160" s="679"/>
      <c r="DRY160" s="679"/>
      <c r="DRZ160" s="679"/>
      <c r="DSA160" s="679"/>
      <c r="DSB160" s="679"/>
      <c r="DSC160" s="679"/>
      <c r="DSD160" s="679"/>
      <c r="DSE160" s="679"/>
      <c r="DSF160" s="679"/>
      <c r="DSG160" s="679"/>
      <c r="DSH160" s="679"/>
      <c r="DSI160" s="679"/>
      <c r="DSJ160" s="679"/>
      <c r="DSK160" s="679"/>
      <c r="DSL160" s="679"/>
      <c r="DSM160" s="679"/>
      <c r="DSN160" s="679"/>
      <c r="DSO160" s="679"/>
      <c r="DSP160" s="679"/>
      <c r="DSQ160" s="679"/>
      <c r="DSR160" s="679"/>
      <c r="DSS160" s="679"/>
      <c r="DST160" s="679"/>
      <c r="DSU160" s="679"/>
      <c r="DSV160" s="679"/>
      <c r="DSW160" s="679"/>
      <c r="DSX160" s="679"/>
      <c r="DSY160" s="679"/>
      <c r="DSZ160" s="679"/>
      <c r="DTA160" s="679"/>
      <c r="DTB160" s="679"/>
      <c r="DTC160" s="679"/>
      <c r="DTD160" s="679"/>
      <c r="DTE160" s="679"/>
      <c r="DTF160" s="679"/>
      <c r="DTG160" s="679"/>
      <c r="DTH160" s="679"/>
      <c r="DTI160" s="679"/>
      <c r="DTJ160" s="679"/>
      <c r="DTK160" s="679"/>
      <c r="DTL160" s="679"/>
      <c r="DTM160" s="679"/>
      <c r="DTN160" s="679"/>
      <c r="DTO160" s="679"/>
      <c r="DTP160" s="679"/>
      <c r="DTQ160" s="679"/>
      <c r="DTR160" s="679"/>
      <c r="DTS160" s="679"/>
      <c r="DTT160" s="679"/>
      <c r="DTU160" s="679"/>
      <c r="DTV160" s="679"/>
      <c r="DTW160" s="679"/>
      <c r="DTX160" s="679"/>
      <c r="DTY160" s="679"/>
      <c r="DTZ160" s="679"/>
      <c r="DUA160" s="679"/>
      <c r="DUB160" s="679"/>
      <c r="DUC160" s="679"/>
      <c r="DUD160" s="679"/>
      <c r="DUE160" s="679"/>
      <c r="DUF160" s="679"/>
      <c r="DUG160" s="679"/>
      <c r="DUH160" s="679"/>
      <c r="DUI160" s="679"/>
      <c r="DUJ160" s="679"/>
      <c r="DUK160" s="679"/>
      <c r="DUL160" s="679"/>
      <c r="DUM160" s="679"/>
      <c r="DUN160" s="679"/>
      <c r="DUO160" s="679"/>
      <c r="DUP160" s="679"/>
      <c r="DUQ160" s="679"/>
      <c r="DUR160" s="679"/>
      <c r="DUS160" s="679"/>
      <c r="DUT160" s="679"/>
      <c r="DUU160" s="679"/>
      <c r="DUV160" s="679"/>
      <c r="DUW160" s="679"/>
      <c r="DUX160" s="679"/>
      <c r="DUY160" s="679"/>
      <c r="DUZ160" s="679"/>
      <c r="DVA160" s="679"/>
      <c r="DVB160" s="679"/>
      <c r="DVC160" s="679"/>
      <c r="DVD160" s="679"/>
      <c r="DVE160" s="679"/>
      <c r="DVF160" s="679"/>
      <c r="DVG160" s="679"/>
      <c r="DVH160" s="679"/>
      <c r="DVI160" s="679"/>
      <c r="DVJ160" s="679"/>
      <c r="DVK160" s="679"/>
      <c r="DVL160" s="679"/>
      <c r="DVM160" s="679"/>
      <c r="DVN160" s="679"/>
      <c r="DVO160" s="679"/>
      <c r="DVP160" s="679"/>
      <c r="DVQ160" s="679"/>
      <c r="DVR160" s="679"/>
      <c r="DVS160" s="679"/>
      <c r="DVT160" s="679"/>
      <c r="DVU160" s="679"/>
      <c r="DVV160" s="679"/>
      <c r="DVW160" s="679"/>
      <c r="DVX160" s="679"/>
      <c r="DVY160" s="679"/>
      <c r="DVZ160" s="679"/>
      <c r="DWA160" s="679"/>
      <c r="DWB160" s="679"/>
      <c r="DWC160" s="679"/>
      <c r="DWD160" s="679"/>
      <c r="DWE160" s="679"/>
      <c r="DWF160" s="679"/>
      <c r="DWG160" s="679"/>
      <c r="DWH160" s="679"/>
      <c r="DWI160" s="679"/>
      <c r="DWJ160" s="679"/>
      <c r="DWK160" s="679"/>
      <c r="DWL160" s="679"/>
      <c r="DWM160" s="679"/>
      <c r="DWN160" s="679"/>
      <c r="DWO160" s="679"/>
      <c r="DWP160" s="679"/>
      <c r="DWQ160" s="679"/>
      <c r="DWR160" s="679"/>
      <c r="DWS160" s="679"/>
      <c r="DWT160" s="679"/>
      <c r="DWU160" s="679"/>
      <c r="DWV160" s="679"/>
      <c r="DWW160" s="679"/>
      <c r="DWX160" s="679"/>
      <c r="DWY160" s="679"/>
      <c r="DWZ160" s="679"/>
      <c r="DXA160" s="679"/>
      <c r="DXB160" s="679"/>
      <c r="DXC160" s="679"/>
      <c r="DXD160" s="679"/>
      <c r="DXE160" s="679"/>
      <c r="DXF160" s="679"/>
      <c r="DXG160" s="679"/>
      <c r="DXH160" s="679"/>
      <c r="DXI160" s="679"/>
      <c r="DXJ160" s="679"/>
      <c r="DXK160" s="679"/>
      <c r="DXL160" s="679"/>
      <c r="DXM160" s="679"/>
      <c r="DXN160" s="679"/>
      <c r="DXO160" s="679"/>
      <c r="DXP160" s="679"/>
      <c r="DXQ160" s="679"/>
      <c r="DXR160" s="679"/>
      <c r="DXS160" s="679"/>
      <c r="DXT160" s="679"/>
      <c r="DXU160" s="679"/>
      <c r="DXV160" s="679"/>
      <c r="DXW160" s="679"/>
      <c r="DXX160" s="679"/>
      <c r="DXY160" s="679"/>
      <c r="DXZ160" s="679"/>
      <c r="DYA160" s="679"/>
      <c r="DYB160" s="679"/>
      <c r="DYC160" s="679"/>
      <c r="DYD160" s="679"/>
      <c r="DYE160" s="679"/>
      <c r="DYF160" s="679"/>
      <c r="DYG160" s="679"/>
      <c r="DYH160" s="679"/>
      <c r="DYI160" s="679"/>
      <c r="DYJ160" s="679"/>
      <c r="DYK160" s="679"/>
      <c r="DYL160" s="679"/>
      <c r="DYM160" s="679"/>
      <c r="DYN160" s="679"/>
      <c r="DYO160" s="679"/>
      <c r="DYP160" s="679"/>
      <c r="DYQ160" s="679"/>
      <c r="DYR160" s="679"/>
      <c r="DYS160" s="679"/>
      <c r="DYT160" s="679"/>
      <c r="DYU160" s="679"/>
      <c r="DYV160" s="679"/>
      <c r="DYW160" s="679"/>
      <c r="DYX160" s="679"/>
      <c r="DYY160" s="679"/>
      <c r="DYZ160" s="679"/>
      <c r="DZA160" s="679"/>
      <c r="DZB160" s="679"/>
      <c r="DZC160" s="679"/>
      <c r="DZD160" s="679"/>
      <c r="DZE160" s="679"/>
      <c r="DZF160" s="679"/>
      <c r="DZG160" s="679"/>
      <c r="DZH160" s="679"/>
      <c r="DZI160" s="679"/>
      <c r="DZJ160" s="679"/>
      <c r="DZK160" s="679"/>
      <c r="DZL160" s="679"/>
      <c r="DZM160" s="679"/>
      <c r="DZN160" s="679"/>
      <c r="DZO160" s="679"/>
      <c r="DZP160" s="679"/>
      <c r="DZQ160" s="679"/>
      <c r="DZR160" s="679"/>
      <c r="DZS160" s="679"/>
      <c r="DZT160" s="679"/>
      <c r="DZU160" s="679"/>
      <c r="DZV160" s="679"/>
      <c r="DZW160" s="679"/>
      <c r="DZX160" s="679"/>
      <c r="DZY160" s="679"/>
      <c r="DZZ160" s="679"/>
      <c r="EAA160" s="679"/>
      <c r="EAB160" s="679"/>
      <c r="EAC160" s="679"/>
      <c r="EAD160" s="679"/>
      <c r="EAE160" s="679"/>
      <c r="EAF160" s="679"/>
      <c r="EAG160" s="679"/>
      <c r="EAH160" s="679"/>
      <c r="EAI160" s="679"/>
      <c r="EAJ160" s="679"/>
      <c r="EAK160" s="679"/>
      <c r="EAL160" s="679"/>
      <c r="EAM160" s="679"/>
      <c r="EAN160" s="679"/>
      <c r="EAO160" s="679"/>
      <c r="EAP160" s="679"/>
      <c r="EAQ160" s="679"/>
      <c r="EAR160" s="679"/>
      <c r="EAS160" s="679"/>
      <c r="EAT160" s="679"/>
      <c r="EAU160" s="679"/>
      <c r="EAV160" s="679"/>
      <c r="EAW160" s="679"/>
      <c r="EAX160" s="679"/>
      <c r="EAY160" s="679"/>
      <c r="EAZ160" s="679"/>
      <c r="EBA160" s="679"/>
      <c r="EBB160" s="679"/>
      <c r="EBC160" s="679"/>
      <c r="EBD160" s="679"/>
      <c r="EBE160" s="679"/>
      <c r="EBF160" s="679"/>
      <c r="EBG160" s="679"/>
      <c r="EBH160" s="679"/>
      <c r="EBI160" s="679"/>
      <c r="EBJ160" s="679"/>
      <c r="EBK160" s="679"/>
      <c r="EBL160" s="679"/>
      <c r="EBM160" s="679"/>
      <c r="EBN160" s="679"/>
      <c r="EBO160" s="679"/>
      <c r="EBP160" s="679"/>
      <c r="EBQ160" s="679"/>
      <c r="EBR160" s="679"/>
      <c r="EBS160" s="679"/>
      <c r="EBT160" s="679"/>
      <c r="EBU160" s="679"/>
      <c r="EBV160" s="679"/>
      <c r="EBW160" s="679"/>
      <c r="EBX160" s="679"/>
      <c r="EBY160" s="679"/>
      <c r="EBZ160" s="679"/>
      <c r="ECA160" s="679"/>
      <c r="ECB160" s="679"/>
      <c r="ECC160" s="679"/>
      <c r="ECD160" s="679"/>
      <c r="ECE160" s="679"/>
      <c r="ECF160" s="679"/>
      <c r="ECG160" s="679"/>
      <c r="ECH160" s="679"/>
      <c r="ECI160" s="679"/>
      <c r="ECJ160" s="679"/>
      <c r="ECK160" s="679"/>
      <c r="ECL160" s="679"/>
      <c r="ECM160" s="679"/>
      <c r="ECN160" s="679"/>
      <c r="ECO160" s="679"/>
      <c r="ECP160" s="679"/>
      <c r="ECQ160" s="679"/>
      <c r="ECR160" s="679"/>
      <c r="ECS160" s="679"/>
      <c r="ECT160" s="679"/>
      <c r="ECU160" s="679"/>
      <c r="ECV160" s="679"/>
      <c r="ECW160" s="679"/>
      <c r="ECX160" s="679"/>
      <c r="ECY160" s="679"/>
      <c r="ECZ160" s="679"/>
      <c r="EDA160" s="679"/>
      <c r="EDB160" s="679"/>
      <c r="EDC160" s="679"/>
      <c r="EDD160" s="679"/>
      <c r="EDE160" s="679"/>
      <c r="EDF160" s="679"/>
      <c r="EDG160" s="679"/>
      <c r="EDH160" s="679"/>
      <c r="EDI160" s="679"/>
      <c r="EDJ160" s="679"/>
      <c r="EDK160" s="679"/>
      <c r="EDL160" s="679"/>
      <c r="EDM160" s="679"/>
      <c r="EDN160" s="679"/>
      <c r="EDO160" s="679"/>
      <c r="EDP160" s="679"/>
      <c r="EDQ160" s="679"/>
      <c r="EDR160" s="679"/>
      <c r="EDS160" s="679"/>
      <c r="EDT160" s="679"/>
      <c r="EDU160" s="679"/>
      <c r="EDV160" s="679"/>
      <c r="EDW160" s="679"/>
      <c r="EDX160" s="679"/>
      <c r="EDY160" s="679"/>
      <c r="EDZ160" s="679"/>
      <c r="EEA160" s="679"/>
      <c r="EEB160" s="679"/>
      <c r="EEC160" s="679"/>
      <c r="EED160" s="679"/>
      <c r="EEE160" s="679"/>
      <c r="EEF160" s="679"/>
      <c r="EEG160" s="679"/>
      <c r="EEH160" s="679"/>
      <c r="EEI160" s="679"/>
      <c r="EEJ160" s="679"/>
      <c r="EEK160" s="679"/>
      <c r="EEL160" s="679"/>
      <c r="EEM160" s="679"/>
      <c r="EEN160" s="679"/>
      <c r="EEO160" s="679"/>
      <c r="EEP160" s="679"/>
      <c r="EEQ160" s="679"/>
      <c r="EER160" s="679"/>
      <c r="EES160" s="679"/>
      <c r="EET160" s="679"/>
      <c r="EEU160" s="679"/>
      <c r="EEV160" s="679"/>
      <c r="EEW160" s="679"/>
      <c r="EEX160" s="679"/>
      <c r="EEY160" s="679"/>
      <c r="EEZ160" s="679"/>
      <c r="EFA160" s="679"/>
      <c r="EFB160" s="679"/>
      <c r="EFC160" s="679"/>
      <c r="EFD160" s="679"/>
      <c r="EFE160" s="679"/>
      <c r="EFF160" s="679"/>
      <c r="EFG160" s="679"/>
      <c r="EFH160" s="679"/>
      <c r="EFI160" s="679"/>
      <c r="EFJ160" s="679"/>
      <c r="EFK160" s="679"/>
      <c r="EFL160" s="679"/>
      <c r="EFM160" s="679"/>
      <c r="EFN160" s="679"/>
      <c r="EFO160" s="679"/>
      <c r="EFP160" s="679"/>
      <c r="EFQ160" s="679"/>
      <c r="EFR160" s="679"/>
      <c r="EFS160" s="679"/>
      <c r="EFT160" s="679"/>
      <c r="EFU160" s="679"/>
      <c r="EFV160" s="679"/>
      <c r="EFW160" s="679"/>
      <c r="EFX160" s="679"/>
      <c r="EFY160" s="679"/>
      <c r="EFZ160" s="679"/>
      <c r="EGA160" s="679"/>
      <c r="EGB160" s="679"/>
      <c r="EGC160" s="679"/>
      <c r="EGD160" s="679"/>
      <c r="EGE160" s="679"/>
      <c r="EGF160" s="679"/>
      <c r="EGG160" s="679"/>
      <c r="EGH160" s="679"/>
      <c r="EGI160" s="679"/>
      <c r="EGJ160" s="679"/>
      <c r="EGK160" s="679"/>
      <c r="EGL160" s="679"/>
      <c r="EGM160" s="679"/>
      <c r="EGN160" s="679"/>
      <c r="EGO160" s="679"/>
      <c r="EGP160" s="679"/>
      <c r="EGQ160" s="679"/>
      <c r="EGR160" s="679"/>
      <c r="EGS160" s="679"/>
      <c r="EGT160" s="679"/>
      <c r="EGU160" s="679"/>
      <c r="EGV160" s="679"/>
      <c r="EGW160" s="679"/>
      <c r="EGX160" s="679"/>
      <c r="EGY160" s="679"/>
      <c r="EGZ160" s="679"/>
      <c r="EHA160" s="679"/>
      <c r="EHB160" s="679"/>
      <c r="EHC160" s="679"/>
      <c r="EHD160" s="679"/>
      <c r="EHE160" s="679"/>
      <c r="EHF160" s="679"/>
      <c r="EHG160" s="679"/>
      <c r="EHH160" s="679"/>
      <c r="EHI160" s="679"/>
      <c r="EHJ160" s="679"/>
      <c r="EHK160" s="679"/>
      <c r="EHL160" s="679"/>
      <c r="EHM160" s="679"/>
      <c r="EHN160" s="679"/>
      <c r="EHO160" s="679"/>
      <c r="EHP160" s="679"/>
      <c r="EHQ160" s="679"/>
      <c r="EHR160" s="679"/>
      <c r="EHS160" s="679"/>
      <c r="EHT160" s="679"/>
      <c r="EHU160" s="679"/>
      <c r="EHV160" s="679"/>
      <c r="EHW160" s="679"/>
      <c r="EHX160" s="679"/>
      <c r="EHY160" s="679"/>
      <c r="EHZ160" s="679"/>
      <c r="EIA160" s="679"/>
      <c r="EIB160" s="679"/>
      <c r="EIC160" s="679"/>
      <c r="EID160" s="679"/>
      <c r="EIE160" s="679"/>
      <c r="EIF160" s="679"/>
      <c r="EIG160" s="679"/>
      <c r="EIH160" s="679"/>
      <c r="EII160" s="679"/>
      <c r="EIJ160" s="679"/>
      <c r="EIK160" s="679"/>
      <c r="EIL160" s="679"/>
      <c r="EIM160" s="679"/>
      <c r="EIN160" s="679"/>
      <c r="EIO160" s="679"/>
      <c r="EIP160" s="679"/>
      <c r="EIQ160" s="679"/>
      <c r="EIR160" s="679"/>
      <c r="EIS160" s="679"/>
      <c r="EIT160" s="679"/>
      <c r="EIU160" s="679"/>
      <c r="EIV160" s="679"/>
      <c r="EIW160" s="679"/>
      <c r="EIX160" s="679"/>
      <c r="EIY160" s="679"/>
      <c r="EIZ160" s="679"/>
      <c r="EJA160" s="679"/>
      <c r="EJB160" s="679"/>
      <c r="EJC160" s="679"/>
      <c r="EJD160" s="679"/>
      <c r="EJE160" s="679"/>
      <c r="EJF160" s="679"/>
      <c r="EJG160" s="679"/>
      <c r="EJH160" s="679"/>
      <c r="EJI160" s="679"/>
      <c r="EJJ160" s="679"/>
      <c r="EJK160" s="679"/>
      <c r="EJL160" s="679"/>
      <c r="EJM160" s="679"/>
      <c r="EJN160" s="679"/>
      <c r="EJO160" s="679"/>
      <c r="EJP160" s="679"/>
      <c r="EJQ160" s="679"/>
      <c r="EJR160" s="679"/>
      <c r="EJS160" s="679"/>
      <c r="EJT160" s="679"/>
      <c r="EJU160" s="679"/>
      <c r="EJV160" s="679"/>
      <c r="EJW160" s="679"/>
      <c r="EJX160" s="679"/>
      <c r="EJY160" s="679"/>
      <c r="EJZ160" s="679"/>
      <c r="EKA160" s="679"/>
      <c r="EKB160" s="679"/>
      <c r="EKC160" s="679"/>
      <c r="EKD160" s="679"/>
      <c r="EKE160" s="679"/>
      <c r="EKF160" s="679"/>
      <c r="EKG160" s="679"/>
      <c r="EKH160" s="679"/>
      <c r="EKI160" s="679"/>
      <c r="EKJ160" s="679"/>
      <c r="EKK160" s="679"/>
      <c r="EKL160" s="679"/>
      <c r="EKM160" s="679"/>
      <c r="EKN160" s="679"/>
      <c r="EKO160" s="679"/>
      <c r="EKP160" s="679"/>
      <c r="EKQ160" s="679"/>
      <c r="EKR160" s="679"/>
      <c r="EKS160" s="679"/>
      <c r="EKT160" s="679"/>
      <c r="EKU160" s="679"/>
      <c r="EKV160" s="679"/>
      <c r="EKW160" s="679"/>
      <c r="EKX160" s="679"/>
      <c r="EKY160" s="679"/>
      <c r="EKZ160" s="679"/>
      <c r="ELA160" s="679"/>
      <c r="ELB160" s="679"/>
      <c r="ELC160" s="679"/>
      <c r="ELD160" s="679"/>
      <c r="ELE160" s="679"/>
      <c r="ELF160" s="679"/>
      <c r="ELG160" s="679"/>
      <c r="ELH160" s="679"/>
      <c r="ELI160" s="679"/>
      <c r="ELJ160" s="679"/>
      <c r="ELK160" s="679"/>
      <c r="ELL160" s="679"/>
      <c r="ELM160" s="679"/>
      <c r="ELN160" s="679"/>
      <c r="ELO160" s="679"/>
      <c r="ELP160" s="679"/>
      <c r="ELQ160" s="679"/>
      <c r="ELR160" s="679"/>
      <c r="ELS160" s="679"/>
      <c r="ELT160" s="679"/>
      <c r="ELU160" s="679"/>
      <c r="ELV160" s="679"/>
      <c r="ELW160" s="679"/>
      <c r="ELX160" s="679"/>
      <c r="ELY160" s="679"/>
      <c r="ELZ160" s="679"/>
      <c r="EMA160" s="679"/>
      <c r="EMB160" s="679"/>
      <c r="EMC160" s="679"/>
      <c r="EMD160" s="679"/>
      <c r="EME160" s="679"/>
      <c r="EMF160" s="679"/>
      <c r="EMG160" s="679"/>
      <c r="EMH160" s="679"/>
      <c r="EMI160" s="679"/>
      <c r="EMJ160" s="679"/>
      <c r="EMK160" s="679"/>
      <c r="EML160" s="679"/>
      <c r="EMM160" s="679"/>
      <c r="EMN160" s="679"/>
      <c r="EMO160" s="679"/>
      <c r="EMP160" s="679"/>
      <c r="EMQ160" s="679"/>
      <c r="EMR160" s="679"/>
      <c r="EMS160" s="679"/>
      <c r="EMT160" s="679"/>
      <c r="EMU160" s="679"/>
      <c r="EMV160" s="679"/>
      <c r="EMW160" s="679"/>
      <c r="EMX160" s="679"/>
      <c r="EMY160" s="679"/>
      <c r="EMZ160" s="679"/>
      <c r="ENA160" s="679"/>
      <c r="ENB160" s="679"/>
      <c r="ENC160" s="679"/>
      <c r="END160" s="679"/>
      <c r="ENE160" s="679"/>
      <c r="ENF160" s="679"/>
      <c r="ENG160" s="679"/>
      <c r="ENH160" s="679"/>
      <c r="ENI160" s="679"/>
      <c r="ENJ160" s="679"/>
      <c r="ENK160" s="679"/>
      <c r="ENL160" s="679"/>
      <c r="ENM160" s="679"/>
      <c r="ENN160" s="679"/>
      <c r="ENO160" s="679"/>
      <c r="ENP160" s="679"/>
      <c r="ENQ160" s="679"/>
      <c r="ENR160" s="679"/>
      <c r="ENS160" s="679"/>
      <c r="ENT160" s="679"/>
      <c r="ENU160" s="679"/>
      <c r="ENV160" s="679"/>
      <c r="ENW160" s="679"/>
      <c r="ENX160" s="679"/>
      <c r="ENY160" s="679"/>
      <c r="ENZ160" s="679"/>
      <c r="EOA160" s="679"/>
      <c r="EOB160" s="679"/>
      <c r="EOC160" s="679"/>
      <c r="EOD160" s="679"/>
      <c r="EOE160" s="679"/>
      <c r="EOF160" s="679"/>
      <c r="EOG160" s="679"/>
      <c r="EOH160" s="679"/>
      <c r="EOI160" s="679"/>
      <c r="EOJ160" s="679"/>
      <c r="EOK160" s="679"/>
      <c r="EOL160" s="679"/>
      <c r="EOM160" s="679"/>
      <c r="EON160" s="679"/>
      <c r="EOO160" s="679"/>
      <c r="EOP160" s="679"/>
      <c r="EOQ160" s="679"/>
      <c r="EOR160" s="679"/>
      <c r="EOS160" s="679"/>
      <c r="EOT160" s="679"/>
      <c r="EOU160" s="679"/>
      <c r="EOV160" s="679"/>
      <c r="EOW160" s="679"/>
      <c r="EOX160" s="679"/>
      <c r="EOY160" s="679"/>
      <c r="EOZ160" s="679"/>
      <c r="EPA160" s="679"/>
      <c r="EPB160" s="679"/>
      <c r="EPC160" s="679"/>
      <c r="EPD160" s="679"/>
      <c r="EPE160" s="679"/>
      <c r="EPF160" s="679"/>
      <c r="EPG160" s="679"/>
      <c r="EPH160" s="679"/>
      <c r="EPI160" s="679"/>
      <c r="EPJ160" s="679"/>
      <c r="EPK160" s="679"/>
      <c r="EPL160" s="679"/>
      <c r="EPM160" s="679"/>
      <c r="EPN160" s="679"/>
      <c r="EPO160" s="679"/>
      <c r="EPP160" s="679"/>
      <c r="EPQ160" s="679"/>
      <c r="EPR160" s="679"/>
      <c r="EPS160" s="679"/>
      <c r="EPT160" s="679"/>
      <c r="EPU160" s="679"/>
      <c r="EPV160" s="679"/>
      <c r="EPW160" s="679"/>
      <c r="EPX160" s="679"/>
      <c r="EPY160" s="679"/>
      <c r="EPZ160" s="679"/>
      <c r="EQA160" s="679"/>
      <c r="EQB160" s="679"/>
      <c r="EQC160" s="679"/>
      <c r="EQD160" s="679"/>
      <c r="EQE160" s="679"/>
      <c r="EQF160" s="679"/>
      <c r="EQG160" s="679"/>
      <c r="EQH160" s="679"/>
      <c r="EQI160" s="679"/>
      <c r="EQJ160" s="679"/>
      <c r="EQK160" s="679"/>
      <c r="EQL160" s="679"/>
      <c r="EQM160" s="679"/>
      <c r="EQN160" s="679"/>
      <c r="EQO160" s="679"/>
      <c r="EQP160" s="679"/>
      <c r="EQQ160" s="679"/>
      <c r="EQR160" s="679"/>
      <c r="EQS160" s="679"/>
      <c r="EQT160" s="679"/>
      <c r="EQU160" s="679"/>
      <c r="EQV160" s="679"/>
      <c r="EQW160" s="679"/>
      <c r="EQX160" s="679"/>
      <c r="EQY160" s="679"/>
      <c r="EQZ160" s="679"/>
      <c r="ERA160" s="679"/>
      <c r="ERB160" s="679"/>
      <c r="ERC160" s="679"/>
      <c r="ERD160" s="679"/>
      <c r="ERE160" s="679"/>
      <c r="ERF160" s="679"/>
      <c r="ERG160" s="679"/>
      <c r="ERH160" s="679"/>
      <c r="ERI160" s="679"/>
      <c r="ERJ160" s="679"/>
      <c r="ERK160" s="679"/>
      <c r="ERL160" s="679"/>
      <c r="ERM160" s="679"/>
      <c r="ERN160" s="679"/>
      <c r="ERO160" s="679"/>
      <c r="ERP160" s="679"/>
      <c r="ERQ160" s="679"/>
      <c r="ERR160" s="679"/>
      <c r="ERS160" s="679"/>
      <c r="ERT160" s="679"/>
      <c r="ERU160" s="679"/>
      <c r="ERV160" s="679"/>
      <c r="ERW160" s="679"/>
      <c r="ERX160" s="679"/>
      <c r="ERY160" s="679"/>
      <c r="ERZ160" s="679"/>
      <c r="ESA160" s="679"/>
      <c r="ESB160" s="679"/>
      <c r="ESC160" s="679"/>
      <c r="ESD160" s="679"/>
      <c r="ESE160" s="679"/>
      <c r="ESF160" s="679"/>
      <c r="ESG160" s="679"/>
      <c r="ESH160" s="679"/>
      <c r="ESI160" s="679"/>
      <c r="ESJ160" s="679"/>
      <c r="ESK160" s="679"/>
      <c r="ESL160" s="679"/>
      <c r="ESM160" s="679"/>
      <c r="ESN160" s="679"/>
      <c r="ESO160" s="679"/>
      <c r="ESP160" s="679"/>
      <c r="ESQ160" s="679"/>
      <c r="ESR160" s="679"/>
      <c r="ESS160" s="679"/>
      <c r="EST160" s="679"/>
      <c r="ESU160" s="679"/>
      <c r="ESV160" s="679"/>
      <c r="ESW160" s="679"/>
      <c r="ESX160" s="679"/>
      <c r="ESY160" s="679"/>
      <c r="ESZ160" s="679"/>
      <c r="ETA160" s="679"/>
      <c r="ETB160" s="679"/>
      <c r="ETC160" s="679"/>
      <c r="ETD160" s="679"/>
      <c r="ETE160" s="679"/>
      <c r="ETF160" s="679"/>
      <c r="ETG160" s="679"/>
      <c r="ETH160" s="679"/>
      <c r="ETI160" s="679"/>
      <c r="ETJ160" s="679"/>
      <c r="ETK160" s="679"/>
      <c r="ETL160" s="679"/>
      <c r="ETM160" s="679"/>
      <c r="ETN160" s="679"/>
      <c r="ETO160" s="679"/>
      <c r="ETP160" s="679"/>
      <c r="ETQ160" s="679"/>
      <c r="ETR160" s="679"/>
      <c r="ETS160" s="679"/>
      <c r="ETT160" s="679"/>
      <c r="ETU160" s="679"/>
      <c r="ETV160" s="679"/>
      <c r="ETW160" s="679"/>
      <c r="ETX160" s="679"/>
      <c r="ETY160" s="679"/>
      <c r="ETZ160" s="679"/>
      <c r="EUA160" s="679"/>
      <c r="EUB160" s="679"/>
      <c r="EUC160" s="679"/>
      <c r="EUD160" s="679"/>
      <c r="EUE160" s="679"/>
      <c r="EUF160" s="679"/>
      <c r="EUG160" s="679"/>
      <c r="EUH160" s="679"/>
      <c r="EUI160" s="679"/>
      <c r="EUJ160" s="679"/>
      <c r="EUK160" s="679"/>
      <c r="EUL160" s="679"/>
      <c r="EUM160" s="679"/>
      <c r="EUN160" s="679"/>
      <c r="EUO160" s="679"/>
      <c r="EUP160" s="679"/>
      <c r="EUQ160" s="679"/>
      <c r="EUR160" s="679"/>
      <c r="EUS160" s="679"/>
      <c r="EUT160" s="679"/>
      <c r="EUU160" s="679"/>
      <c r="EUV160" s="679"/>
      <c r="EUW160" s="679"/>
      <c r="EUX160" s="679"/>
      <c r="EUY160" s="679"/>
      <c r="EUZ160" s="679"/>
      <c r="EVA160" s="679"/>
      <c r="EVB160" s="679"/>
      <c r="EVC160" s="679"/>
      <c r="EVD160" s="679"/>
      <c r="EVE160" s="679"/>
      <c r="EVF160" s="679"/>
      <c r="EVG160" s="679"/>
      <c r="EVH160" s="679"/>
      <c r="EVI160" s="679"/>
      <c r="EVJ160" s="679"/>
      <c r="EVK160" s="679"/>
      <c r="EVL160" s="679"/>
      <c r="EVM160" s="679"/>
      <c r="EVN160" s="679"/>
      <c r="EVO160" s="679"/>
      <c r="EVP160" s="679"/>
      <c r="EVQ160" s="679"/>
      <c r="EVR160" s="679"/>
      <c r="EVS160" s="679"/>
      <c r="EVT160" s="679"/>
      <c r="EVU160" s="679"/>
      <c r="EVV160" s="679"/>
      <c r="EVW160" s="679"/>
      <c r="EVX160" s="679"/>
      <c r="EVY160" s="679"/>
      <c r="EVZ160" s="679"/>
      <c r="EWA160" s="679"/>
      <c r="EWB160" s="679"/>
      <c r="EWC160" s="679"/>
      <c r="EWD160" s="679"/>
      <c r="EWE160" s="679"/>
      <c r="EWF160" s="679"/>
      <c r="EWG160" s="679"/>
      <c r="EWH160" s="679"/>
      <c r="EWI160" s="679"/>
      <c r="EWJ160" s="679"/>
      <c r="EWK160" s="679"/>
      <c r="EWL160" s="679"/>
      <c r="EWM160" s="679"/>
      <c r="EWN160" s="679"/>
      <c r="EWO160" s="679"/>
      <c r="EWP160" s="679"/>
      <c r="EWQ160" s="679"/>
      <c r="EWR160" s="679"/>
      <c r="EWS160" s="679"/>
      <c r="EWT160" s="679"/>
      <c r="EWU160" s="679"/>
      <c r="EWV160" s="679"/>
      <c r="EWW160" s="679"/>
      <c r="EWX160" s="679"/>
      <c r="EWY160" s="679"/>
      <c r="EWZ160" s="679"/>
      <c r="EXA160" s="679"/>
      <c r="EXB160" s="679"/>
      <c r="EXC160" s="679"/>
      <c r="EXD160" s="679"/>
      <c r="EXE160" s="679"/>
      <c r="EXF160" s="679"/>
      <c r="EXG160" s="679"/>
      <c r="EXH160" s="679"/>
      <c r="EXI160" s="679"/>
      <c r="EXJ160" s="679"/>
      <c r="EXK160" s="679"/>
      <c r="EXL160" s="679"/>
      <c r="EXM160" s="679"/>
      <c r="EXN160" s="679"/>
      <c r="EXO160" s="679"/>
      <c r="EXP160" s="679"/>
      <c r="EXQ160" s="679"/>
      <c r="EXR160" s="679"/>
      <c r="EXS160" s="679"/>
      <c r="EXT160" s="679"/>
      <c r="EXU160" s="679"/>
      <c r="EXV160" s="679"/>
      <c r="EXW160" s="679"/>
      <c r="EXX160" s="679"/>
      <c r="EXY160" s="679"/>
      <c r="EXZ160" s="679"/>
      <c r="EYA160" s="679"/>
      <c r="EYB160" s="679"/>
      <c r="EYC160" s="679"/>
      <c r="EYD160" s="679"/>
      <c r="EYE160" s="679"/>
      <c r="EYF160" s="679"/>
      <c r="EYG160" s="679"/>
      <c r="EYH160" s="679"/>
      <c r="EYI160" s="679"/>
      <c r="EYJ160" s="679"/>
      <c r="EYK160" s="679"/>
      <c r="EYL160" s="679"/>
      <c r="EYM160" s="679"/>
      <c r="EYN160" s="679"/>
      <c r="EYO160" s="679"/>
      <c r="EYP160" s="679"/>
      <c r="EYQ160" s="679"/>
      <c r="EYR160" s="679"/>
      <c r="EYS160" s="679"/>
      <c r="EYT160" s="679"/>
      <c r="EYU160" s="679"/>
      <c r="EYV160" s="679"/>
      <c r="EYW160" s="679"/>
      <c r="EYX160" s="679"/>
      <c r="EYY160" s="679"/>
      <c r="EYZ160" s="679"/>
      <c r="EZA160" s="679"/>
      <c r="EZB160" s="679"/>
      <c r="EZC160" s="679"/>
      <c r="EZD160" s="679"/>
      <c r="EZE160" s="679"/>
      <c r="EZF160" s="679"/>
      <c r="EZG160" s="679"/>
      <c r="EZH160" s="679"/>
      <c r="EZI160" s="679"/>
      <c r="EZJ160" s="679"/>
      <c r="EZK160" s="679"/>
      <c r="EZL160" s="679"/>
      <c r="EZM160" s="679"/>
      <c r="EZN160" s="679"/>
      <c r="EZO160" s="679"/>
      <c r="EZP160" s="679"/>
      <c r="EZQ160" s="679"/>
      <c r="EZR160" s="679"/>
      <c r="EZS160" s="679"/>
      <c r="EZT160" s="679"/>
      <c r="EZU160" s="679"/>
      <c r="EZV160" s="679"/>
      <c r="EZW160" s="679"/>
      <c r="EZX160" s="679"/>
      <c r="EZY160" s="679"/>
      <c r="EZZ160" s="679"/>
      <c r="FAA160" s="679"/>
      <c r="FAB160" s="679"/>
      <c r="FAC160" s="679"/>
      <c r="FAD160" s="679"/>
      <c r="FAE160" s="679"/>
      <c r="FAF160" s="679"/>
      <c r="FAG160" s="679"/>
      <c r="FAH160" s="679"/>
      <c r="FAI160" s="679"/>
      <c r="FAJ160" s="679"/>
      <c r="FAK160" s="679"/>
      <c r="FAL160" s="679"/>
      <c r="FAM160" s="679"/>
      <c r="FAN160" s="679"/>
      <c r="FAO160" s="679"/>
      <c r="FAP160" s="679"/>
      <c r="FAQ160" s="679"/>
      <c r="FAR160" s="679"/>
      <c r="FAS160" s="679"/>
      <c r="FAT160" s="679"/>
      <c r="FAU160" s="679"/>
      <c r="FAV160" s="679"/>
      <c r="FAW160" s="679"/>
      <c r="FAX160" s="679"/>
      <c r="FAY160" s="679"/>
      <c r="FAZ160" s="679"/>
      <c r="FBA160" s="679"/>
      <c r="FBB160" s="679"/>
      <c r="FBC160" s="679"/>
      <c r="FBD160" s="679"/>
      <c r="FBE160" s="679"/>
      <c r="FBF160" s="679"/>
      <c r="FBG160" s="679"/>
      <c r="FBH160" s="679"/>
      <c r="FBI160" s="679"/>
      <c r="FBJ160" s="679"/>
      <c r="FBK160" s="679"/>
      <c r="FBL160" s="679"/>
      <c r="FBM160" s="679"/>
      <c r="FBN160" s="679"/>
      <c r="FBO160" s="679"/>
      <c r="FBP160" s="679"/>
      <c r="FBQ160" s="679"/>
      <c r="FBR160" s="679"/>
      <c r="FBS160" s="679"/>
      <c r="FBT160" s="679"/>
      <c r="FBU160" s="679"/>
      <c r="FBV160" s="679"/>
      <c r="FBW160" s="679"/>
      <c r="FBX160" s="679"/>
      <c r="FBY160" s="679"/>
      <c r="FBZ160" s="679"/>
      <c r="FCA160" s="679"/>
      <c r="FCB160" s="679"/>
      <c r="FCC160" s="679"/>
      <c r="FCD160" s="679"/>
      <c r="FCE160" s="679"/>
      <c r="FCF160" s="679"/>
      <c r="FCG160" s="679"/>
      <c r="FCH160" s="679"/>
      <c r="FCI160" s="679"/>
      <c r="FCJ160" s="679"/>
      <c r="FCK160" s="679"/>
      <c r="FCL160" s="679"/>
      <c r="FCM160" s="679"/>
      <c r="FCN160" s="679"/>
      <c r="FCO160" s="679"/>
      <c r="FCP160" s="679"/>
      <c r="FCQ160" s="679"/>
      <c r="FCR160" s="679"/>
      <c r="FCS160" s="679"/>
      <c r="FCT160" s="679"/>
      <c r="FCU160" s="679"/>
      <c r="FCV160" s="679"/>
      <c r="FCW160" s="679"/>
      <c r="FCX160" s="679"/>
      <c r="FCY160" s="679"/>
      <c r="FCZ160" s="679"/>
      <c r="FDA160" s="679"/>
      <c r="FDB160" s="679"/>
      <c r="FDC160" s="679"/>
      <c r="FDD160" s="679"/>
      <c r="FDE160" s="679"/>
      <c r="FDF160" s="679"/>
      <c r="FDG160" s="679"/>
      <c r="FDH160" s="679"/>
      <c r="FDI160" s="679"/>
      <c r="FDJ160" s="679"/>
      <c r="FDK160" s="679"/>
      <c r="FDL160" s="679"/>
      <c r="FDM160" s="679"/>
      <c r="FDN160" s="679"/>
      <c r="FDO160" s="679"/>
      <c r="FDP160" s="679"/>
      <c r="FDQ160" s="679"/>
      <c r="FDR160" s="679"/>
      <c r="FDS160" s="679"/>
      <c r="FDT160" s="679"/>
      <c r="FDU160" s="679"/>
      <c r="FDV160" s="679"/>
      <c r="FDW160" s="679"/>
      <c r="FDX160" s="679"/>
      <c r="FDY160" s="679"/>
      <c r="FDZ160" s="679"/>
      <c r="FEA160" s="679"/>
      <c r="FEB160" s="679"/>
      <c r="FEC160" s="679"/>
      <c r="FED160" s="679"/>
      <c r="FEE160" s="679"/>
      <c r="FEF160" s="679"/>
      <c r="FEG160" s="679"/>
      <c r="FEH160" s="679"/>
      <c r="FEI160" s="679"/>
      <c r="FEJ160" s="679"/>
      <c r="FEK160" s="679"/>
      <c r="FEL160" s="679"/>
      <c r="FEM160" s="679"/>
      <c r="FEN160" s="679"/>
      <c r="FEO160" s="679"/>
      <c r="FEP160" s="679"/>
      <c r="FEQ160" s="679"/>
      <c r="FER160" s="679"/>
      <c r="FES160" s="679"/>
      <c r="FET160" s="679"/>
      <c r="FEU160" s="679"/>
      <c r="FEV160" s="679"/>
      <c r="FEW160" s="679"/>
      <c r="FEX160" s="679"/>
      <c r="FEY160" s="679"/>
      <c r="FEZ160" s="679"/>
      <c r="FFA160" s="679"/>
      <c r="FFB160" s="679"/>
      <c r="FFC160" s="679"/>
      <c r="FFD160" s="679"/>
      <c r="FFE160" s="679"/>
      <c r="FFF160" s="679"/>
      <c r="FFG160" s="679"/>
      <c r="FFH160" s="679"/>
      <c r="FFI160" s="679"/>
      <c r="FFJ160" s="679"/>
      <c r="FFK160" s="679"/>
      <c r="FFL160" s="679"/>
      <c r="FFM160" s="679"/>
      <c r="FFN160" s="679"/>
      <c r="FFO160" s="679"/>
      <c r="FFP160" s="679"/>
      <c r="FFQ160" s="679"/>
      <c r="FFR160" s="679"/>
      <c r="FFS160" s="679"/>
      <c r="FFT160" s="679"/>
      <c r="FFU160" s="679"/>
      <c r="FFV160" s="679"/>
      <c r="FFW160" s="679"/>
      <c r="FFX160" s="679"/>
      <c r="FFY160" s="679"/>
      <c r="FFZ160" s="679"/>
      <c r="FGA160" s="679"/>
      <c r="FGB160" s="679"/>
      <c r="FGC160" s="679"/>
      <c r="FGD160" s="679"/>
      <c r="FGE160" s="679"/>
      <c r="FGF160" s="679"/>
      <c r="FGG160" s="679"/>
      <c r="FGH160" s="679"/>
      <c r="FGI160" s="679"/>
      <c r="FGJ160" s="679"/>
      <c r="FGK160" s="679"/>
      <c r="FGL160" s="679"/>
      <c r="FGM160" s="679"/>
      <c r="FGN160" s="679"/>
      <c r="FGO160" s="679"/>
      <c r="FGP160" s="679"/>
      <c r="FGQ160" s="679"/>
      <c r="FGR160" s="679"/>
      <c r="FGS160" s="679"/>
      <c r="FGT160" s="679"/>
      <c r="FGU160" s="679"/>
      <c r="FGV160" s="679"/>
      <c r="FGW160" s="679"/>
      <c r="FGX160" s="679"/>
      <c r="FGY160" s="679"/>
      <c r="FGZ160" s="679"/>
      <c r="FHA160" s="679"/>
      <c r="FHB160" s="679"/>
      <c r="FHC160" s="679"/>
      <c r="FHD160" s="679"/>
      <c r="FHE160" s="679"/>
      <c r="FHF160" s="679"/>
      <c r="FHG160" s="679"/>
      <c r="FHH160" s="679"/>
      <c r="FHI160" s="679"/>
      <c r="FHJ160" s="679"/>
      <c r="FHK160" s="679"/>
      <c r="FHL160" s="679"/>
      <c r="FHM160" s="679"/>
      <c r="FHN160" s="679"/>
      <c r="FHO160" s="679"/>
      <c r="FHP160" s="679"/>
      <c r="FHQ160" s="679"/>
      <c r="FHR160" s="679"/>
      <c r="FHS160" s="679"/>
      <c r="FHT160" s="679"/>
      <c r="FHU160" s="679"/>
      <c r="FHV160" s="679"/>
      <c r="FHW160" s="679"/>
      <c r="FHX160" s="679"/>
      <c r="FHY160" s="679"/>
      <c r="FHZ160" s="679"/>
      <c r="FIA160" s="679"/>
      <c r="FIB160" s="679"/>
      <c r="FIC160" s="679"/>
      <c r="FID160" s="679"/>
      <c r="FIE160" s="679"/>
      <c r="FIF160" s="679"/>
      <c r="FIG160" s="679"/>
      <c r="FIH160" s="679"/>
      <c r="FII160" s="679"/>
      <c r="FIJ160" s="679"/>
      <c r="FIK160" s="679"/>
      <c r="FIL160" s="679"/>
      <c r="FIM160" s="679"/>
      <c r="FIN160" s="679"/>
      <c r="FIO160" s="679"/>
      <c r="FIP160" s="679"/>
      <c r="FIQ160" s="679"/>
      <c r="FIR160" s="679"/>
      <c r="FIS160" s="679"/>
      <c r="FIT160" s="679"/>
      <c r="FIU160" s="679"/>
      <c r="FIV160" s="679"/>
      <c r="FIW160" s="679"/>
      <c r="FIX160" s="679"/>
      <c r="FIY160" s="679"/>
      <c r="FIZ160" s="679"/>
      <c r="FJA160" s="679"/>
      <c r="FJB160" s="679"/>
      <c r="FJC160" s="679"/>
      <c r="FJD160" s="679"/>
      <c r="FJE160" s="679"/>
      <c r="FJF160" s="679"/>
      <c r="FJG160" s="679"/>
      <c r="FJH160" s="679"/>
      <c r="FJI160" s="679"/>
      <c r="FJJ160" s="679"/>
      <c r="FJK160" s="679"/>
      <c r="FJL160" s="679"/>
      <c r="FJM160" s="679"/>
      <c r="FJN160" s="679"/>
      <c r="FJO160" s="679"/>
      <c r="FJP160" s="679"/>
      <c r="FJQ160" s="679"/>
      <c r="FJR160" s="679"/>
      <c r="FJS160" s="679"/>
      <c r="FJT160" s="679"/>
      <c r="FJU160" s="679"/>
      <c r="FJV160" s="679"/>
      <c r="FJW160" s="679"/>
      <c r="FJX160" s="679"/>
      <c r="FJY160" s="679"/>
      <c r="FJZ160" s="679"/>
      <c r="FKA160" s="679"/>
      <c r="FKB160" s="679"/>
      <c r="FKC160" s="679"/>
      <c r="FKD160" s="679"/>
      <c r="FKE160" s="679"/>
      <c r="FKF160" s="679"/>
      <c r="FKG160" s="679"/>
      <c r="FKH160" s="679"/>
      <c r="FKI160" s="679"/>
      <c r="FKJ160" s="679"/>
      <c r="FKK160" s="679"/>
      <c r="FKL160" s="679"/>
      <c r="FKM160" s="679"/>
      <c r="FKN160" s="679"/>
      <c r="FKO160" s="679"/>
      <c r="FKP160" s="679"/>
      <c r="FKQ160" s="679"/>
      <c r="FKR160" s="679"/>
      <c r="FKS160" s="679"/>
      <c r="FKT160" s="679"/>
      <c r="FKU160" s="679"/>
      <c r="FKV160" s="679"/>
      <c r="FKW160" s="679"/>
      <c r="FKX160" s="679"/>
      <c r="FKY160" s="679"/>
      <c r="FKZ160" s="679"/>
      <c r="FLA160" s="679"/>
      <c r="FLB160" s="679"/>
      <c r="FLC160" s="679"/>
      <c r="FLD160" s="679"/>
      <c r="FLE160" s="679"/>
      <c r="FLF160" s="679"/>
      <c r="FLG160" s="679"/>
      <c r="FLH160" s="679"/>
      <c r="FLI160" s="679"/>
      <c r="FLJ160" s="679"/>
      <c r="FLK160" s="679"/>
      <c r="FLL160" s="679"/>
      <c r="FLM160" s="679"/>
      <c r="FLN160" s="679"/>
      <c r="FLO160" s="679"/>
      <c r="FLP160" s="679"/>
      <c r="FLQ160" s="679"/>
      <c r="FLR160" s="679"/>
      <c r="FLS160" s="679"/>
      <c r="FLT160" s="679"/>
      <c r="FLU160" s="679"/>
      <c r="FLV160" s="679"/>
      <c r="FLW160" s="679"/>
      <c r="FLX160" s="679"/>
      <c r="FLY160" s="679"/>
      <c r="FLZ160" s="679"/>
      <c r="FMA160" s="679"/>
      <c r="FMB160" s="679"/>
      <c r="FMC160" s="679"/>
      <c r="FMD160" s="679"/>
      <c r="FME160" s="679"/>
      <c r="FMF160" s="679"/>
      <c r="FMG160" s="679"/>
      <c r="FMH160" s="679"/>
      <c r="FMI160" s="679"/>
      <c r="FMJ160" s="679"/>
      <c r="FMK160" s="679"/>
      <c r="FML160" s="679"/>
      <c r="FMM160" s="679"/>
      <c r="FMN160" s="679"/>
      <c r="FMO160" s="679"/>
      <c r="FMP160" s="679"/>
      <c r="FMQ160" s="679"/>
      <c r="FMR160" s="679"/>
      <c r="FMS160" s="679"/>
      <c r="FMT160" s="679"/>
      <c r="FMU160" s="679"/>
      <c r="FMV160" s="679"/>
      <c r="FMW160" s="679"/>
      <c r="FMX160" s="679"/>
      <c r="FMY160" s="679"/>
      <c r="FMZ160" s="679"/>
      <c r="FNA160" s="679"/>
      <c r="FNB160" s="679"/>
      <c r="FNC160" s="679"/>
      <c r="FND160" s="679"/>
      <c r="FNE160" s="679"/>
      <c r="FNF160" s="679"/>
      <c r="FNG160" s="679"/>
      <c r="FNH160" s="679"/>
      <c r="FNI160" s="679"/>
      <c r="FNJ160" s="679"/>
      <c r="FNK160" s="679"/>
      <c r="FNL160" s="679"/>
      <c r="FNM160" s="679"/>
      <c r="FNN160" s="679"/>
      <c r="FNO160" s="679"/>
      <c r="FNP160" s="679"/>
      <c r="FNQ160" s="679"/>
      <c r="FNR160" s="679"/>
      <c r="FNS160" s="679"/>
      <c r="FNT160" s="679"/>
      <c r="FNU160" s="679"/>
      <c r="FNV160" s="679"/>
      <c r="FNW160" s="679"/>
      <c r="FNX160" s="679"/>
      <c r="FNY160" s="679"/>
      <c r="FNZ160" s="679"/>
      <c r="FOA160" s="679"/>
      <c r="FOB160" s="679"/>
      <c r="FOC160" s="679"/>
      <c r="FOD160" s="679"/>
      <c r="FOE160" s="679"/>
      <c r="FOF160" s="679"/>
      <c r="FOG160" s="679"/>
      <c r="FOH160" s="679"/>
      <c r="FOI160" s="679"/>
      <c r="FOJ160" s="679"/>
      <c r="FOK160" s="679"/>
      <c r="FOL160" s="679"/>
      <c r="FOM160" s="679"/>
      <c r="FON160" s="679"/>
      <c r="FOO160" s="679"/>
      <c r="FOP160" s="679"/>
      <c r="FOQ160" s="679"/>
      <c r="FOR160" s="679"/>
      <c r="FOS160" s="679"/>
      <c r="FOT160" s="679"/>
      <c r="FOU160" s="679"/>
      <c r="FOV160" s="679"/>
      <c r="FOW160" s="679"/>
      <c r="FOX160" s="679"/>
      <c r="FOY160" s="679"/>
      <c r="FOZ160" s="679"/>
      <c r="FPA160" s="679"/>
      <c r="FPB160" s="679"/>
      <c r="FPC160" s="679"/>
      <c r="FPD160" s="679"/>
      <c r="FPE160" s="679"/>
      <c r="FPF160" s="679"/>
      <c r="FPG160" s="679"/>
      <c r="FPH160" s="679"/>
      <c r="FPI160" s="679"/>
      <c r="FPJ160" s="679"/>
      <c r="FPK160" s="679"/>
      <c r="FPL160" s="679"/>
      <c r="FPM160" s="679"/>
      <c r="FPN160" s="679"/>
      <c r="FPO160" s="679"/>
      <c r="FPP160" s="679"/>
      <c r="FPQ160" s="679"/>
      <c r="FPR160" s="679"/>
      <c r="FPS160" s="679"/>
      <c r="FPT160" s="679"/>
      <c r="FPU160" s="679"/>
      <c r="FPV160" s="679"/>
      <c r="FPW160" s="679"/>
      <c r="FPX160" s="679"/>
      <c r="FPY160" s="679"/>
      <c r="FPZ160" s="679"/>
      <c r="FQA160" s="679"/>
      <c r="FQB160" s="679"/>
      <c r="FQC160" s="679"/>
      <c r="FQD160" s="679"/>
      <c r="FQE160" s="679"/>
      <c r="FQF160" s="679"/>
      <c r="FQG160" s="679"/>
      <c r="FQH160" s="679"/>
      <c r="FQI160" s="679"/>
      <c r="FQJ160" s="679"/>
      <c r="FQK160" s="679"/>
      <c r="FQL160" s="679"/>
      <c r="FQM160" s="679"/>
      <c r="FQN160" s="679"/>
      <c r="FQO160" s="679"/>
      <c r="FQP160" s="679"/>
      <c r="FQQ160" s="679"/>
      <c r="FQR160" s="679"/>
      <c r="FQS160" s="679"/>
      <c r="FQT160" s="679"/>
      <c r="FQU160" s="679"/>
      <c r="FQV160" s="679"/>
      <c r="FQW160" s="679"/>
      <c r="FQX160" s="679"/>
      <c r="FQY160" s="679"/>
      <c r="FQZ160" s="679"/>
      <c r="FRA160" s="679"/>
      <c r="FRB160" s="679"/>
      <c r="FRC160" s="679"/>
      <c r="FRD160" s="679"/>
      <c r="FRE160" s="679"/>
      <c r="FRF160" s="679"/>
      <c r="FRG160" s="679"/>
      <c r="FRH160" s="679"/>
      <c r="FRI160" s="679"/>
      <c r="FRJ160" s="679"/>
      <c r="FRK160" s="679"/>
      <c r="FRL160" s="679"/>
      <c r="FRM160" s="679"/>
      <c r="FRN160" s="679"/>
      <c r="FRO160" s="679"/>
      <c r="FRP160" s="679"/>
      <c r="FRQ160" s="679"/>
      <c r="FRR160" s="679"/>
      <c r="FRS160" s="679"/>
      <c r="FRT160" s="679"/>
      <c r="FRU160" s="679"/>
      <c r="FRV160" s="679"/>
      <c r="FRW160" s="679"/>
      <c r="FRX160" s="679"/>
      <c r="FRY160" s="679"/>
      <c r="FRZ160" s="679"/>
      <c r="FSA160" s="679"/>
      <c r="FSB160" s="679"/>
      <c r="FSC160" s="679"/>
      <c r="FSD160" s="679"/>
      <c r="FSE160" s="679"/>
      <c r="FSF160" s="679"/>
      <c r="FSG160" s="679"/>
      <c r="FSH160" s="679"/>
      <c r="FSI160" s="679"/>
      <c r="FSJ160" s="679"/>
      <c r="FSK160" s="679"/>
      <c r="FSL160" s="679"/>
      <c r="FSM160" s="679"/>
      <c r="FSN160" s="679"/>
      <c r="FSO160" s="679"/>
      <c r="FSP160" s="679"/>
      <c r="FSQ160" s="679"/>
      <c r="FSR160" s="679"/>
      <c r="FSS160" s="679"/>
      <c r="FST160" s="679"/>
      <c r="FSU160" s="679"/>
      <c r="FSV160" s="679"/>
      <c r="FSW160" s="679"/>
      <c r="FSX160" s="679"/>
      <c r="FSY160" s="679"/>
      <c r="FSZ160" s="679"/>
      <c r="FTA160" s="679"/>
      <c r="FTB160" s="679"/>
      <c r="FTC160" s="679"/>
      <c r="FTD160" s="679"/>
      <c r="FTE160" s="679"/>
      <c r="FTF160" s="679"/>
      <c r="FTG160" s="679"/>
      <c r="FTH160" s="679"/>
      <c r="FTI160" s="679"/>
      <c r="FTJ160" s="679"/>
      <c r="FTK160" s="679"/>
      <c r="FTL160" s="679"/>
      <c r="FTM160" s="679"/>
      <c r="FTN160" s="679"/>
      <c r="FTO160" s="679"/>
      <c r="FTP160" s="679"/>
      <c r="FTQ160" s="679"/>
      <c r="FTR160" s="679"/>
      <c r="FTS160" s="679"/>
      <c r="FTT160" s="679"/>
      <c r="FTU160" s="679"/>
      <c r="FTV160" s="679"/>
      <c r="FTW160" s="679"/>
      <c r="FTX160" s="679"/>
      <c r="FTY160" s="679"/>
      <c r="FTZ160" s="679"/>
      <c r="FUA160" s="679"/>
      <c r="FUB160" s="679"/>
      <c r="FUC160" s="679"/>
      <c r="FUD160" s="679"/>
      <c r="FUE160" s="679"/>
      <c r="FUF160" s="679"/>
      <c r="FUG160" s="679"/>
      <c r="FUH160" s="679"/>
      <c r="FUI160" s="679"/>
      <c r="FUJ160" s="679"/>
      <c r="FUK160" s="679"/>
      <c r="FUL160" s="679"/>
      <c r="FUM160" s="679"/>
      <c r="FUN160" s="679"/>
      <c r="FUO160" s="679"/>
      <c r="FUP160" s="679"/>
      <c r="FUQ160" s="679"/>
      <c r="FUR160" s="679"/>
      <c r="FUS160" s="679"/>
      <c r="FUT160" s="679"/>
      <c r="FUU160" s="679"/>
      <c r="FUV160" s="679"/>
      <c r="FUW160" s="679"/>
      <c r="FUX160" s="679"/>
      <c r="FUY160" s="679"/>
      <c r="FUZ160" s="679"/>
      <c r="FVA160" s="679"/>
      <c r="FVB160" s="679"/>
      <c r="FVC160" s="679"/>
      <c r="FVD160" s="679"/>
      <c r="FVE160" s="679"/>
      <c r="FVF160" s="679"/>
      <c r="FVG160" s="679"/>
      <c r="FVH160" s="679"/>
      <c r="FVI160" s="679"/>
      <c r="FVJ160" s="679"/>
      <c r="FVK160" s="679"/>
      <c r="FVL160" s="679"/>
      <c r="FVM160" s="679"/>
      <c r="FVN160" s="679"/>
      <c r="FVO160" s="679"/>
      <c r="FVP160" s="679"/>
      <c r="FVQ160" s="679"/>
      <c r="FVR160" s="679"/>
      <c r="FVS160" s="679"/>
      <c r="FVT160" s="679"/>
      <c r="FVU160" s="679"/>
      <c r="FVV160" s="679"/>
      <c r="FVW160" s="679"/>
      <c r="FVX160" s="679"/>
      <c r="FVY160" s="679"/>
      <c r="FVZ160" s="679"/>
      <c r="FWA160" s="679"/>
      <c r="FWB160" s="679"/>
      <c r="FWC160" s="679"/>
      <c r="FWD160" s="679"/>
      <c r="FWE160" s="679"/>
      <c r="FWF160" s="679"/>
      <c r="FWG160" s="679"/>
      <c r="FWH160" s="679"/>
      <c r="FWI160" s="679"/>
      <c r="FWJ160" s="679"/>
      <c r="FWK160" s="679"/>
      <c r="FWL160" s="679"/>
      <c r="FWM160" s="679"/>
      <c r="FWN160" s="679"/>
      <c r="FWO160" s="679"/>
      <c r="FWP160" s="679"/>
      <c r="FWQ160" s="679"/>
      <c r="FWR160" s="679"/>
      <c r="FWS160" s="679"/>
      <c r="FWT160" s="679"/>
      <c r="FWU160" s="679"/>
      <c r="FWV160" s="679"/>
      <c r="FWW160" s="679"/>
      <c r="FWX160" s="679"/>
      <c r="FWY160" s="679"/>
      <c r="FWZ160" s="679"/>
      <c r="FXA160" s="679"/>
      <c r="FXB160" s="679"/>
      <c r="FXC160" s="679"/>
      <c r="FXD160" s="679"/>
      <c r="FXE160" s="679"/>
      <c r="FXF160" s="679"/>
      <c r="FXG160" s="679"/>
      <c r="FXH160" s="679"/>
      <c r="FXI160" s="679"/>
      <c r="FXJ160" s="679"/>
      <c r="FXK160" s="679"/>
      <c r="FXL160" s="679"/>
      <c r="FXM160" s="679"/>
      <c r="FXN160" s="679"/>
      <c r="FXO160" s="679"/>
      <c r="FXP160" s="679"/>
      <c r="FXQ160" s="679"/>
      <c r="FXR160" s="679"/>
      <c r="FXS160" s="679"/>
      <c r="FXT160" s="679"/>
      <c r="FXU160" s="679"/>
      <c r="FXV160" s="679"/>
      <c r="FXW160" s="679"/>
      <c r="FXX160" s="679"/>
      <c r="FXY160" s="679"/>
      <c r="FXZ160" s="679"/>
      <c r="FYA160" s="679"/>
      <c r="FYB160" s="679"/>
      <c r="FYC160" s="679"/>
      <c r="FYD160" s="679"/>
      <c r="FYE160" s="679"/>
      <c r="FYF160" s="679"/>
      <c r="FYG160" s="679"/>
      <c r="FYH160" s="679"/>
      <c r="FYI160" s="679"/>
      <c r="FYJ160" s="679"/>
      <c r="FYK160" s="679"/>
      <c r="FYL160" s="679"/>
      <c r="FYM160" s="679"/>
      <c r="FYN160" s="679"/>
      <c r="FYO160" s="679"/>
      <c r="FYP160" s="679"/>
      <c r="FYQ160" s="679"/>
      <c r="FYR160" s="679"/>
      <c r="FYS160" s="679"/>
      <c r="FYT160" s="679"/>
      <c r="FYU160" s="679"/>
      <c r="FYV160" s="679"/>
      <c r="FYW160" s="679"/>
      <c r="FYX160" s="679"/>
      <c r="FYY160" s="679"/>
      <c r="FYZ160" s="679"/>
      <c r="FZA160" s="679"/>
      <c r="FZB160" s="679"/>
      <c r="FZC160" s="679"/>
      <c r="FZD160" s="679"/>
      <c r="FZE160" s="679"/>
      <c r="FZF160" s="679"/>
      <c r="FZG160" s="679"/>
      <c r="FZH160" s="679"/>
      <c r="FZI160" s="679"/>
      <c r="FZJ160" s="679"/>
      <c r="FZK160" s="679"/>
      <c r="FZL160" s="679"/>
      <c r="FZM160" s="679"/>
      <c r="FZN160" s="679"/>
      <c r="FZO160" s="679"/>
      <c r="FZP160" s="679"/>
      <c r="FZQ160" s="679"/>
      <c r="FZR160" s="679"/>
      <c r="FZS160" s="679"/>
      <c r="FZT160" s="679"/>
      <c r="FZU160" s="679"/>
      <c r="FZV160" s="679"/>
      <c r="FZW160" s="679"/>
      <c r="FZX160" s="679"/>
      <c r="FZY160" s="679"/>
      <c r="FZZ160" s="679"/>
      <c r="GAA160" s="679"/>
      <c r="GAB160" s="679"/>
      <c r="GAC160" s="679"/>
      <c r="GAD160" s="679"/>
      <c r="GAE160" s="679"/>
      <c r="GAF160" s="679"/>
      <c r="GAG160" s="679"/>
      <c r="GAH160" s="679"/>
      <c r="GAI160" s="679"/>
      <c r="GAJ160" s="679"/>
      <c r="GAK160" s="679"/>
      <c r="GAL160" s="679"/>
      <c r="GAM160" s="679"/>
      <c r="GAN160" s="679"/>
      <c r="GAO160" s="679"/>
      <c r="GAP160" s="679"/>
      <c r="GAQ160" s="679"/>
      <c r="GAR160" s="679"/>
      <c r="GAS160" s="679"/>
      <c r="GAT160" s="679"/>
      <c r="GAU160" s="679"/>
      <c r="GAV160" s="679"/>
      <c r="GAW160" s="679"/>
      <c r="GAX160" s="679"/>
      <c r="GAY160" s="679"/>
      <c r="GAZ160" s="679"/>
      <c r="GBA160" s="679"/>
      <c r="GBB160" s="679"/>
      <c r="GBC160" s="679"/>
      <c r="GBD160" s="679"/>
      <c r="GBE160" s="679"/>
      <c r="GBF160" s="679"/>
      <c r="GBG160" s="679"/>
      <c r="GBH160" s="679"/>
      <c r="GBI160" s="679"/>
      <c r="GBJ160" s="679"/>
      <c r="GBK160" s="679"/>
      <c r="GBL160" s="679"/>
      <c r="GBM160" s="679"/>
      <c r="GBN160" s="679"/>
      <c r="GBO160" s="679"/>
      <c r="GBP160" s="679"/>
      <c r="GBQ160" s="679"/>
      <c r="GBR160" s="679"/>
      <c r="GBS160" s="679"/>
      <c r="GBT160" s="679"/>
      <c r="GBU160" s="679"/>
      <c r="GBV160" s="679"/>
      <c r="GBW160" s="679"/>
      <c r="GBX160" s="679"/>
      <c r="GBY160" s="679"/>
      <c r="GBZ160" s="679"/>
      <c r="GCA160" s="679"/>
      <c r="GCB160" s="679"/>
      <c r="GCC160" s="679"/>
      <c r="GCD160" s="679"/>
      <c r="GCE160" s="679"/>
      <c r="GCF160" s="679"/>
      <c r="GCG160" s="679"/>
      <c r="GCH160" s="679"/>
      <c r="GCI160" s="679"/>
      <c r="GCJ160" s="679"/>
      <c r="GCK160" s="679"/>
      <c r="GCL160" s="679"/>
      <c r="GCM160" s="679"/>
      <c r="GCN160" s="679"/>
      <c r="GCO160" s="679"/>
      <c r="GCP160" s="679"/>
      <c r="GCQ160" s="679"/>
      <c r="GCR160" s="679"/>
      <c r="GCS160" s="679"/>
      <c r="GCT160" s="679"/>
      <c r="GCU160" s="679"/>
      <c r="GCV160" s="679"/>
      <c r="GCW160" s="679"/>
      <c r="GCX160" s="679"/>
      <c r="GCY160" s="679"/>
      <c r="GCZ160" s="679"/>
      <c r="GDA160" s="679"/>
      <c r="GDB160" s="679"/>
      <c r="GDC160" s="679"/>
      <c r="GDD160" s="679"/>
      <c r="GDE160" s="679"/>
      <c r="GDF160" s="679"/>
      <c r="GDG160" s="679"/>
      <c r="GDH160" s="679"/>
      <c r="GDI160" s="679"/>
      <c r="GDJ160" s="679"/>
      <c r="GDK160" s="679"/>
      <c r="GDL160" s="679"/>
      <c r="GDM160" s="679"/>
      <c r="GDN160" s="679"/>
      <c r="GDO160" s="679"/>
      <c r="GDP160" s="679"/>
      <c r="GDQ160" s="679"/>
      <c r="GDR160" s="679"/>
      <c r="GDS160" s="679"/>
      <c r="GDT160" s="679"/>
      <c r="GDU160" s="679"/>
      <c r="GDV160" s="679"/>
      <c r="GDW160" s="679"/>
      <c r="GDX160" s="679"/>
      <c r="GDY160" s="679"/>
      <c r="GDZ160" s="679"/>
      <c r="GEA160" s="679"/>
      <c r="GEB160" s="679"/>
      <c r="GEC160" s="679"/>
      <c r="GED160" s="679"/>
      <c r="GEE160" s="679"/>
      <c r="GEF160" s="679"/>
      <c r="GEG160" s="679"/>
      <c r="GEH160" s="679"/>
      <c r="GEI160" s="679"/>
      <c r="GEJ160" s="679"/>
      <c r="GEK160" s="679"/>
      <c r="GEL160" s="679"/>
      <c r="GEM160" s="679"/>
      <c r="GEN160" s="679"/>
      <c r="GEO160" s="679"/>
      <c r="GEP160" s="679"/>
      <c r="GEQ160" s="679"/>
      <c r="GER160" s="679"/>
      <c r="GES160" s="679"/>
      <c r="GET160" s="679"/>
      <c r="GEU160" s="679"/>
      <c r="GEV160" s="679"/>
      <c r="GEW160" s="679"/>
      <c r="GEX160" s="679"/>
      <c r="GEY160" s="679"/>
      <c r="GEZ160" s="679"/>
      <c r="GFA160" s="679"/>
      <c r="GFB160" s="679"/>
      <c r="GFC160" s="679"/>
      <c r="GFD160" s="679"/>
      <c r="GFE160" s="679"/>
      <c r="GFF160" s="679"/>
      <c r="GFG160" s="679"/>
      <c r="GFH160" s="679"/>
      <c r="GFI160" s="679"/>
      <c r="GFJ160" s="679"/>
      <c r="GFK160" s="679"/>
      <c r="GFL160" s="679"/>
      <c r="GFM160" s="679"/>
      <c r="GFN160" s="679"/>
      <c r="GFO160" s="679"/>
      <c r="GFP160" s="679"/>
      <c r="GFQ160" s="679"/>
      <c r="GFR160" s="679"/>
      <c r="GFS160" s="679"/>
      <c r="GFT160" s="679"/>
      <c r="GFU160" s="679"/>
      <c r="GFV160" s="679"/>
      <c r="GFW160" s="679"/>
      <c r="GFX160" s="679"/>
      <c r="GFY160" s="679"/>
      <c r="GFZ160" s="679"/>
      <c r="GGA160" s="679"/>
      <c r="GGB160" s="679"/>
      <c r="GGC160" s="679"/>
      <c r="GGD160" s="679"/>
      <c r="GGE160" s="679"/>
      <c r="GGF160" s="679"/>
      <c r="GGG160" s="679"/>
      <c r="GGH160" s="679"/>
      <c r="GGI160" s="679"/>
      <c r="GGJ160" s="679"/>
      <c r="GGK160" s="679"/>
      <c r="GGL160" s="679"/>
      <c r="GGM160" s="679"/>
      <c r="GGN160" s="679"/>
      <c r="GGO160" s="679"/>
      <c r="GGP160" s="679"/>
      <c r="GGQ160" s="679"/>
      <c r="GGR160" s="679"/>
      <c r="GGS160" s="679"/>
      <c r="GGT160" s="679"/>
      <c r="GGU160" s="679"/>
      <c r="GGV160" s="679"/>
      <c r="GGW160" s="679"/>
      <c r="GGX160" s="679"/>
      <c r="GGY160" s="679"/>
      <c r="GGZ160" s="679"/>
      <c r="GHA160" s="679"/>
      <c r="GHB160" s="679"/>
      <c r="GHC160" s="679"/>
      <c r="GHD160" s="679"/>
      <c r="GHE160" s="679"/>
      <c r="GHF160" s="679"/>
      <c r="GHG160" s="679"/>
      <c r="GHH160" s="679"/>
      <c r="GHI160" s="679"/>
      <c r="GHJ160" s="679"/>
      <c r="GHK160" s="679"/>
      <c r="GHL160" s="679"/>
      <c r="GHM160" s="679"/>
      <c r="GHN160" s="679"/>
      <c r="GHO160" s="679"/>
      <c r="GHP160" s="679"/>
      <c r="GHQ160" s="679"/>
      <c r="GHR160" s="679"/>
      <c r="GHS160" s="679"/>
      <c r="GHT160" s="679"/>
      <c r="GHU160" s="679"/>
      <c r="GHV160" s="679"/>
      <c r="GHW160" s="679"/>
      <c r="GHX160" s="679"/>
      <c r="GHY160" s="679"/>
      <c r="GHZ160" s="679"/>
      <c r="GIA160" s="679"/>
      <c r="GIB160" s="679"/>
      <c r="GIC160" s="679"/>
      <c r="GID160" s="679"/>
      <c r="GIE160" s="679"/>
      <c r="GIF160" s="679"/>
      <c r="GIG160" s="679"/>
      <c r="GIH160" s="679"/>
      <c r="GII160" s="679"/>
      <c r="GIJ160" s="679"/>
      <c r="GIK160" s="679"/>
      <c r="GIL160" s="679"/>
      <c r="GIM160" s="679"/>
      <c r="GIN160" s="679"/>
      <c r="GIO160" s="679"/>
      <c r="GIP160" s="679"/>
      <c r="GIQ160" s="679"/>
      <c r="GIR160" s="679"/>
      <c r="GIS160" s="679"/>
      <c r="GIT160" s="679"/>
      <c r="GIU160" s="679"/>
      <c r="GIV160" s="679"/>
      <c r="GIW160" s="679"/>
      <c r="GIX160" s="679"/>
      <c r="GIY160" s="679"/>
      <c r="GIZ160" s="679"/>
      <c r="GJA160" s="679"/>
      <c r="GJB160" s="679"/>
      <c r="GJC160" s="679"/>
      <c r="GJD160" s="679"/>
      <c r="GJE160" s="679"/>
      <c r="GJF160" s="679"/>
      <c r="GJG160" s="679"/>
      <c r="GJH160" s="679"/>
      <c r="GJI160" s="679"/>
      <c r="GJJ160" s="679"/>
      <c r="GJK160" s="679"/>
      <c r="GJL160" s="679"/>
      <c r="GJM160" s="679"/>
      <c r="GJN160" s="679"/>
      <c r="GJO160" s="679"/>
      <c r="GJP160" s="679"/>
      <c r="GJQ160" s="679"/>
      <c r="GJR160" s="679"/>
      <c r="GJS160" s="679"/>
      <c r="GJT160" s="679"/>
      <c r="GJU160" s="679"/>
      <c r="GJV160" s="679"/>
      <c r="GJW160" s="679"/>
      <c r="GJX160" s="679"/>
      <c r="GJY160" s="679"/>
      <c r="GJZ160" s="679"/>
      <c r="GKA160" s="679"/>
      <c r="GKB160" s="679"/>
      <c r="GKC160" s="679"/>
      <c r="GKD160" s="679"/>
      <c r="GKE160" s="679"/>
      <c r="GKF160" s="679"/>
      <c r="GKG160" s="679"/>
      <c r="GKH160" s="679"/>
      <c r="GKI160" s="679"/>
      <c r="GKJ160" s="679"/>
      <c r="GKK160" s="679"/>
      <c r="GKL160" s="679"/>
      <c r="GKM160" s="679"/>
      <c r="GKN160" s="679"/>
      <c r="GKO160" s="679"/>
      <c r="GKP160" s="679"/>
      <c r="GKQ160" s="679"/>
      <c r="GKR160" s="679"/>
      <c r="GKS160" s="679"/>
      <c r="GKT160" s="679"/>
      <c r="GKU160" s="679"/>
      <c r="GKV160" s="679"/>
      <c r="GKW160" s="679"/>
      <c r="GKX160" s="679"/>
      <c r="GKY160" s="679"/>
      <c r="GKZ160" s="679"/>
      <c r="GLA160" s="679"/>
      <c r="GLB160" s="679"/>
      <c r="GLC160" s="679"/>
      <c r="GLD160" s="679"/>
      <c r="GLE160" s="679"/>
      <c r="GLF160" s="679"/>
      <c r="GLG160" s="679"/>
      <c r="GLH160" s="679"/>
      <c r="GLI160" s="679"/>
      <c r="GLJ160" s="679"/>
      <c r="GLK160" s="679"/>
      <c r="GLL160" s="679"/>
      <c r="GLM160" s="679"/>
      <c r="GLN160" s="679"/>
      <c r="GLO160" s="679"/>
      <c r="GLP160" s="679"/>
      <c r="GLQ160" s="679"/>
      <c r="GLR160" s="679"/>
      <c r="GLS160" s="679"/>
      <c r="GLT160" s="679"/>
      <c r="GLU160" s="679"/>
      <c r="GLV160" s="679"/>
      <c r="GLW160" s="679"/>
      <c r="GLX160" s="679"/>
      <c r="GLY160" s="679"/>
      <c r="GLZ160" s="679"/>
      <c r="GMA160" s="679"/>
      <c r="GMB160" s="679"/>
      <c r="GMC160" s="679"/>
      <c r="GMD160" s="679"/>
      <c r="GME160" s="679"/>
      <c r="GMF160" s="679"/>
      <c r="GMG160" s="679"/>
      <c r="GMH160" s="679"/>
      <c r="GMI160" s="679"/>
      <c r="GMJ160" s="679"/>
      <c r="GMK160" s="679"/>
      <c r="GML160" s="679"/>
      <c r="GMM160" s="679"/>
      <c r="GMN160" s="679"/>
      <c r="GMO160" s="679"/>
      <c r="GMP160" s="679"/>
      <c r="GMQ160" s="679"/>
      <c r="GMR160" s="679"/>
      <c r="GMS160" s="679"/>
      <c r="GMT160" s="679"/>
      <c r="GMU160" s="679"/>
      <c r="GMV160" s="679"/>
      <c r="GMW160" s="679"/>
      <c r="GMX160" s="679"/>
      <c r="GMY160" s="679"/>
      <c r="GMZ160" s="679"/>
      <c r="GNA160" s="679"/>
      <c r="GNB160" s="679"/>
      <c r="GNC160" s="679"/>
      <c r="GND160" s="679"/>
      <c r="GNE160" s="679"/>
      <c r="GNF160" s="679"/>
      <c r="GNG160" s="679"/>
      <c r="GNH160" s="679"/>
      <c r="GNI160" s="679"/>
      <c r="GNJ160" s="679"/>
      <c r="GNK160" s="679"/>
      <c r="GNL160" s="679"/>
      <c r="GNM160" s="679"/>
      <c r="GNN160" s="679"/>
      <c r="GNO160" s="679"/>
      <c r="GNP160" s="679"/>
      <c r="GNQ160" s="679"/>
      <c r="GNR160" s="679"/>
      <c r="GNS160" s="679"/>
      <c r="GNT160" s="679"/>
      <c r="GNU160" s="679"/>
      <c r="GNV160" s="679"/>
      <c r="GNW160" s="679"/>
      <c r="GNX160" s="679"/>
      <c r="GNY160" s="679"/>
      <c r="GNZ160" s="679"/>
      <c r="GOA160" s="679"/>
      <c r="GOB160" s="679"/>
      <c r="GOC160" s="679"/>
      <c r="GOD160" s="679"/>
      <c r="GOE160" s="679"/>
      <c r="GOF160" s="679"/>
      <c r="GOG160" s="679"/>
      <c r="GOH160" s="679"/>
      <c r="GOI160" s="679"/>
      <c r="GOJ160" s="679"/>
      <c r="GOK160" s="679"/>
      <c r="GOL160" s="679"/>
      <c r="GOM160" s="679"/>
      <c r="GON160" s="679"/>
      <c r="GOO160" s="679"/>
      <c r="GOP160" s="679"/>
      <c r="GOQ160" s="679"/>
      <c r="GOR160" s="679"/>
      <c r="GOS160" s="679"/>
      <c r="GOT160" s="679"/>
      <c r="GOU160" s="679"/>
      <c r="GOV160" s="679"/>
      <c r="GOW160" s="679"/>
      <c r="GOX160" s="679"/>
      <c r="GOY160" s="679"/>
      <c r="GOZ160" s="679"/>
      <c r="GPA160" s="679"/>
      <c r="GPB160" s="679"/>
      <c r="GPC160" s="679"/>
      <c r="GPD160" s="679"/>
      <c r="GPE160" s="679"/>
      <c r="GPF160" s="679"/>
      <c r="GPG160" s="679"/>
      <c r="GPH160" s="679"/>
      <c r="GPI160" s="679"/>
      <c r="GPJ160" s="679"/>
      <c r="GPK160" s="679"/>
      <c r="GPL160" s="679"/>
      <c r="GPM160" s="679"/>
      <c r="GPN160" s="679"/>
      <c r="GPO160" s="679"/>
      <c r="GPP160" s="679"/>
      <c r="GPQ160" s="679"/>
      <c r="GPR160" s="679"/>
      <c r="GPS160" s="679"/>
      <c r="GPT160" s="679"/>
      <c r="GPU160" s="679"/>
      <c r="GPV160" s="679"/>
      <c r="GPW160" s="679"/>
      <c r="GPX160" s="679"/>
      <c r="GPY160" s="679"/>
      <c r="GPZ160" s="679"/>
      <c r="GQA160" s="679"/>
      <c r="GQB160" s="679"/>
      <c r="GQC160" s="679"/>
      <c r="GQD160" s="679"/>
      <c r="GQE160" s="679"/>
      <c r="GQF160" s="679"/>
      <c r="GQG160" s="679"/>
      <c r="GQH160" s="679"/>
      <c r="GQI160" s="679"/>
      <c r="GQJ160" s="679"/>
      <c r="GQK160" s="679"/>
      <c r="GQL160" s="679"/>
      <c r="GQM160" s="679"/>
      <c r="GQN160" s="679"/>
      <c r="GQO160" s="679"/>
      <c r="GQP160" s="679"/>
      <c r="GQQ160" s="679"/>
      <c r="GQR160" s="679"/>
      <c r="GQS160" s="679"/>
      <c r="GQT160" s="679"/>
      <c r="GQU160" s="679"/>
      <c r="GQV160" s="679"/>
      <c r="GQW160" s="679"/>
      <c r="GQX160" s="679"/>
      <c r="GQY160" s="679"/>
      <c r="GQZ160" s="679"/>
      <c r="GRA160" s="679"/>
      <c r="GRB160" s="679"/>
      <c r="GRC160" s="679"/>
      <c r="GRD160" s="679"/>
      <c r="GRE160" s="679"/>
      <c r="GRF160" s="679"/>
      <c r="GRG160" s="679"/>
      <c r="GRH160" s="679"/>
      <c r="GRI160" s="679"/>
      <c r="GRJ160" s="679"/>
      <c r="GRK160" s="679"/>
      <c r="GRL160" s="679"/>
      <c r="GRM160" s="679"/>
      <c r="GRN160" s="679"/>
      <c r="GRO160" s="679"/>
      <c r="GRP160" s="679"/>
      <c r="GRQ160" s="679"/>
      <c r="GRR160" s="679"/>
      <c r="GRS160" s="679"/>
      <c r="GRT160" s="679"/>
      <c r="GRU160" s="679"/>
      <c r="GRV160" s="679"/>
      <c r="GRW160" s="679"/>
      <c r="GRX160" s="679"/>
      <c r="GRY160" s="679"/>
      <c r="GRZ160" s="679"/>
      <c r="GSA160" s="679"/>
      <c r="GSB160" s="679"/>
      <c r="GSC160" s="679"/>
      <c r="GSD160" s="679"/>
      <c r="GSE160" s="679"/>
      <c r="GSF160" s="679"/>
      <c r="GSG160" s="679"/>
      <c r="GSH160" s="679"/>
      <c r="GSI160" s="679"/>
      <c r="GSJ160" s="679"/>
      <c r="GSK160" s="679"/>
      <c r="GSL160" s="679"/>
      <c r="GSM160" s="679"/>
      <c r="GSN160" s="679"/>
      <c r="GSO160" s="679"/>
      <c r="GSP160" s="679"/>
      <c r="GSQ160" s="679"/>
      <c r="GSR160" s="679"/>
      <c r="GSS160" s="679"/>
      <c r="GST160" s="679"/>
      <c r="GSU160" s="679"/>
      <c r="GSV160" s="679"/>
      <c r="GSW160" s="679"/>
      <c r="GSX160" s="679"/>
      <c r="GSY160" s="679"/>
      <c r="GSZ160" s="679"/>
      <c r="GTA160" s="679"/>
      <c r="GTB160" s="679"/>
      <c r="GTC160" s="679"/>
      <c r="GTD160" s="679"/>
      <c r="GTE160" s="679"/>
      <c r="GTF160" s="679"/>
      <c r="GTG160" s="679"/>
      <c r="GTH160" s="679"/>
      <c r="GTI160" s="679"/>
      <c r="GTJ160" s="679"/>
      <c r="GTK160" s="679"/>
      <c r="GTL160" s="679"/>
      <c r="GTM160" s="679"/>
      <c r="GTN160" s="679"/>
      <c r="GTO160" s="679"/>
      <c r="GTP160" s="679"/>
      <c r="GTQ160" s="679"/>
      <c r="GTR160" s="679"/>
      <c r="GTS160" s="679"/>
      <c r="GTT160" s="679"/>
      <c r="GTU160" s="679"/>
      <c r="GTV160" s="679"/>
      <c r="GTW160" s="679"/>
      <c r="GTX160" s="679"/>
      <c r="GTY160" s="679"/>
      <c r="GTZ160" s="679"/>
      <c r="GUA160" s="679"/>
      <c r="GUB160" s="679"/>
      <c r="GUC160" s="679"/>
      <c r="GUD160" s="679"/>
      <c r="GUE160" s="679"/>
      <c r="GUF160" s="679"/>
      <c r="GUG160" s="679"/>
      <c r="GUH160" s="679"/>
      <c r="GUI160" s="679"/>
      <c r="GUJ160" s="679"/>
      <c r="GUK160" s="679"/>
      <c r="GUL160" s="679"/>
      <c r="GUM160" s="679"/>
      <c r="GUN160" s="679"/>
      <c r="GUO160" s="679"/>
      <c r="GUP160" s="679"/>
      <c r="GUQ160" s="679"/>
      <c r="GUR160" s="679"/>
      <c r="GUS160" s="679"/>
      <c r="GUT160" s="679"/>
      <c r="GUU160" s="679"/>
      <c r="GUV160" s="679"/>
      <c r="GUW160" s="679"/>
      <c r="GUX160" s="679"/>
      <c r="GUY160" s="679"/>
      <c r="GUZ160" s="679"/>
      <c r="GVA160" s="679"/>
      <c r="GVB160" s="679"/>
      <c r="GVC160" s="679"/>
      <c r="GVD160" s="679"/>
      <c r="GVE160" s="679"/>
      <c r="GVF160" s="679"/>
      <c r="GVG160" s="679"/>
      <c r="GVH160" s="679"/>
      <c r="GVI160" s="679"/>
      <c r="GVJ160" s="679"/>
      <c r="GVK160" s="679"/>
      <c r="GVL160" s="679"/>
      <c r="GVM160" s="679"/>
      <c r="GVN160" s="679"/>
      <c r="GVO160" s="679"/>
      <c r="GVP160" s="679"/>
      <c r="GVQ160" s="679"/>
      <c r="GVR160" s="679"/>
      <c r="GVS160" s="679"/>
      <c r="GVT160" s="679"/>
      <c r="GVU160" s="679"/>
      <c r="GVV160" s="679"/>
      <c r="GVW160" s="679"/>
      <c r="GVX160" s="679"/>
      <c r="GVY160" s="679"/>
      <c r="GVZ160" s="679"/>
      <c r="GWA160" s="679"/>
      <c r="GWB160" s="679"/>
      <c r="GWC160" s="679"/>
      <c r="GWD160" s="679"/>
      <c r="GWE160" s="679"/>
      <c r="GWF160" s="679"/>
      <c r="GWG160" s="679"/>
      <c r="GWH160" s="679"/>
      <c r="GWI160" s="679"/>
      <c r="GWJ160" s="679"/>
      <c r="GWK160" s="679"/>
      <c r="GWL160" s="679"/>
      <c r="GWM160" s="679"/>
      <c r="GWN160" s="679"/>
      <c r="GWO160" s="679"/>
      <c r="GWP160" s="679"/>
      <c r="GWQ160" s="679"/>
      <c r="GWR160" s="679"/>
      <c r="GWS160" s="679"/>
      <c r="GWT160" s="679"/>
      <c r="GWU160" s="679"/>
      <c r="GWV160" s="679"/>
      <c r="GWW160" s="679"/>
      <c r="GWX160" s="679"/>
      <c r="GWY160" s="679"/>
      <c r="GWZ160" s="679"/>
      <c r="GXA160" s="679"/>
      <c r="GXB160" s="679"/>
      <c r="GXC160" s="679"/>
      <c r="GXD160" s="679"/>
      <c r="GXE160" s="679"/>
      <c r="GXF160" s="679"/>
      <c r="GXG160" s="679"/>
      <c r="GXH160" s="679"/>
      <c r="GXI160" s="679"/>
      <c r="GXJ160" s="679"/>
      <c r="GXK160" s="679"/>
      <c r="GXL160" s="679"/>
      <c r="GXM160" s="679"/>
      <c r="GXN160" s="679"/>
      <c r="GXO160" s="679"/>
      <c r="GXP160" s="679"/>
      <c r="GXQ160" s="679"/>
      <c r="GXR160" s="679"/>
      <c r="GXS160" s="679"/>
      <c r="GXT160" s="679"/>
      <c r="GXU160" s="679"/>
      <c r="GXV160" s="679"/>
      <c r="GXW160" s="679"/>
      <c r="GXX160" s="679"/>
      <c r="GXY160" s="679"/>
      <c r="GXZ160" s="679"/>
      <c r="GYA160" s="679"/>
      <c r="GYB160" s="679"/>
      <c r="GYC160" s="679"/>
      <c r="GYD160" s="679"/>
      <c r="GYE160" s="679"/>
      <c r="GYF160" s="679"/>
      <c r="GYG160" s="679"/>
      <c r="GYH160" s="679"/>
      <c r="GYI160" s="679"/>
      <c r="GYJ160" s="679"/>
      <c r="GYK160" s="679"/>
      <c r="GYL160" s="679"/>
      <c r="GYM160" s="679"/>
      <c r="GYN160" s="679"/>
      <c r="GYO160" s="679"/>
      <c r="GYP160" s="679"/>
      <c r="GYQ160" s="679"/>
      <c r="GYR160" s="679"/>
      <c r="GYS160" s="679"/>
      <c r="GYT160" s="679"/>
      <c r="GYU160" s="679"/>
      <c r="GYV160" s="679"/>
      <c r="GYW160" s="679"/>
      <c r="GYX160" s="679"/>
      <c r="GYY160" s="679"/>
      <c r="GYZ160" s="679"/>
      <c r="GZA160" s="679"/>
      <c r="GZB160" s="679"/>
      <c r="GZC160" s="679"/>
      <c r="GZD160" s="679"/>
      <c r="GZE160" s="679"/>
      <c r="GZF160" s="679"/>
      <c r="GZG160" s="679"/>
      <c r="GZH160" s="679"/>
      <c r="GZI160" s="679"/>
      <c r="GZJ160" s="679"/>
      <c r="GZK160" s="679"/>
      <c r="GZL160" s="679"/>
      <c r="GZM160" s="679"/>
      <c r="GZN160" s="679"/>
      <c r="GZO160" s="679"/>
      <c r="GZP160" s="679"/>
      <c r="GZQ160" s="679"/>
      <c r="GZR160" s="679"/>
      <c r="GZS160" s="679"/>
      <c r="GZT160" s="679"/>
      <c r="GZU160" s="679"/>
      <c r="GZV160" s="679"/>
      <c r="GZW160" s="679"/>
      <c r="GZX160" s="679"/>
      <c r="GZY160" s="679"/>
      <c r="GZZ160" s="679"/>
      <c r="HAA160" s="679"/>
      <c r="HAB160" s="679"/>
      <c r="HAC160" s="679"/>
      <c r="HAD160" s="679"/>
      <c r="HAE160" s="679"/>
      <c r="HAF160" s="679"/>
      <c r="HAG160" s="679"/>
      <c r="HAH160" s="679"/>
      <c r="HAI160" s="679"/>
      <c r="HAJ160" s="679"/>
      <c r="HAK160" s="679"/>
      <c r="HAL160" s="679"/>
      <c r="HAM160" s="679"/>
      <c r="HAN160" s="679"/>
      <c r="HAO160" s="679"/>
      <c r="HAP160" s="679"/>
      <c r="HAQ160" s="679"/>
      <c r="HAR160" s="679"/>
      <c r="HAS160" s="679"/>
      <c r="HAT160" s="679"/>
      <c r="HAU160" s="679"/>
      <c r="HAV160" s="679"/>
      <c r="HAW160" s="679"/>
      <c r="HAX160" s="679"/>
      <c r="HAY160" s="679"/>
      <c r="HAZ160" s="679"/>
      <c r="HBA160" s="679"/>
      <c r="HBB160" s="679"/>
      <c r="HBC160" s="679"/>
      <c r="HBD160" s="679"/>
      <c r="HBE160" s="679"/>
      <c r="HBF160" s="679"/>
      <c r="HBG160" s="679"/>
      <c r="HBH160" s="679"/>
      <c r="HBI160" s="679"/>
      <c r="HBJ160" s="679"/>
      <c r="HBK160" s="679"/>
      <c r="HBL160" s="679"/>
      <c r="HBM160" s="679"/>
      <c r="HBN160" s="679"/>
      <c r="HBO160" s="679"/>
      <c r="HBP160" s="679"/>
      <c r="HBQ160" s="679"/>
      <c r="HBR160" s="679"/>
      <c r="HBS160" s="679"/>
      <c r="HBT160" s="679"/>
      <c r="HBU160" s="679"/>
      <c r="HBV160" s="679"/>
      <c r="HBW160" s="679"/>
      <c r="HBX160" s="679"/>
      <c r="HBY160" s="679"/>
      <c r="HBZ160" s="679"/>
      <c r="HCA160" s="679"/>
      <c r="HCB160" s="679"/>
      <c r="HCC160" s="679"/>
      <c r="HCD160" s="679"/>
      <c r="HCE160" s="679"/>
      <c r="HCF160" s="679"/>
      <c r="HCG160" s="679"/>
      <c r="HCH160" s="679"/>
      <c r="HCI160" s="679"/>
      <c r="HCJ160" s="679"/>
      <c r="HCK160" s="679"/>
      <c r="HCL160" s="679"/>
      <c r="HCM160" s="679"/>
      <c r="HCN160" s="679"/>
      <c r="HCO160" s="679"/>
      <c r="HCP160" s="679"/>
      <c r="HCQ160" s="679"/>
      <c r="HCR160" s="679"/>
      <c r="HCS160" s="679"/>
      <c r="HCT160" s="679"/>
      <c r="HCU160" s="679"/>
      <c r="HCV160" s="679"/>
      <c r="HCW160" s="679"/>
      <c r="HCX160" s="679"/>
      <c r="HCY160" s="679"/>
      <c r="HCZ160" s="679"/>
      <c r="HDA160" s="679"/>
      <c r="HDB160" s="679"/>
      <c r="HDC160" s="679"/>
      <c r="HDD160" s="679"/>
      <c r="HDE160" s="679"/>
      <c r="HDF160" s="679"/>
      <c r="HDG160" s="679"/>
      <c r="HDH160" s="679"/>
      <c r="HDI160" s="679"/>
      <c r="HDJ160" s="679"/>
      <c r="HDK160" s="679"/>
      <c r="HDL160" s="679"/>
      <c r="HDM160" s="679"/>
      <c r="HDN160" s="679"/>
      <c r="HDO160" s="679"/>
      <c r="HDP160" s="679"/>
      <c r="HDQ160" s="679"/>
      <c r="HDR160" s="679"/>
      <c r="HDS160" s="679"/>
      <c r="HDT160" s="679"/>
      <c r="HDU160" s="679"/>
      <c r="HDV160" s="679"/>
      <c r="HDW160" s="679"/>
      <c r="HDX160" s="679"/>
      <c r="HDY160" s="679"/>
      <c r="HDZ160" s="679"/>
      <c r="HEA160" s="679"/>
      <c r="HEB160" s="679"/>
      <c r="HEC160" s="679"/>
      <c r="HED160" s="679"/>
      <c r="HEE160" s="679"/>
      <c r="HEF160" s="679"/>
      <c r="HEG160" s="679"/>
      <c r="HEH160" s="679"/>
      <c r="HEI160" s="679"/>
      <c r="HEJ160" s="679"/>
      <c r="HEK160" s="679"/>
      <c r="HEL160" s="679"/>
      <c r="HEM160" s="679"/>
      <c r="HEN160" s="679"/>
      <c r="HEO160" s="679"/>
      <c r="HEP160" s="679"/>
      <c r="HEQ160" s="679"/>
      <c r="HER160" s="679"/>
      <c r="HES160" s="679"/>
      <c r="HET160" s="679"/>
      <c r="HEU160" s="679"/>
      <c r="HEV160" s="679"/>
      <c r="HEW160" s="679"/>
      <c r="HEX160" s="679"/>
      <c r="HEY160" s="679"/>
      <c r="HEZ160" s="679"/>
      <c r="HFA160" s="679"/>
      <c r="HFB160" s="679"/>
      <c r="HFC160" s="679"/>
      <c r="HFD160" s="679"/>
      <c r="HFE160" s="679"/>
      <c r="HFF160" s="679"/>
      <c r="HFG160" s="679"/>
      <c r="HFH160" s="679"/>
      <c r="HFI160" s="679"/>
      <c r="HFJ160" s="679"/>
      <c r="HFK160" s="679"/>
      <c r="HFL160" s="679"/>
      <c r="HFM160" s="679"/>
      <c r="HFN160" s="679"/>
      <c r="HFO160" s="679"/>
      <c r="HFP160" s="679"/>
      <c r="HFQ160" s="679"/>
      <c r="HFR160" s="679"/>
      <c r="HFS160" s="679"/>
      <c r="HFT160" s="679"/>
      <c r="HFU160" s="679"/>
      <c r="HFV160" s="679"/>
      <c r="HFW160" s="679"/>
      <c r="HFX160" s="679"/>
      <c r="HFY160" s="679"/>
      <c r="HFZ160" s="679"/>
      <c r="HGA160" s="679"/>
      <c r="HGB160" s="679"/>
      <c r="HGC160" s="679"/>
      <c r="HGD160" s="679"/>
      <c r="HGE160" s="679"/>
      <c r="HGF160" s="679"/>
      <c r="HGG160" s="679"/>
      <c r="HGH160" s="679"/>
      <c r="HGI160" s="679"/>
      <c r="HGJ160" s="679"/>
      <c r="HGK160" s="679"/>
      <c r="HGL160" s="679"/>
      <c r="HGM160" s="679"/>
      <c r="HGN160" s="679"/>
      <c r="HGO160" s="679"/>
      <c r="HGP160" s="679"/>
      <c r="HGQ160" s="679"/>
      <c r="HGR160" s="679"/>
      <c r="HGS160" s="679"/>
      <c r="HGT160" s="679"/>
      <c r="HGU160" s="679"/>
      <c r="HGV160" s="679"/>
      <c r="HGW160" s="679"/>
      <c r="HGX160" s="679"/>
      <c r="HGY160" s="679"/>
      <c r="HGZ160" s="679"/>
      <c r="HHA160" s="679"/>
      <c r="HHB160" s="679"/>
      <c r="HHC160" s="679"/>
      <c r="HHD160" s="679"/>
      <c r="HHE160" s="679"/>
      <c r="HHF160" s="679"/>
      <c r="HHG160" s="679"/>
      <c r="HHH160" s="679"/>
      <c r="HHI160" s="679"/>
      <c r="HHJ160" s="679"/>
      <c r="HHK160" s="679"/>
      <c r="HHL160" s="679"/>
      <c r="HHM160" s="679"/>
      <c r="HHN160" s="679"/>
      <c r="HHO160" s="679"/>
      <c r="HHP160" s="679"/>
      <c r="HHQ160" s="679"/>
      <c r="HHR160" s="679"/>
      <c r="HHS160" s="679"/>
      <c r="HHT160" s="679"/>
      <c r="HHU160" s="679"/>
      <c r="HHV160" s="679"/>
      <c r="HHW160" s="679"/>
      <c r="HHX160" s="679"/>
      <c r="HHY160" s="679"/>
      <c r="HHZ160" s="679"/>
      <c r="HIA160" s="679"/>
      <c r="HIB160" s="679"/>
      <c r="HIC160" s="679"/>
      <c r="HID160" s="679"/>
      <c r="HIE160" s="679"/>
      <c r="HIF160" s="679"/>
      <c r="HIG160" s="679"/>
      <c r="HIH160" s="679"/>
      <c r="HII160" s="679"/>
      <c r="HIJ160" s="679"/>
      <c r="HIK160" s="679"/>
      <c r="HIL160" s="679"/>
      <c r="HIM160" s="679"/>
      <c r="HIN160" s="679"/>
      <c r="HIO160" s="679"/>
      <c r="HIP160" s="679"/>
      <c r="HIQ160" s="679"/>
      <c r="HIR160" s="679"/>
      <c r="HIS160" s="679"/>
      <c r="HIT160" s="679"/>
      <c r="HIU160" s="679"/>
      <c r="HIV160" s="679"/>
      <c r="HIW160" s="679"/>
      <c r="HIX160" s="679"/>
      <c r="HIY160" s="679"/>
      <c r="HIZ160" s="679"/>
      <c r="HJA160" s="679"/>
      <c r="HJB160" s="679"/>
      <c r="HJC160" s="679"/>
      <c r="HJD160" s="679"/>
      <c r="HJE160" s="679"/>
      <c r="HJF160" s="679"/>
      <c r="HJG160" s="679"/>
      <c r="HJH160" s="679"/>
      <c r="HJI160" s="679"/>
      <c r="HJJ160" s="679"/>
      <c r="HJK160" s="679"/>
      <c r="HJL160" s="679"/>
      <c r="HJM160" s="679"/>
      <c r="HJN160" s="679"/>
      <c r="HJO160" s="679"/>
      <c r="HJP160" s="679"/>
      <c r="HJQ160" s="679"/>
      <c r="HJR160" s="679"/>
      <c r="HJS160" s="679"/>
      <c r="HJT160" s="679"/>
      <c r="HJU160" s="679"/>
      <c r="HJV160" s="679"/>
      <c r="HJW160" s="679"/>
      <c r="HJX160" s="679"/>
      <c r="HJY160" s="679"/>
      <c r="HJZ160" s="679"/>
      <c r="HKA160" s="679"/>
      <c r="HKB160" s="679"/>
      <c r="HKC160" s="679"/>
      <c r="HKD160" s="679"/>
      <c r="HKE160" s="679"/>
      <c r="HKF160" s="679"/>
      <c r="HKG160" s="679"/>
      <c r="HKH160" s="679"/>
      <c r="HKI160" s="679"/>
      <c r="HKJ160" s="679"/>
      <c r="HKK160" s="679"/>
      <c r="HKL160" s="679"/>
      <c r="HKM160" s="679"/>
      <c r="HKN160" s="679"/>
      <c r="HKO160" s="679"/>
      <c r="HKP160" s="679"/>
      <c r="HKQ160" s="679"/>
      <c r="HKR160" s="679"/>
      <c r="HKS160" s="679"/>
      <c r="HKT160" s="679"/>
      <c r="HKU160" s="679"/>
      <c r="HKV160" s="679"/>
      <c r="HKW160" s="679"/>
      <c r="HKX160" s="679"/>
      <c r="HKY160" s="679"/>
      <c r="HKZ160" s="679"/>
      <c r="HLA160" s="679"/>
      <c r="HLB160" s="679"/>
      <c r="HLC160" s="679"/>
      <c r="HLD160" s="679"/>
      <c r="HLE160" s="679"/>
      <c r="HLF160" s="679"/>
      <c r="HLG160" s="679"/>
      <c r="HLH160" s="679"/>
      <c r="HLI160" s="679"/>
      <c r="HLJ160" s="679"/>
      <c r="HLK160" s="679"/>
      <c r="HLL160" s="679"/>
      <c r="HLM160" s="679"/>
      <c r="HLN160" s="679"/>
      <c r="HLO160" s="679"/>
      <c r="HLP160" s="679"/>
      <c r="HLQ160" s="679"/>
      <c r="HLR160" s="679"/>
      <c r="HLS160" s="679"/>
      <c r="HLT160" s="679"/>
      <c r="HLU160" s="679"/>
      <c r="HLV160" s="679"/>
      <c r="HLW160" s="679"/>
      <c r="HLX160" s="679"/>
      <c r="HLY160" s="679"/>
      <c r="HLZ160" s="679"/>
      <c r="HMA160" s="679"/>
      <c r="HMB160" s="679"/>
      <c r="HMC160" s="679"/>
      <c r="HMD160" s="679"/>
      <c r="HME160" s="679"/>
      <c r="HMF160" s="679"/>
      <c r="HMG160" s="679"/>
      <c r="HMH160" s="679"/>
      <c r="HMI160" s="679"/>
      <c r="HMJ160" s="679"/>
      <c r="HMK160" s="679"/>
      <c r="HML160" s="679"/>
      <c r="HMM160" s="679"/>
      <c r="HMN160" s="679"/>
      <c r="HMO160" s="679"/>
      <c r="HMP160" s="679"/>
      <c r="HMQ160" s="679"/>
      <c r="HMR160" s="679"/>
      <c r="HMS160" s="679"/>
      <c r="HMT160" s="679"/>
      <c r="HMU160" s="679"/>
      <c r="HMV160" s="679"/>
      <c r="HMW160" s="679"/>
      <c r="HMX160" s="679"/>
      <c r="HMY160" s="679"/>
      <c r="HMZ160" s="679"/>
      <c r="HNA160" s="679"/>
      <c r="HNB160" s="679"/>
      <c r="HNC160" s="679"/>
      <c r="HND160" s="679"/>
      <c r="HNE160" s="679"/>
      <c r="HNF160" s="679"/>
      <c r="HNG160" s="679"/>
      <c r="HNH160" s="679"/>
      <c r="HNI160" s="679"/>
      <c r="HNJ160" s="679"/>
      <c r="HNK160" s="679"/>
      <c r="HNL160" s="679"/>
      <c r="HNM160" s="679"/>
      <c r="HNN160" s="679"/>
      <c r="HNO160" s="679"/>
      <c r="HNP160" s="679"/>
      <c r="HNQ160" s="679"/>
      <c r="HNR160" s="679"/>
      <c r="HNS160" s="679"/>
      <c r="HNT160" s="679"/>
      <c r="HNU160" s="679"/>
      <c r="HNV160" s="679"/>
      <c r="HNW160" s="679"/>
      <c r="HNX160" s="679"/>
      <c r="HNY160" s="679"/>
      <c r="HNZ160" s="679"/>
      <c r="HOA160" s="679"/>
      <c r="HOB160" s="679"/>
      <c r="HOC160" s="679"/>
      <c r="HOD160" s="679"/>
      <c r="HOE160" s="679"/>
      <c r="HOF160" s="679"/>
      <c r="HOG160" s="679"/>
      <c r="HOH160" s="679"/>
      <c r="HOI160" s="679"/>
      <c r="HOJ160" s="679"/>
      <c r="HOK160" s="679"/>
      <c r="HOL160" s="679"/>
      <c r="HOM160" s="679"/>
      <c r="HON160" s="679"/>
      <c r="HOO160" s="679"/>
      <c r="HOP160" s="679"/>
      <c r="HOQ160" s="679"/>
      <c r="HOR160" s="679"/>
      <c r="HOS160" s="679"/>
      <c r="HOT160" s="679"/>
      <c r="HOU160" s="679"/>
      <c r="HOV160" s="679"/>
      <c r="HOW160" s="679"/>
      <c r="HOX160" s="679"/>
      <c r="HOY160" s="679"/>
      <c r="HOZ160" s="679"/>
      <c r="HPA160" s="679"/>
      <c r="HPB160" s="679"/>
      <c r="HPC160" s="679"/>
      <c r="HPD160" s="679"/>
      <c r="HPE160" s="679"/>
      <c r="HPF160" s="679"/>
      <c r="HPG160" s="679"/>
      <c r="HPH160" s="679"/>
      <c r="HPI160" s="679"/>
      <c r="HPJ160" s="679"/>
      <c r="HPK160" s="679"/>
      <c r="HPL160" s="679"/>
      <c r="HPM160" s="679"/>
      <c r="HPN160" s="679"/>
      <c r="HPO160" s="679"/>
      <c r="HPP160" s="679"/>
      <c r="HPQ160" s="679"/>
      <c r="HPR160" s="679"/>
      <c r="HPS160" s="679"/>
      <c r="HPT160" s="679"/>
      <c r="HPU160" s="679"/>
      <c r="HPV160" s="679"/>
      <c r="HPW160" s="679"/>
      <c r="HPX160" s="679"/>
      <c r="HPY160" s="679"/>
      <c r="HPZ160" s="679"/>
      <c r="HQA160" s="679"/>
      <c r="HQB160" s="679"/>
      <c r="HQC160" s="679"/>
      <c r="HQD160" s="679"/>
      <c r="HQE160" s="679"/>
      <c r="HQF160" s="679"/>
      <c r="HQG160" s="679"/>
      <c r="HQH160" s="679"/>
      <c r="HQI160" s="679"/>
      <c r="HQJ160" s="679"/>
      <c r="HQK160" s="679"/>
      <c r="HQL160" s="679"/>
      <c r="HQM160" s="679"/>
      <c r="HQN160" s="679"/>
      <c r="HQO160" s="679"/>
      <c r="HQP160" s="679"/>
      <c r="HQQ160" s="679"/>
      <c r="HQR160" s="679"/>
      <c r="HQS160" s="679"/>
      <c r="HQT160" s="679"/>
      <c r="HQU160" s="679"/>
      <c r="HQV160" s="679"/>
      <c r="HQW160" s="679"/>
      <c r="HQX160" s="679"/>
      <c r="HQY160" s="679"/>
      <c r="HQZ160" s="679"/>
      <c r="HRA160" s="679"/>
      <c r="HRB160" s="679"/>
      <c r="HRC160" s="679"/>
      <c r="HRD160" s="679"/>
      <c r="HRE160" s="679"/>
      <c r="HRF160" s="679"/>
      <c r="HRG160" s="679"/>
      <c r="HRH160" s="679"/>
      <c r="HRI160" s="679"/>
      <c r="HRJ160" s="679"/>
      <c r="HRK160" s="679"/>
      <c r="HRL160" s="679"/>
      <c r="HRM160" s="679"/>
      <c r="HRN160" s="679"/>
      <c r="HRO160" s="679"/>
      <c r="HRP160" s="679"/>
      <c r="HRQ160" s="679"/>
      <c r="HRR160" s="679"/>
      <c r="HRS160" s="679"/>
      <c r="HRT160" s="679"/>
      <c r="HRU160" s="679"/>
      <c r="HRV160" s="679"/>
      <c r="HRW160" s="679"/>
      <c r="HRX160" s="679"/>
      <c r="HRY160" s="679"/>
      <c r="HRZ160" s="679"/>
      <c r="HSA160" s="679"/>
      <c r="HSB160" s="679"/>
      <c r="HSC160" s="679"/>
      <c r="HSD160" s="679"/>
      <c r="HSE160" s="679"/>
      <c r="HSF160" s="679"/>
      <c r="HSG160" s="679"/>
      <c r="HSH160" s="679"/>
      <c r="HSI160" s="679"/>
      <c r="HSJ160" s="679"/>
      <c r="HSK160" s="679"/>
      <c r="HSL160" s="679"/>
      <c r="HSM160" s="679"/>
      <c r="HSN160" s="679"/>
      <c r="HSO160" s="679"/>
      <c r="HSP160" s="679"/>
      <c r="HSQ160" s="679"/>
      <c r="HSR160" s="679"/>
      <c r="HSS160" s="679"/>
      <c r="HST160" s="679"/>
      <c r="HSU160" s="679"/>
      <c r="HSV160" s="679"/>
      <c r="HSW160" s="679"/>
      <c r="HSX160" s="679"/>
      <c r="HSY160" s="679"/>
      <c r="HSZ160" s="679"/>
      <c r="HTA160" s="679"/>
      <c r="HTB160" s="679"/>
      <c r="HTC160" s="679"/>
      <c r="HTD160" s="679"/>
      <c r="HTE160" s="679"/>
      <c r="HTF160" s="679"/>
      <c r="HTG160" s="679"/>
      <c r="HTH160" s="679"/>
      <c r="HTI160" s="679"/>
      <c r="HTJ160" s="679"/>
      <c r="HTK160" s="679"/>
      <c r="HTL160" s="679"/>
      <c r="HTM160" s="679"/>
      <c r="HTN160" s="679"/>
      <c r="HTO160" s="679"/>
      <c r="HTP160" s="679"/>
      <c r="HTQ160" s="679"/>
      <c r="HTR160" s="679"/>
      <c r="HTS160" s="679"/>
      <c r="HTT160" s="679"/>
      <c r="HTU160" s="679"/>
      <c r="HTV160" s="679"/>
      <c r="HTW160" s="679"/>
      <c r="HTX160" s="679"/>
      <c r="HTY160" s="679"/>
      <c r="HTZ160" s="679"/>
      <c r="HUA160" s="679"/>
      <c r="HUB160" s="679"/>
      <c r="HUC160" s="679"/>
      <c r="HUD160" s="679"/>
      <c r="HUE160" s="679"/>
      <c r="HUF160" s="679"/>
      <c r="HUG160" s="679"/>
      <c r="HUH160" s="679"/>
      <c r="HUI160" s="679"/>
      <c r="HUJ160" s="679"/>
      <c r="HUK160" s="679"/>
      <c r="HUL160" s="679"/>
      <c r="HUM160" s="679"/>
      <c r="HUN160" s="679"/>
      <c r="HUO160" s="679"/>
      <c r="HUP160" s="679"/>
      <c r="HUQ160" s="679"/>
      <c r="HUR160" s="679"/>
      <c r="HUS160" s="679"/>
      <c r="HUT160" s="679"/>
      <c r="HUU160" s="679"/>
      <c r="HUV160" s="679"/>
      <c r="HUW160" s="679"/>
      <c r="HUX160" s="679"/>
      <c r="HUY160" s="679"/>
      <c r="HUZ160" s="679"/>
      <c r="HVA160" s="679"/>
      <c r="HVB160" s="679"/>
      <c r="HVC160" s="679"/>
      <c r="HVD160" s="679"/>
      <c r="HVE160" s="679"/>
      <c r="HVF160" s="679"/>
      <c r="HVG160" s="679"/>
      <c r="HVH160" s="679"/>
      <c r="HVI160" s="679"/>
      <c r="HVJ160" s="679"/>
      <c r="HVK160" s="679"/>
      <c r="HVL160" s="679"/>
      <c r="HVM160" s="679"/>
      <c r="HVN160" s="679"/>
      <c r="HVO160" s="679"/>
      <c r="HVP160" s="679"/>
      <c r="HVQ160" s="679"/>
      <c r="HVR160" s="679"/>
      <c r="HVS160" s="679"/>
      <c r="HVT160" s="679"/>
      <c r="HVU160" s="679"/>
      <c r="HVV160" s="679"/>
      <c r="HVW160" s="679"/>
      <c r="HVX160" s="679"/>
      <c r="HVY160" s="679"/>
      <c r="HVZ160" s="679"/>
      <c r="HWA160" s="679"/>
      <c r="HWB160" s="679"/>
      <c r="HWC160" s="679"/>
      <c r="HWD160" s="679"/>
      <c r="HWE160" s="679"/>
      <c r="HWF160" s="679"/>
      <c r="HWG160" s="679"/>
      <c r="HWH160" s="679"/>
      <c r="HWI160" s="679"/>
      <c r="HWJ160" s="679"/>
      <c r="HWK160" s="679"/>
      <c r="HWL160" s="679"/>
      <c r="HWM160" s="679"/>
      <c r="HWN160" s="679"/>
      <c r="HWO160" s="679"/>
      <c r="HWP160" s="679"/>
      <c r="HWQ160" s="679"/>
      <c r="HWR160" s="679"/>
      <c r="HWS160" s="679"/>
      <c r="HWT160" s="679"/>
      <c r="HWU160" s="679"/>
      <c r="HWV160" s="679"/>
      <c r="HWW160" s="679"/>
      <c r="HWX160" s="679"/>
      <c r="HWY160" s="679"/>
      <c r="HWZ160" s="679"/>
      <c r="HXA160" s="679"/>
      <c r="HXB160" s="679"/>
      <c r="HXC160" s="679"/>
      <c r="HXD160" s="679"/>
      <c r="HXE160" s="679"/>
      <c r="HXF160" s="679"/>
      <c r="HXG160" s="679"/>
      <c r="HXH160" s="679"/>
      <c r="HXI160" s="679"/>
      <c r="HXJ160" s="679"/>
      <c r="HXK160" s="679"/>
      <c r="HXL160" s="679"/>
      <c r="HXM160" s="679"/>
      <c r="HXN160" s="679"/>
      <c r="HXO160" s="679"/>
      <c r="HXP160" s="679"/>
      <c r="HXQ160" s="679"/>
      <c r="HXR160" s="679"/>
      <c r="HXS160" s="679"/>
      <c r="HXT160" s="679"/>
      <c r="HXU160" s="679"/>
      <c r="HXV160" s="679"/>
      <c r="HXW160" s="679"/>
      <c r="HXX160" s="679"/>
      <c r="HXY160" s="679"/>
      <c r="HXZ160" s="679"/>
      <c r="HYA160" s="679"/>
      <c r="HYB160" s="679"/>
      <c r="HYC160" s="679"/>
      <c r="HYD160" s="679"/>
      <c r="HYE160" s="679"/>
      <c r="HYF160" s="679"/>
      <c r="HYG160" s="679"/>
      <c r="HYH160" s="679"/>
      <c r="HYI160" s="679"/>
      <c r="HYJ160" s="679"/>
      <c r="HYK160" s="679"/>
      <c r="HYL160" s="679"/>
      <c r="HYM160" s="679"/>
      <c r="HYN160" s="679"/>
      <c r="HYO160" s="679"/>
      <c r="HYP160" s="679"/>
      <c r="HYQ160" s="679"/>
      <c r="HYR160" s="679"/>
      <c r="HYS160" s="679"/>
      <c r="HYT160" s="679"/>
      <c r="HYU160" s="679"/>
      <c r="HYV160" s="679"/>
      <c r="HYW160" s="679"/>
      <c r="HYX160" s="679"/>
      <c r="HYY160" s="679"/>
      <c r="HYZ160" s="679"/>
      <c r="HZA160" s="679"/>
      <c r="HZB160" s="679"/>
      <c r="HZC160" s="679"/>
      <c r="HZD160" s="679"/>
      <c r="HZE160" s="679"/>
      <c r="HZF160" s="679"/>
      <c r="HZG160" s="679"/>
      <c r="HZH160" s="679"/>
      <c r="HZI160" s="679"/>
      <c r="HZJ160" s="679"/>
      <c r="HZK160" s="679"/>
      <c r="HZL160" s="679"/>
      <c r="HZM160" s="679"/>
      <c r="HZN160" s="679"/>
      <c r="HZO160" s="679"/>
      <c r="HZP160" s="679"/>
      <c r="HZQ160" s="679"/>
      <c r="HZR160" s="679"/>
      <c r="HZS160" s="679"/>
      <c r="HZT160" s="679"/>
      <c r="HZU160" s="679"/>
      <c r="HZV160" s="679"/>
      <c r="HZW160" s="679"/>
      <c r="HZX160" s="679"/>
      <c r="HZY160" s="679"/>
      <c r="HZZ160" s="679"/>
      <c r="IAA160" s="679"/>
      <c r="IAB160" s="679"/>
      <c r="IAC160" s="679"/>
      <c r="IAD160" s="679"/>
      <c r="IAE160" s="679"/>
      <c r="IAF160" s="679"/>
      <c r="IAG160" s="679"/>
      <c r="IAH160" s="679"/>
      <c r="IAI160" s="679"/>
      <c r="IAJ160" s="679"/>
      <c r="IAK160" s="679"/>
      <c r="IAL160" s="679"/>
      <c r="IAM160" s="679"/>
      <c r="IAN160" s="679"/>
      <c r="IAO160" s="679"/>
      <c r="IAP160" s="679"/>
      <c r="IAQ160" s="679"/>
      <c r="IAR160" s="679"/>
      <c r="IAS160" s="679"/>
      <c r="IAT160" s="679"/>
      <c r="IAU160" s="679"/>
      <c r="IAV160" s="679"/>
      <c r="IAW160" s="679"/>
      <c r="IAX160" s="679"/>
      <c r="IAY160" s="679"/>
      <c r="IAZ160" s="679"/>
      <c r="IBA160" s="679"/>
      <c r="IBB160" s="679"/>
      <c r="IBC160" s="679"/>
      <c r="IBD160" s="679"/>
      <c r="IBE160" s="679"/>
      <c r="IBF160" s="679"/>
      <c r="IBG160" s="679"/>
      <c r="IBH160" s="679"/>
      <c r="IBI160" s="679"/>
      <c r="IBJ160" s="679"/>
      <c r="IBK160" s="679"/>
      <c r="IBL160" s="679"/>
      <c r="IBM160" s="679"/>
      <c r="IBN160" s="679"/>
      <c r="IBO160" s="679"/>
      <c r="IBP160" s="679"/>
      <c r="IBQ160" s="679"/>
      <c r="IBR160" s="679"/>
      <c r="IBS160" s="679"/>
      <c r="IBT160" s="679"/>
      <c r="IBU160" s="679"/>
      <c r="IBV160" s="679"/>
      <c r="IBW160" s="679"/>
      <c r="IBX160" s="679"/>
      <c r="IBY160" s="679"/>
      <c r="IBZ160" s="679"/>
      <c r="ICA160" s="679"/>
      <c r="ICB160" s="679"/>
      <c r="ICC160" s="679"/>
      <c r="ICD160" s="679"/>
      <c r="ICE160" s="679"/>
      <c r="ICF160" s="679"/>
      <c r="ICG160" s="679"/>
      <c r="ICH160" s="679"/>
      <c r="ICI160" s="679"/>
      <c r="ICJ160" s="679"/>
      <c r="ICK160" s="679"/>
      <c r="ICL160" s="679"/>
      <c r="ICM160" s="679"/>
      <c r="ICN160" s="679"/>
      <c r="ICO160" s="679"/>
      <c r="ICP160" s="679"/>
      <c r="ICQ160" s="679"/>
      <c r="ICR160" s="679"/>
      <c r="ICS160" s="679"/>
      <c r="ICT160" s="679"/>
      <c r="ICU160" s="679"/>
      <c r="ICV160" s="679"/>
      <c r="ICW160" s="679"/>
      <c r="ICX160" s="679"/>
      <c r="ICY160" s="679"/>
      <c r="ICZ160" s="679"/>
      <c r="IDA160" s="679"/>
      <c r="IDB160" s="679"/>
      <c r="IDC160" s="679"/>
      <c r="IDD160" s="679"/>
      <c r="IDE160" s="679"/>
      <c r="IDF160" s="679"/>
      <c r="IDG160" s="679"/>
      <c r="IDH160" s="679"/>
      <c r="IDI160" s="679"/>
      <c r="IDJ160" s="679"/>
      <c r="IDK160" s="679"/>
      <c r="IDL160" s="679"/>
      <c r="IDM160" s="679"/>
      <c r="IDN160" s="679"/>
      <c r="IDO160" s="679"/>
      <c r="IDP160" s="679"/>
      <c r="IDQ160" s="679"/>
      <c r="IDR160" s="679"/>
      <c r="IDS160" s="679"/>
      <c r="IDT160" s="679"/>
      <c r="IDU160" s="679"/>
      <c r="IDV160" s="679"/>
      <c r="IDW160" s="679"/>
      <c r="IDX160" s="679"/>
      <c r="IDY160" s="679"/>
      <c r="IDZ160" s="679"/>
      <c r="IEA160" s="679"/>
      <c r="IEB160" s="679"/>
      <c r="IEC160" s="679"/>
      <c r="IED160" s="679"/>
      <c r="IEE160" s="679"/>
      <c r="IEF160" s="679"/>
      <c r="IEG160" s="679"/>
      <c r="IEH160" s="679"/>
      <c r="IEI160" s="679"/>
      <c r="IEJ160" s="679"/>
      <c r="IEK160" s="679"/>
      <c r="IEL160" s="679"/>
      <c r="IEM160" s="679"/>
      <c r="IEN160" s="679"/>
      <c r="IEO160" s="679"/>
      <c r="IEP160" s="679"/>
      <c r="IEQ160" s="679"/>
      <c r="IER160" s="679"/>
      <c r="IES160" s="679"/>
      <c r="IET160" s="679"/>
      <c r="IEU160" s="679"/>
      <c r="IEV160" s="679"/>
      <c r="IEW160" s="679"/>
      <c r="IEX160" s="679"/>
      <c r="IEY160" s="679"/>
      <c r="IEZ160" s="679"/>
      <c r="IFA160" s="679"/>
      <c r="IFB160" s="679"/>
      <c r="IFC160" s="679"/>
      <c r="IFD160" s="679"/>
      <c r="IFE160" s="679"/>
      <c r="IFF160" s="679"/>
      <c r="IFG160" s="679"/>
      <c r="IFH160" s="679"/>
      <c r="IFI160" s="679"/>
      <c r="IFJ160" s="679"/>
      <c r="IFK160" s="679"/>
      <c r="IFL160" s="679"/>
      <c r="IFM160" s="679"/>
      <c r="IFN160" s="679"/>
      <c r="IFO160" s="679"/>
      <c r="IFP160" s="679"/>
      <c r="IFQ160" s="679"/>
      <c r="IFR160" s="679"/>
      <c r="IFS160" s="679"/>
      <c r="IFT160" s="679"/>
      <c r="IFU160" s="679"/>
      <c r="IFV160" s="679"/>
      <c r="IFW160" s="679"/>
      <c r="IFX160" s="679"/>
      <c r="IFY160" s="679"/>
      <c r="IFZ160" s="679"/>
      <c r="IGA160" s="679"/>
      <c r="IGB160" s="679"/>
      <c r="IGC160" s="679"/>
      <c r="IGD160" s="679"/>
      <c r="IGE160" s="679"/>
      <c r="IGF160" s="679"/>
      <c r="IGG160" s="679"/>
      <c r="IGH160" s="679"/>
      <c r="IGI160" s="679"/>
      <c r="IGJ160" s="679"/>
      <c r="IGK160" s="679"/>
      <c r="IGL160" s="679"/>
      <c r="IGM160" s="679"/>
      <c r="IGN160" s="679"/>
      <c r="IGO160" s="679"/>
      <c r="IGP160" s="679"/>
      <c r="IGQ160" s="679"/>
      <c r="IGR160" s="679"/>
      <c r="IGS160" s="679"/>
      <c r="IGT160" s="679"/>
      <c r="IGU160" s="679"/>
      <c r="IGV160" s="679"/>
      <c r="IGW160" s="679"/>
      <c r="IGX160" s="679"/>
      <c r="IGY160" s="679"/>
      <c r="IGZ160" s="679"/>
      <c r="IHA160" s="679"/>
      <c r="IHB160" s="679"/>
      <c r="IHC160" s="679"/>
      <c r="IHD160" s="679"/>
      <c r="IHE160" s="679"/>
      <c r="IHF160" s="679"/>
      <c r="IHG160" s="679"/>
      <c r="IHH160" s="679"/>
      <c r="IHI160" s="679"/>
      <c r="IHJ160" s="679"/>
      <c r="IHK160" s="679"/>
      <c r="IHL160" s="679"/>
      <c r="IHM160" s="679"/>
      <c r="IHN160" s="679"/>
      <c r="IHO160" s="679"/>
      <c r="IHP160" s="679"/>
      <c r="IHQ160" s="679"/>
      <c r="IHR160" s="679"/>
      <c r="IHS160" s="679"/>
      <c r="IHT160" s="679"/>
      <c r="IHU160" s="679"/>
      <c r="IHV160" s="679"/>
      <c r="IHW160" s="679"/>
      <c r="IHX160" s="679"/>
      <c r="IHY160" s="679"/>
      <c r="IHZ160" s="679"/>
      <c r="IIA160" s="679"/>
      <c r="IIB160" s="679"/>
      <c r="IIC160" s="679"/>
      <c r="IID160" s="679"/>
      <c r="IIE160" s="679"/>
      <c r="IIF160" s="679"/>
      <c r="IIG160" s="679"/>
      <c r="IIH160" s="679"/>
      <c r="III160" s="679"/>
      <c r="IIJ160" s="679"/>
      <c r="IIK160" s="679"/>
      <c r="IIL160" s="679"/>
      <c r="IIM160" s="679"/>
      <c r="IIN160" s="679"/>
      <c r="IIO160" s="679"/>
      <c r="IIP160" s="679"/>
      <c r="IIQ160" s="679"/>
      <c r="IIR160" s="679"/>
      <c r="IIS160" s="679"/>
      <c r="IIT160" s="679"/>
      <c r="IIU160" s="679"/>
      <c r="IIV160" s="679"/>
      <c r="IIW160" s="679"/>
      <c r="IIX160" s="679"/>
      <c r="IIY160" s="679"/>
      <c r="IIZ160" s="679"/>
      <c r="IJA160" s="679"/>
      <c r="IJB160" s="679"/>
      <c r="IJC160" s="679"/>
      <c r="IJD160" s="679"/>
      <c r="IJE160" s="679"/>
      <c r="IJF160" s="679"/>
      <c r="IJG160" s="679"/>
      <c r="IJH160" s="679"/>
      <c r="IJI160" s="679"/>
      <c r="IJJ160" s="679"/>
      <c r="IJK160" s="679"/>
      <c r="IJL160" s="679"/>
      <c r="IJM160" s="679"/>
      <c r="IJN160" s="679"/>
      <c r="IJO160" s="679"/>
      <c r="IJP160" s="679"/>
      <c r="IJQ160" s="679"/>
      <c r="IJR160" s="679"/>
      <c r="IJS160" s="679"/>
      <c r="IJT160" s="679"/>
      <c r="IJU160" s="679"/>
      <c r="IJV160" s="679"/>
      <c r="IJW160" s="679"/>
      <c r="IJX160" s="679"/>
      <c r="IJY160" s="679"/>
      <c r="IJZ160" s="679"/>
      <c r="IKA160" s="679"/>
      <c r="IKB160" s="679"/>
      <c r="IKC160" s="679"/>
      <c r="IKD160" s="679"/>
      <c r="IKE160" s="679"/>
      <c r="IKF160" s="679"/>
      <c r="IKG160" s="679"/>
      <c r="IKH160" s="679"/>
      <c r="IKI160" s="679"/>
      <c r="IKJ160" s="679"/>
      <c r="IKK160" s="679"/>
      <c r="IKL160" s="679"/>
      <c r="IKM160" s="679"/>
      <c r="IKN160" s="679"/>
      <c r="IKO160" s="679"/>
      <c r="IKP160" s="679"/>
      <c r="IKQ160" s="679"/>
      <c r="IKR160" s="679"/>
      <c r="IKS160" s="679"/>
      <c r="IKT160" s="679"/>
      <c r="IKU160" s="679"/>
      <c r="IKV160" s="679"/>
      <c r="IKW160" s="679"/>
      <c r="IKX160" s="679"/>
      <c r="IKY160" s="679"/>
      <c r="IKZ160" s="679"/>
      <c r="ILA160" s="679"/>
      <c r="ILB160" s="679"/>
      <c r="ILC160" s="679"/>
      <c r="ILD160" s="679"/>
      <c r="ILE160" s="679"/>
      <c r="ILF160" s="679"/>
      <c r="ILG160" s="679"/>
      <c r="ILH160" s="679"/>
      <c r="ILI160" s="679"/>
      <c r="ILJ160" s="679"/>
      <c r="ILK160" s="679"/>
      <c r="ILL160" s="679"/>
      <c r="ILM160" s="679"/>
      <c r="ILN160" s="679"/>
      <c r="ILO160" s="679"/>
      <c r="ILP160" s="679"/>
      <c r="ILQ160" s="679"/>
      <c r="ILR160" s="679"/>
      <c r="ILS160" s="679"/>
      <c r="ILT160" s="679"/>
      <c r="ILU160" s="679"/>
      <c r="ILV160" s="679"/>
      <c r="ILW160" s="679"/>
      <c r="ILX160" s="679"/>
      <c r="ILY160" s="679"/>
      <c r="ILZ160" s="679"/>
      <c r="IMA160" s="679"/>
      <c r="IMB160" s="679"/>
      <c r="IMC160" s="679"/>
      <c r="IMD160" s="679"/>
      <c r="IME160" s="679"/>
      <c r="IMF160" s="679"/>
      <c r="IMG160" s="679"/>
      <c r="IMH160" s="679"/>
      <c r="IMI160" s="679"/>
      <c r="IMJ160" s="679"/>
      <c r="IMK160" s="679"/>
      <c r="IML160" s="679"/>
      <c r="IMM160" s="679"/>
      <c r="IMN160" s="679"/>
      <c r="IMO160" s="679"/>
      <c r="IMP160" s="679"/>
      <c r="IMQ160" s="679"/>
      <c r="IMR160" s="679"/>
      <c r="IMS160" s="679"/>
      <c r="IMT160" s="679"/>
      <c r="IMU160" s="679"/>
      <c r="IMV160" s="679"/>
      <c r="IMW160" s="679"/>
      <c r="IMX160" s="679"/>
      <c r="IMY160" s="679"/>
      <c r="IMZ160" s="679"/>
      <c r="INA160" s="679"/>
      <c r="INB160" s="679"/>
      <c r="INC160" s="679"/>
      <c r="IND160" s="679"/>
      <c r="INE160" s="679"/>
      <c r="INF160" s="679"/>
      <c r="ING160" s="679"/>
      <c r="INH160" s="679"/>
      <c r="INI160" s="679"/>
      <c r="INJ160" s="679"/>
      <c r="INK160" s="679"/>
      <c r="INL160" s="679"/>
      <c r="INM160" s="679"/>
      <c r="INN160" s="679"/>
      <c r="INO160" s="679"/>
      <c r="INP160" s="679"/>
      <c r="INQ160" s="679"/>
      <c r="INR160" s="679"/>
      <c r="INS160" s="679"/>
      <c r="INT160" s="679"/>
      <c r="INU160" s="679"/>
      <c r="INV160" s="679"/>
      <c r="INW160" s="679"/>
      <c r="INX160" s="679"/>
      <c r="INY160" s="679"/>
      <c r="INZ160" s="679"/>
      <c r="IOA160" s="679"/>
      <c r="IOB160" s="679"/>
      <c r="IOC160" s="679"/>
      <c r="IOD160" s="679"/>
      <c r="IOE160" s="679"/>
      <c r="IOF160" s="679"/>
      <c r="IOG160" s="679"/>
      <c r="IOH160" s="679"/>
      <c r="IOI160" s="679"/>
      <c r="IOJ160" s="679"/>
      <c r="IOK160" s="679"/>
      <c r="IOL160" s="679"/>
      <c r="IOM160" s="679"/>
      <c r="ION160" s="679"/>
      <c r="IOO160" s="679"/>
      <c r="IOP160" s="679"/>
      <c r="IOQ160" s="679"/>
      <c r="IOR160" s="679"/>
      <c r="IOS160" s="679"/>
      <c r="IOT160" s="679"/>
      <c r="IOU160" s="679"/>
      <c r="IOV160" s="679"/>
      <c r="IOW160" s="679"/>
      <c r="IOX160" s="679"/>
      <c r="IOY160" s="679"/>
      <c r="IOZ160" s="679"/>
      <c r="IPA160" s="679"/>
      <c r="IPB160" s="679"/>
      <c r="IPC160" s="679"/>
      <c r="IPD160" s="679"/>
      <c r="IPE160" s="679"/>
      <c r="IPF160" s="679"/>
      <c r="IPG160" s="679"/>
      <c r="IPH160" s="679"/>
      <c r="IPI160" s="679"/>
      <c r="IPJ160" s="679"/>
      <c r="IPK160" s="679"/>
      <c r="IPL160" s="679"/>
      <c r="IPM160" s="679"/>
      <c r="IPN160" s="679"/>
      <c r="IPO160" s="679"/>
      <c r="IPP160" s="679"/>
      <c r="IPQ160" s="679"/>
      <c r="IPR160" s="679"/>
      <c r="IPS160" s="679"/>
      <c r="IPT160" s="679"/>
      <c r="IPU160" s="679"/>
      <c r="IPV160" s="679"/>
      <c r="IPW160" s="679"/>
      <c r="IPX160" s="679"/>
      <c r="IPY160" s="679"/>
      <c r="IPZ160" s="679"/>
      <c r="IQA160" s="679"/>
      <c r="IQB160" s="679"/>
      <c r="IQC160" s="679"/>
      <c r="IQD160" s="679"/>
      <c r="IQE160" s="679"/>
      <c r="IQF160" s="679"/>
      <c r="IQG160" s="679"/>
      <c r="IQH160" s="679"/>
      <c r="IQI160" s="679"/>
      <c r="IQJ160" s="679"/>
      <c r="IQK160" s="679"/>
      <c r="IQL160" s="679"/>
      <c r="IQM160" s="679"/>
      <c r="IQN160" s="679"/>
      <c r="IQO160" s="679"/>
      <c r="IQP160" s="679"/>
      <c r="IQQ160" s="679"/>
      <c r="IQR160" s="679"/>
      <c r="IQS160" s="679"/>
      <c r="IQT160" s="679"/>
      <c r="IQU160" s="679"/>
      <c r="IQV160" s="679"/>
      <c r="IQW160" s="679"/>
      <c r="IQX160" s="679"/>
      <c r="IQY160" s="679"/>
      <c r="IQZ160" s="679"/>
      <c r="IRA160" s="679"/>
      <c r="IRB160" s="679"/>
      <c r="IRC160" s="679"/>
      <c r="IRD160" s="679"/>
      <c r="IRE160" s="679"/>
      <c r="IRF160" s="679"/>
      <c r="IRG160" s="679"/>
      <c r="IRH160" s="679"/>
      <c r="IRI160" s="679"/>
      <c r="IRJ160" s="679"/>
      <c r="IRK160" s="679"/>
      <c r="IRL160" s="679"/>
      <c r="IRM160" s="679"/>
      <c r="IRN160" s="679"/>
      <c r="IRO160" s="679"/>
      <c r="IRP160" s="679"/>
      <c r="IRQ160" s="679"/>
      <c r="IRR160" s="679"/>
      <c r="IRS160" s="679"/>
      <c r="IRT160" s="679"/>
      <c r="IRU160" s="679"/>
      <c r="IRV160" s="679"/>
      <c r="IRW160" s="679"/>
      <c r="IRX160" s="679"/>
      <c r="IRY160" s="679"/>
      <c r="IRZ160" s="679"/>
      <c r="ISA160" s="679"/>
      <c r="ISB160" s="679"/>
      <c r="ISC160" s="679"/>
      <c r="ISD160" s="679"/>
      <c r="ISE160" s="679"/>
      <c r="ISF160" s="679"/>
      <c r="ISG160" s="679"/>
      <c r="ISH160" s="679"/>
      <c r="ISI160" s="679"/>
      <c r="ISJ160" s="679"/>
      <c r="ISK160" s="679"/>
      <c r="ISL160" s="679"/>
      <c r="ISM160" s="679"/>
      <c r="ISN160" s="679"/>
      <c r="ISO160" s="679"/>
      <c r="ISP160" s="679"/>
      <c r="ISQ160" s="679"/>
      <c r="ISR160" s="679"/>
      <c r="ISS160" s="679"/>
      <c r="IST160" s="679"/>
      <c r="ISU160" s="679"/>
      <c r="ISV160" s="679"/>
      <c r="ISW160" s="679"/>
      <c r="ISX160" s="679"/>
      <c r="ISY160" s="679"/>
      <c r="ISZ160" s="679"/>
      <c r="ITA160" s="679"/>
      <c r="ITB160" s="679"/>
      <c r="ITC160" s="679"/>
      <c r="ITD160" s="679"/>
      <c r="ITE160" s="679"/>
      <c r="ITF160" s="679"/>
      <c r="ITG160" s="679"/>
      <c r="ITH160" s="679"/>
      <c r="ITI160" s="679"/>
      <c r="ITJ160" s="679"/>
      <c r="ITK160" s="679"/>
      <c r="ITL160" s="679"/>
      <c r="ITM160" s="679"/>
      <c r="ITN160" s="679"/>
      <c r="ITO160" s="679"/>
      <c r="ITP160" s="679"/>
      <c r="ITQ160" s="679"/>
      <c r="ITR160" s="679"/>
      <c r="ITS160" s="679"/>
      <c r="ITT160" s="679"/>
      <c r="ITU160" s="679"/>
      <c r="ITV160" s="679"/>
      <c r="ITW160" s="679"/>
      <c r="ITX160" s="679"/>
      <c r="ITY160" s="679"/>
      <c r="ITZ160" s="679"/>
      <c r="IUA160" s="679"/>
      <c r="IUB160" s="679"/>
      <c r="IUC160" s="679"/>
      <c r="IUD160" s="679"/>
      <c r="IUE160" s="679"/>
      <c r="IUF160" s="679"/>
      <c r="IUG160" s="679"/>
      <c r="IUH160" s="679"/>
      <c r="IUI160" s="679"/>
      <c r="IUJ160" s="679"/>
      <c r="IUK160" s="679"/>
      <c r="IUL160" s="679"/>
      <c r="IUM160" s="679"/>
      <c r="IUN160" s="679"/>
      <c r="IUO160" s="679"/>
      <c r="IUP160" s="679"/>
      <c r="IUQ160" s="679"/>
      <c r="IUR160" s="679"/>
      <c r="IUS160" s="679"/>
      <c r="IUT160" s="679"/>
      <c r="IUU160" s="679"/>
      <c r="IUV160" s="679"/>
      <c r="IUW160" s="679"/>
      <c r="IUX160" s="679"/>
      <c r="IUY160" s="679"/>
      <c r="IUZ160" s="679"/>
      <c r="IVA160" s="679"/>
      <c r="IVB160" s="679"/>
      <c r="IVC160" s="679"/>
      <c r="IVD160" s="679"/>
      <c r="IVE160" s="679"/>
      <c r="IVF160" s="679"/>
      <c r="IVG160" s="679"/>
      <c r="IVH160" s="679"/>
      <c r="IVI160" s="679"/>
      <c r="IVJ160" s="679"/>
      <c r="IVK160" s="679"/>
      <c r="IVL160" s="679"/>
      <c r="IVM160" s="679"/>
      <c r="IVN160" s="679"/>
      <c r="IVO160" s="679"/>
      <c r="IVP160" s="679"/>
      <c r="IVQ160" s="679"/>
      <c r="IVR160" s="679"/>
      <c r="IVS160" s="679"/>
      <c r="IVT160" s="679"/>
      <c r="IVU160" s="679"/>
      <c r="IVV160" s="679"/>
      <c r="IVW160" s="679"/>
      <c r="IVX160" s="679"/>
      <c r="IVY160" s="679"/>
      <c r="IVZ160" s="679"/>
      <c r="IWA160" s="679"/>
      <c r="IWB160" s="679"/>
      <c r="IWC160" s="679"/>
      <c r="IWD160" s="679"/>
      <c r="IWE160" s="679"/>
      <c r="IWF160" s="679"/>
      <c r="IWG160" s="679"/>
      <c r="IWH160" s="679"/>
      <c r="IWI160" s="679"/>
      <c r="IWJ160" s="679"/>
      <c r="IWK160" s="679"/>
      <c r="IWL160" s="679"/>
      <c r="IWM160" s="679"/>
      <c r="IWN160" s="679"/>
      <c r="IWO160" s="679"/>
      <c r="IWP160" s="679"/>
      <c r="IWQ160" s="679"/>
      <c r="IWR160" s="679"/>
      <c r="IWS160" s="679"/>
      <c r="IWT160" s="679"/>
      <c r="IWU160" s="679"/>
      <c r="IWV160" s="679"/>
      <c r="IWW160" s="679"/>
      <c r="IWX160" s="679"/>
      <c r="IWY160" s="679"/>
      <c r="IWZ160" s="679"/>
      <c r="IXA160" s="679"/>
      <c r="IXB160" s="679"/>
      <c r="IXC160" s="679"/>
      <c r="IXD160" s="679"/>
      <c r="IXE160" s="679"/>
      <c r="IXF160" s="679"/>
      <c r="IXG160" s="679"/>
      <c r="IXH160" s="679"/>
      <c r="IXI160" s="679"/>
      <c r="IXJ160" s="679"/>
      <c r="IXK160" s="679"/>
      <c r="IXL160" s="679"/>
      <c r="IXM160" s="679"/>
      <c r="IXN160" s="679"/>
      <c r="IXO160" s="679"/>
      <c r="IXP160" s="679"/>
      <c r="IXQ160" s="679"/>
      <c r="IXR160" s="679"/>
      <c r="IXS160" s="679"/>
      <c r="IXT160" s="679"/>
      <c r="IXU160" s="679"/>
      <c r="IXV160" s="679"/>
      <c r="IXW160" s="679"/>
      <c r="IXX160" s="679"/>
      <c r="IXY160" s="679"/>
      <c r="IXZ160" s="679"/>
      <c r="IYA160" s="679"/>
      <c r="IYB160" s="679"/>
      <c r="IYC160" s="679"/>
      <c r="IYD160" s="679"/>
      <c r="IYE160" s="679"/>
      <c r="IYF160" s="679"/>
      <c r="IYG160" s="679"/>
      <c r="IYH160" s="679"/>
      <c r="IYI160" s="679"/>
      <c r="IYJ160" s="679"/>
      <c r="IYK160" s="679"/>
      <c r="IYL160" s="679"/>
      <c r="IYM160" s="679"/>
      <c r="IYN160" s="679"/>
      <c r="IYO160" s="679"/>
      <c r="IYP160" s="679"/>
      <c r="IYQ160" s="679"/>
      <c r="IYR160" s="679"/>
      <c r="IYS160" s="679"/>
      <c r="IYT160" s="679"/>
      <c r="IYU160" s="679"/>
      <c r="IYV160" s="679"/>
      <c r="IYW160" s="679"/>
      <c r="IYX160" s="679"/>
      <c r="IYY160" s="679"/>
      <c r="IYZ160" s="679"/>
      <c r="IZA160" s="679"/>
      <c r="IZB160" s="679"/>
      <c r="IZC160" s="679"/>
      <c r="IZD160" s="679"/>
      <c r="IZE160" s="679"/>
      <c r="IZF160" s="679"/>
      <c r="IZG160" s="679"/>
      <c r="IZH160" s="679"/>
      <c r="IZI160" s="679"/>
      <c r="IZJ160" s="679"/>
      <c r="IZK160" s="679"/>
      <c r="IZL160" s="679"/>
      <c r="IZM160" s="679"/>
      <c r="IZN160" s="679"/>
      <c r="IZO160" s="679"/>
      <c r="IZP160" s="679"/>
      <c r="IZQ160" s="679"/>
      <c r="IZR160" s="679"/>
      <c r="IZS160" s="679"/>
      <c r="IZT160" s="679"/>
      <c r="IZU160" s="679"/>
      <c r="IZV160" s="679"/>
      <c r="IZW160" s="679"/>
      <c r="IZX160" s="679"/>
      <c r="IZY160" s="679"/>
      <c r="IZZ160" s="679"/>
      <c r="JAA160" s="679"/>
      <c r="JAB160" s="679"/>
      <c r="JAC160" s="679"/>
      <c r="JAD160" s="679"/>
      <c r="JAE160" s="679"/>
      <c r="JAF160" s="679"/>
      <c r="JAG160" s="679"/>
      <c r="JAH160" s="679"/>
      <c r="JAI160" s="679"/>
      <c r="JAJ160" s="679"/>
      <c r="JAK160" s="679"/>
      <c r="JAL160" s="679"/>
      <c r="JAM160" s="679"/>
      <c r="JAN160" s="679"/>
      <c r="JAO160" s="679"/>
      <c r="JAP160" s="679"/>
      <c r="JAQ160" s="679"/>
      <c r="JAR160" s="679"/>
      <c r="JAS160" s="679"/>
      <c r="JAT160" s="679"/>
      <c r="JAU160" s="679"/>
      <c r="JAV160" s="679"/>
      <c r="JAW160" s="679"/>
      <c r="JAX160" s="679"/>
      <c r="JAY160" s="679"/>
      <c r="JAZ160" s="679"/>
      <c r="JBA160" s="679"/>
      <c r="JBB160" s="679"/>
      <c r="JBC160" s="679"/>
      <c r="JBD160" s="679"/>
      <c r="JBE160" s="679"/>
      <c r="JBF160" s="679"/>
      <c r="JBG160" s="679"/>
      <c r="JBH160" s="679"/>
      <c r="JBI160" s="679"/>
      <c r="JBJ160" s="679"/>
      <c r="JBK160" s="679"/>
      <c r="JBL160" s="679"/>
      <c r="JBM160" s="679"/>
      <c r="JBN160" s="679"/>
      <c r="JBO160" s="679"/>
      <c r="JBP160" s="679"/>
      <c r="JBQ160" s="679"/>
      <c r="JBR160" s="679"/>
      <c r="JBS160" s="679"/>
      <c r="JBT160" s="679"/>
      <c r="JBU160" s="679"/>
      <c r="JBV160" s="679"/>
      <c r="JBW160" s="679"/>
      <c r="JBX160" s="679"/>
      <c r="JBY160" s="679"/>
      <c r="JBZ160" s="679"/>
      <c r="JCA160" s="679"/>
      <c r="JCB160" s="679"/>
      <c r="JCC160" s="679"/>
      <c r="JCD160" s="679"/>
      <c r="JCE160" s="679"/>
      <c r="JCF160" s="679"/>
      <c r="JCG160" s="679"/>
      <c r="JCH160" s="679"/>
      <c r="JCI160" s="679"/>
      <c r="JCJ160" s="679"/>
      <c r="JCK160" s="679"/>
      <c r="JCL160" s="679"/>
      <c r="JCM160" s="679"/>
      <c r="JCN160" s="679"/>
      <c r="JCO160" s="679"/>
      <c r="JCP160" s="679"/>
      <c r="JCQ160" s="679"/>
      <c r="JCR160" s="679"/>
      <c r="JCS160" s="679"/>
      <c r="JCT160" s="679"/>
      <c r="JCU160" s="679"/>
      <c r="JCV160" s="679"/>
      <c r="JCW160" s="679"/>
      <c r="JCX160" s="679"/>
      <c r="JCY160" s="679"/>
      <c r="JCZ160" s="679"/>
      <c r="JDA160" s="679"/>
      <c r="JDB160" s="679"/>
      <c r="JDC160" s="679"/>
      <c r="JDD160" s="679"/>
      <c r="JDE160" s="679"/>
      <c r="JDF160" s="679"/>
      <c r="JDG160" s="679"/>
      <c r="JDH160" s="679"/>
      <c r="JDI160" s="679"/>
      <c r="JDJ160" s="679"/>
      <c r="JDK160" s="679"/>
      <c r="JDL160" s="679"/>
      <c r="JDM160" s="679"/>
      <c r="JDN160" s="679"/>
      <c r="JDO160" s="679"/>
      <c r="JDP160" s="679"/>
      <c r="JDQ160" s="679"/>
      <c r="JDR160" s="679"/>
      <c r="JDS160" s="679"/>
      <c r="JDT160" s="679"/>
      <c r="JDU160" s="679"/>
      <c r="JDV160" s="679"/>
      <c r="JDW160" s="679"/>
      <c r="JDX160" s="679"/>
      <c r="JDY160" s="679"/>
      <c r="JDZ160" s="679"/>
      <c r="JEA160" s="679"/>
      <c r="JEB160" s="679"/>
      <c r="JEC160" s="679"/>
      <c r="JED160" s="679"/>
      <c r="JEE160" s="679"/>
      <c r="JEF160" s="679"/>
      <c r="JEG160" s="679"/>
      <c r="JEH160" s="679"/>
      <c r="JEI160" s="679"/>
      <c r="JEJ160" s="679"/>
      <c r="JEK160" s="679"/>
      <c r="JEL160" s="679"/>
      <c r="JEM160" s="679"/>
      <c r="JEN160" s="679"/>
      <c r="JEO160" s="679"/>
      <c r="JEP160" s="679"/>
      <c r="JEQ160" s="679"/>
      <c r="JER160" s="679"/>
      <c r="JES160" s="679"/>
      <c r="JET160" s="679"/>
      <c r="JEU160" s="679"/>
      <c r="JEV160" s="679"/>
      <c r="JEW160" s="679"/>
      <c r="JEX160" s="679"/>
      <c r="JEY160" s="679"/>
      <c r="JEZ160" s="679"/>
      <c r="JFA160" s="679"/>
      <c r="JFB160" s="679"/>
      <c r="JFC160" s="679"/>
      <c r="JFD160" s="679"/>
      <c r="JFE160" s="679"/>
      <c r="JFF160" s="679"/>
      <c r="JFG160" s="679"/>
      <c r="JFH160" s="679"/>
      <c r="JFI160" s="679"/>
      <c r="JFJ160" s="679"/>
      <c r="JFK160" s="679"/>
      <c r="JFL160" s="679"/>
      <c r="JFM160" s="679"/>
      <c r="JFN160" s="679"/>
      <c r="JFO160" s="679"/>
      <c r="JFP160" s="679"/>
      <c r="JFQ160" s="679"/>
      <c r="JFR160" s="679"/>
      <c r="JFS160" s="679"/>
      <c r="JFT160" s="679"/>
      <c r="JFU160" s="679"/>
      <c r="JFV160" s="679"/>
      <c r="JFW160" s="679"/>
      <c r="JFX160" s="679"/>
      <c r="JFY160" s="679"/>
      <c r="JFZ160" s="679"/>
      <c r="JGA160" s="679"/>
      <c r="JGB160" s="679"/>
      <c r="JGC160" s="679"/>
      <c r="JGD160" s="679"/>
      <c r="JGE160" s="679"/>
      <c r="JGF160" s="679"/>
      <c r="JGG160" s="679"/>
      <c r="JGH160" s="679"/>
      <c r="JGI160" s="679"/>
      <c r="JGJ160" s="679"/>
      <c r="JGK160" s="679"/>
      <c r="JGL160" s="679"/>
      <c r="JGM160" s="679"/>
      <c r="JGN160" s="679"/>
      <c r="JGO160" s="679"/>
      <c r="JGP160" s="679"/>
      <c r="JGQ160" s="679"/>
      <c r="JGR160" s="679"/>
      <c r="JGS160" s="679"/>
      <c r="JGT160" s="679"/>
      <c r="JGU160" s="679"/>
      <c r="JGV160" s="679"/>
      <c r="JGW160" s="679"/>
      <c r="JGX160" s="679"/>
      <c r="JGY160" s="679"/>
      <c r="JGZ160" s="679"/>
      <c r="JHA160" s="679"/>
      <c r="JHB160" s="679"/>
      <c r="JHC160" s="679"/>
      <c r="JHD160" s="679"/>
      <c r="JHE160" s="679"/>
      <c r="JHF160" s="679"/>
      <c r="JHG160" s="679"/>
      <c r="JHH160" s="679"/>
      <c r="JHI160" s="679"/>
      <c r="JHJ160" s="679"/>
      <c r="JHK160" s="679"/>
      <c r="JHL160" s="679"/>
      <c r="JHM160" s="679"/>
      <c r="JHN160" s="679"/>
      <c r="JHO160" s="679"/>
      <c r="JHP160" s="679"/>
      <c r="JHQ160" s="679"/>
      <c r="JHR160" s="679"/>
      <c r="JHS160" s="679"/>
      <c r="JHT160" s="679"/>
      <c r="JHU160" s="679"/>
      <c r="JHV160" s="679"/>
      <c r="JHW160" s="679"/>
      <c r="JHX160" s="679"/>
      <c r="JHY160" s="679"/>
      <c r="JHZ160" s="679"/>
      <c r="JIA160" s="679"/>
      <c r="JIB160" s="679"/>
      <c r="JIC160" s="679"/>
      <c r="JID160" s="679"/>
      <c r="JIE160" s="679"/>
      <c r="JIF160" s="679"/>
      <c r="JIG160" s="679"/>
      <c r="JIH160" s="679"/>
      <c r="JII160" s="679"/>
      <c r="JIJ160" s="679"/>
      <c r="JIK160" s="679"/>
      <c r="JIL160" s="679"/>
      <c r="JIM160" s="679"/>
      <c r="JIN160" s="679"/>
      <c r="JIO160" s="679"/>
      <c r="JIP160" s="679"/>
      <c r="JIQ160" s="679"/>
      <c r="JIR160" s="679"/>
      <c r="JIS160" s="679"/>
      <c r="JIT160" s="679"/>
      <c r="JIU160" s="679"/>
      <c r="JIV160" s="679"/>
      <c r="JIW160" s="679"/>
      <c r="JIX160" s="679"/>
      <c r="JIY160" s="679"/>
      <c r="JIZ160" s="679"/>
      <c r="JJA160" s="679"/>
      <c r="JJB160" s="679"/>
      <c r="JJC160" s="679"/>
      <c r="JJD160" s="679"/>
      <c r="JJE160" s="679"/>
      <c r="JJF160" s="679"/>
      <c r="JJG160" s="679"/>
      <c r="JJH160" s="679"/>
      <c r="JJI160" s="679"/>
      <c r="JJJ160" s="679"/>
      <c r="JJK160" s="679"/>
      <c r="JJL160" s="679"/>
      <c r="JJM160" s="679"/>
      <c r="JJN160" s="679"/>
      <c r="JJO160" s="679"/>
      <c r="JJP160" s="679"/>
      <c r="JJQ160" s="679"/>
      <c r="JJR160" s="679"/>
      <c r="JJS160" s="679"/>
      <c r="JJT160" s="679"/>
      <c r="JJU160" s="679"/>
      <c r="JJV160" s="679"/>
      <c r="JJW160" s="679"/>
      <c r="JJX160" s="679"/>
      <c r="JJY160" s="679"/>
      <c r="JJZ160" s="679"/>
      <c r="JKA160" s="679"/>
      <c r="JKB160" s="679"/>
      <c r="JKC160" s="679"/>
      <c r="JKD160" s="679"/>
      <c r="JKE160" s="679"/>
      <c r="JKF160" s="679"/>
      <c r="JKG160" s="679"/>
      <c r="JKH160" s="679"/>
      <c r="JKI160" s="679"/>
      <c r="JKJ160" s="679"/>
      <c r="JKK160" s="679"/>
      <c r="JKL160" s="679"/>
      <c r="JKM160" s="679"/>
      <c r="JKN160" s="679"/>
      <c r="JKO160" s="679"/>
      <c r="JKP160" s="679"/>
      <c r="JKQ160" s="679"/>
      <c r="JKR160" s="679"/>
      <c r="JKS160" s="679"/>
      <c r="JKT160" s="679"/>
      <c r="JKU160" s="679"/>
      <c r="JKV160" s="679"/>
      <c r="JKW160" s="679"/>
      <c r="JKX160" s="679"/>
      <c r="JKY160" s="679"/>
      <c r="JKZ160" s="679"/>
      <c r="JLA160" s="679"/>
      <c r="JLB160" s="679"/>
      <c r="JLC160" s="679"/>
      <c r="JLD160" s="679"/>
      <c r="JLE160" s="679"/>
      <c r="JLF160" s="679"/>
      <c r="JLG160" s="679"/>
      <c r="JLH160" s="679"/>
      <c r="JLI160" s="679"/>
      <c r="JLJ160" s="679"/>
      <c r="JLK160" s="679"/>
      <c r="JLL160" s="679"/>
      <c r="JLM160" s="679"/>
      <c r="JLN160" s="679"/>
      <c r="JLO160" s="679"/>
      <c r="JLP160" s="679"/>
      <c r="JLQ160" s="679"/>
      <c r="JLR160" s="679"/>
      <c r="JLS160" s="679"/>
      <c r="JLT160" s="679"/>
      <c r="JLU160" s="679"/>
      <c r="JLV160" s="679"/>
      <c r="JLW160" s="679"/>
      <c r="JLX160" s="679"/>
      <c r="JLY160" s="679"/>
      <c r="JLZ160" s="679"/>
      <c r="JMA160" s="679"/>
      <c r="JMB160" s="679"/>
      <c r="JMC160" s="679"/>
      <c r="JMD160" s="679"/>
      <c r="JME160" s="679"/>
      <c r="JMF160" s="679"/>
      <c r="JMG160" s="679"/>
      <c r="JMH160" s="679"/>
      <c r="JMI160" s="679"/>
      <c r="JMJ160" s="679"/>
      <c r="JMK160" s="679"/>
      <c r="JML160" s="679"/>
      <c r="JMM160" s="679"/>
      <c r="JMN160" s="679"/>
      <c r="JMO160" s="679"/>
      <c r="JMP160" s="679"/>
      <c r="JMQ160" s="679"/>
      <c r="JMR160" s="679"/>
      <c r="JMS160" s="679"/>
      <c r="JMT160" s="679"/>
      <c r="JMU160" s="679"/>
      <c r="JMV160" s="679"/>
      <c r="JMW160" s="679"/>
      <c r="JMX160" s="679"/>
      <c r="JMY160" s="679"/>
      <c r="JMZ160" s="679"/>
      <c r="JNA160" s="679"/>
      <c r="JNB160" s="679"/>
      <c r="JNC160" s="679"/>
      <c r="JND160" s="679"/>
      <c r="JNE160" s="679"/>
      <c r="JNF160" s="679"/>
      <c r="JNG160" s="679"/>
      <c r="JNH160" s="679"/>
      <c r="JNI160" s="679"/>
      <c r="JNJ160" s="679"/>
      <c r="JNK160" s="679"/>
      <c r="JNL160" s="679"/>
      <c r="JNM160" s="679"/>
      <c r="JNN160" s="679"/>
      <c r="JNO160" s="679"/>
      <c r="JNP160" s="679"/>
      <c r="JNQ160" s="679"/>
      <c r="JNR160" s="679"/>
      <c r="JNS160" s="679"/>
      <c r="JNT160" s="679"/>
      <c r="JNU160" s="679"/>
      <c r="JNV160" s="679"/>
      <c r="JNW160" s="679"/>
      <c r="JNX160" s="679"/>
      <c r="JNY160" s="679"/>
      <c r="JNZ160" s="679"/>
      <c r="JOA160" s="679"/>
      <c r="JOB160" s="679"/>
      <c r="JOC160" s="679"/>
      <c r="JOD160" s="679"/>
      <c r="JOE160" s="679"/>
      <c r="JOF160" s="679"/>
      <c r="JOG160" s="679"/>
      <c r="JOH160" s="679"/>
      <c r="JOI160" s="679"/>
      <c r="JOJ160" s="679"/>
      <c r="JOK160" s="679"/>
      <c r="JOL160" s="679"/>
      <c r="JOM160" s="679"/>
      <c r="JON160" s="679"/>
      <c r="JOO160" s="679"/>
      <c r="JOP160" s="679"/>
      <c r="JOQ160" s="679"/>
      <c r="JOR160" s="679"/>
      <c r="JOS160" s="679"/>
      <c r="JOT160" s="679"/>
      <c r="JOU160" s="679"/>
      <c r="JOV160" s="679"/>
      <c r="JOW160" s="679"/>
      <c r="JOX160" s="679"/>
      <c r="JOY160" s="679"/>
      <c r="JOZ160" s="679"/>
      <c r="JPA160" s="679"/>
      <c r="JPB160" s="679"/>
      <c r="JPC160" s="679"/>
      <c r="JPD160" s="679"/>
      <c r="JPE160" s="679"/>
      <c r="JPF160" s="679"/>
      <c r="JPG160" s="679"/>
      <c r="JPH160" s="679"/>
      <c r="JPI160" s="679"/>
      <c r="JPJ160" s="679"/>
      <c r="JPK160" s="679"/>
      <c r="JPL160" s="679"/>
      <c r="JPM160" s="679"/>
      <c r="JPN160" s="679"/>
      <c r="JPO160" s="679"/>
      <c r="JPP160" s="679"/>
      <c r="JPQ160" s="679"/>
      <c r="JPR160" s="679"/>
      <c r="JPS160" s="679"/>
      <c r="JPT160" s="679"/>
      <c r="JPU160" s="679"/>
      <c r="JPV160" s="679"/>
      <c r="JPW160" s="679"/>
      <c r="JPX160" s="679"/>
      <c r="JPY160" s="679"/>
      <c r="JPZ160" s="679"/>
      <c r="JQA160" s="679"/>
      <c r="JQB160" s="679"/>
      <c r="JQC160" s="679"/>
      <c r="JQD160" s="679"/>
      <c r="JQE160" s="679"/>
      <c r="JQF160" s="679"/>
      <c r="JQG160" s="679"/>
      <c r="JQH160" s="679"/>
      <c r="JQI160" s="679"/>
      <c r="JQJ160" s="679"/>
      <c r="JQK160" s="679"/>
      <c r="JQL160" s="679"/>
      <c r="JQM160" s="679"/>
      <c r="JQN160" s="679"/>
      <c r="JQO160" s="679"/>
      <c r="JQP160" s="679"/>
      <c r="JQQ160" s="679"/>
      <c r="JQR160" s="679"/>
      <c r="JQS160" s="679"/>
      <c r="JQT160" s="679"/>
      <c r="JQU160" s="679"/>
      <c r="JQV160" s="679"/>
      <c r="JQW160" s="679"/>
      <c r="JQX160" s="679"/>
      <c r="JQY160" s="679"/>
      <c r="JQZ160" s="679"/>
      <c r="JRA160" s="679"/>
      <c r="JRB160" s="679"/>
      <c r="JRC160" s="679"/>
      <c r="JRD160" s="679"/>
      <c r="JRE160" s="679"/>
      <c r="JRF160" s="679"/>
      <c r="JRG160" s="679"/>
      <c r="JRH160" s="679"/>
      <c r="JRI160" s="679"/>
      <c r="JRJ160" s="679"/>
      <c r="JRK160" s="679"/>
      <c r="JRL160" s="679"/>
      <c r="JRM160" s="679"/>
      <c r="JRN160" s="679"/>
      <c r="JRO160" s="679"/>
      <c r="JRP160" s="679"/>
      <c r="JRQ160" s="679"/>
      <c r="JRR160" s="679"/>
      <c r="JRS160" s="679"/>
      <c r="JRT160" s="679"/>
      <c r="JRU160" s="679"/>
      <c r="JRV160" s="679"/>
      <c r="JRW160" s="679"/>
      <c r="JRX160" s="679"/>
      <c r="JRY160" s="679"/>
      <c r="JRZ160" s="679"/>
      <c r="JSA160" s="679"/>
      <c r="JSB160" s="679"/>
      <c r="JSC160" s="679"/>
      <c r="JSD160" s="679"/>
      <c r="JSE160" s="679"/>
      <c r="JSF160" s="679"/>
      <c r="JSG160" s="679"/>
      <c r="JSH160" s="679"/>
      <c r="JSI160" s="679"/>
      <c r="JSJ160" s="679"/>
      <c r="JSK160" s="679"/>
      <c r="JSL160" s="679"/>
      <c r="JSM160" s="679"/>
      <c r="JSN160" s="679"/>
      <c r="JSO160" s="679"/>
      <c r="JSP160" s="679"/>
      <c r="JSQ160" s="679"/>
      <c r="JSR160" s="679"/>
      <c r="JSS160" s="679"/>
      <c r="JST160" s="679"/>
      <c r="JSU160" s="679"/>
      <c r="JSV160" s="679"/>
      <c r="JSW160" s="679"/>
      <c r="JSX160" s="679"/>
      <c r="JSY160" s="679"/>
      <c r="JSZ160" s="679"/>
      <c r="JTA160" s="679"/>
      <c r="JTB160" s="679"/>
      <c r="JTC160" s="679"/>
      <c r="JTD160" s="679"/>
      <c r="JTE160" s="679"/>
      <c r="JTF160" s="679"/>
      <c r="JTG160" s="679"/>
      <c r="JTH160" s="679"/>
      <c r="JTI160" s="679"/>
      <c r="JTJ160" s="679"/>
      <c r="JTK160" s="679"/>
      <c r="JTL160" s="679"/>
      <c r="JTM160" s="679"/>
      <c r="JTN160" s="679"/>
      <c r="JTO160" s="679"/>
      <c r="JTP160" s="679"/>
      <c r="JTQ160" s="679"/>
      <c r="JTR160" s="679"/>
      <c r="JTS160" s="679"/>
      <c r="JTT160" s="679"/>
      <c r="JTU160" s="679"/>
      <c r="JTV160" s="679"/>
      <c r="JTW160" s="679"/>
      <c r="JTX160" s="679"/>
      <c r="JTY160" s="679"/>
      <c r="JTZ160" s="679"/>
      <c r="JUA160" s="679"/>
      <c r="JUB160" s="679"/>
      <c r="JUC160" s="679"/>
      <c r="JUD160" s="679"/>
      <c r="JUE160" s="679"/>
      <c r="JUF160" s="679"/>
      <c r="JUG160" s="679"/>
      <c r="JUH160" s="679"/>
      <c r="JUI160" s="679"/>
      <c r="JUJ160" s="679"/>
      <c r="JUK160" s="679"/>
      <c r="JUL160" s="679"/>
      <c r="JUM160" s="679"/>
      <c r="JUN160" s="679"/>
      <c r="JUO160" s="679"/>
      <c r="JUP160" s="679"/>
      <c r="JUQ160" s="679"/>
      <c r="JUR160" s="679"/>
      <c r="JUS160" s="679"/>
      <c r="JUT160" s="679"/>
      <c r="JUU160" s="679"/>
      <c r="JUV160" s="679"/>
      <c r="JUW160" s="679"/>
      <c r="JUX160" s="679"/>
      <c r="JUY160" s="679"/>
      <c r="JUZ160" s="679"/>
      <c r="JVA160" s="679"/>
      <c r="JVB160" s="679"/>
      <c r="JVC160" s="679"/>
      <c r="JVD160" s="679"/>
      <c r="JVE160" s="679"/>
      <c r="JVF160" s="679"/>
      <c r="JVG160" s="679"/>
      <c r="JVH160" s="679"/>
      <c r="JVI160" s="679"/>
      <c r="JVJ160" s="679"/>
      <c r="JVK160" s="679"/>
      <c r="JVL160" s="679"/>
      <c r="JVM160" s="679"/>
      <c r="JVN160" s="679"/>
      <c r="JVO160" s="679"/>
      <c r="JVP160" s="679"/>
      <c r="JVQ160" s="679"/>
      <c r="JVR160" s="679"/>
      <c r="JVS160" s="679"/>
      <c r="JVT160" s="679"/>
      <c r="JVU160" s="679"/>
      <c r="JVV160" s="679"/>
      <c r="JVW160" s="679"/>
      <c r="JVX160" s="679"/>
      <c r="JVY160" s="679"/>
      <c r="JVZ160" s="679"/>
      <c r="JWA160" s="679"/>
      <c r="JWB160" s="679"/>
      <c r="JWC160" s="679"/>
      <c r="JWD160" s="679"/>
      <c r="JWE160" s="679"/>
      <c r="JWF160" s="679"/>
      <c r="JWG160" s="679"/>
      <c r="JWH160" s="679"/>
      <c r="JWI160" s="679"/>
      <c r="JWJ160" s="679"/>
      <c r="JWK160" s="679"/>
      <c r="JWL160" s="679"/>
      <c r="JWM160" s="679"/>
      <c r="JWN160" s="679"/>
      <c r="JWO160" s="679"/>
      <c r="JWP160" s="679"/>
      <c r="JWQ160" s="679"/>
      <c r="JWR160" s="679"/>
      <c r="JWS160" s="679"/>
      <c r="JWT160" s="679"/>
      <c r="JWU160" s="679"/>
      <c r="JWV160" s="679"/>
      <c r="JWW160" s="679"/>
      <c r="JWX160" s="679"/>
      <c r="JWY160" s="679"/>
      <c r="JWZ160" s="679"/>
      <c r="JXA160" s="679"/>
      <c r="JXB160" s="679"/>
      <c r="JXC160" s="679"/>
      <c r="JXD160" s="679"/>
      <c r="JXE160" s="679"/>
      <c r="JXF160" s="679"/>
      <c r="JXG160" s="679"/>
      <c r="JXH160" s="679"/>
      <c r="JXI160" s="679"/>
      <c r="JXJ160" s="679"/>
      <c r="JXK160" s="679"/>
      <c r="JXL160" s="679"/>
      <c r="JXM160" s="679"/>
      <c r="JXN160" s="679"/>
      <c r="JXO160" s="679"/>
      <c r="JXP160" s="679"/>
      <c r="JXQ160" s="679"/>
      <c r="JXR160" s="679"/>
      <c r="JXS160" s="679"/>
      <c r="JXT160" s="679"/>
      <c r="JXU160" s="679"/>
      <c r="JXV160" s="679"/>
      <c r="JXW160" s="679"/>
      <c r="JXX160" s="679"/>
      <c r="JXY160" s="679"/>
      <c r="JXZ160" s="679"/>
      <c r="JYA160" s="679"/>
      <c r="JYB160" s="679"/>
      <c r="JYC160" s="679"/>
      <c r="JYD160" s="679"/>
      <c r="JYE160" s="679"/>
      <c r="JYF160" s="679"/>
      <c r="JYG160" s="679"/>
      <c r="JYH160" s="679"/>
      <c r="JYI160" s="679"/>
      <c r="JYJ160" s="679"/>
      <c r="JYK160" s="679"/>
      <c r="JYL160" s="679"/>
      <c r="JYM160" s="679"/>
      <c r="JYN160" s="679"/>
      <c r="JYO160" s="679"/>
      <c r="JYP160" s="679"/>
      <c r="JYQ160" s="679"/>
      <c r="JYR160" s="679"/>
      <c r="JYS160" s="679"/>
      <c r="JYT160" s="679"/>
      <c r="JYU160" s="679"/>
      <c r="JYV160" s="679"/>
      <c r="JYW160" s="679"/>
      <c r="JYX160" s="679"/>
      <c r="JYY160" s="679"/>
      <c r="JYZ160" s="679"/>
      <c r="JZA160" s="679"/>
      <c r="JZB160" s="679"/>
      <c r="JZC160" s="679"/>
      <c r="JZD160" s="679"/>
      <c r="JZE160" s="679"/>
      <c r="JZF160" s="679"/>
      <c r="JZG160" s="679"/>
      <c r="JZH160" s="679"/>
      <c r="JZI160" s="679"/>
      <c r="JZJ160" s="679"/>
      <c r="JZK160" s="679"/>
      <c r="JZL160" s="679"/>
      <c r="JZM160" s="679"/>
      <c r="JZN160" s="679"/>
      <c r="JZO160" s="679"/>
      <c r="JZP160" s="679"/>
      <c r="JZQ160" s="679"/>
      <c r="JZR160" s="679"/>
      <c r="JZS160" s="679"/>
      <c r="JZT160" s="679"/>
      <c r="JZU160" s="679"/>
      <c r="JZV160" s="679"/>
      <c r="JZW160" s="679"/>
      <c r="JZX160" s="679"/>
      <c r="JZY160" s="679"/>
      <c r="JZZ160" s="679"/>
      <c r="KAA160" s="679"/>
      <c r="KAB160" s="679"/>
      <c r="KAC160" s="679"/>
      <c r="KAD160" s="679"/>
      <c r="KAE160" s="679"/>
      <c r="KAF160" s="679"/>
      <c r="KAG160" s="679"/>
      <c r="KAH160" s="679"/>
      <c r="KAI160" s="679"/>
      <c r="KAJ160" s="679"/>
      <c r="KAK160" s="679"/>
      <c r="KAL160" s="679"/>
      <c r="KAM160" s="679"/>
      <c r="KAN160" s="679"/>
      <c r="KAO160" s="679"/>
      <c r="KAP160" s="679"/>
      <c r="KAQ160" s="679"/>
      <c r="KAR160" s="679"/>
      <c r="KAS160" s="679"/>
      <c r="KAT160" s="679"/>
      <c r="KAU160" s="679"/>
      <c r="KAV160" s="679"/>
      <c r="KAW160" s="679"/>
      <c r="KAX160" s="679"/>
      <c r="KAY160" s="679"/>
      <c r="KAZ160" s="679"/>
      <c r="KBA160" s="679"/>
      <c r="KBB160" s="679"/>
      <c r="KBC160" s="679"/>
      <c r="KBD160" s="679"/>
      <c r="KBE160" s="679"/>
      <c r="KBF160" s="679"/>
      <c r="KBG160" s="679"/>
      <c r="KBH160" s="679"/>
      <c r="KBI160" s="679"/>
      <c r="KBJ160" s="679"/>
      <c r="KBK160" s="679"/>
      <c r="KBL160" s="679"/>
      <c r="KBM160" s="679"/>
      <c r="KBN160" s="679"/>
      <c r="KBO160" s="679"/>
      <c r="KBP160" s="679"/>
      <c r="KBQ160" s="679"/>
      <c r="KBR160" s="679"/>
      <c r="KBS160" s="679"/>
      <c r="KBT160" s="679"/>
      <c r="KBU160" s="679"/>
      <c r="KBV160" s="679"/>
      <c r="KBW160" s="679"/>
      <c r="KBX160" s="679"/>
      <c r="KBY160" s="679"/>
      <c r="KBZ160" s="679"/>
      <c r="KCA160" s="679"/>
      <c r="KCB160" s="679"/>
      <c r="KCC160" s="679"/>
      <c r="KCD160" s="679"/>
      <c r="KCE160" s="679"/>
      <c r="KCF160" s="679"/>
      <c r="KCG160" s="679"/>
      <c r="KCH160" s="679"/>
      <c r="KCI160" s="679"/>
      <c r="KCJ160" s="679"/>
      <c r="KCK160" s="679"/>
      <c r="KCL160" s="679"/>
      <c r="KCM160" s="679"/>
      <c r="KCN160" s="679"/>
      <c r="KCO160" s="679"/>
      <c r="KCP160" s="679"/>
      <c r="KCQ160" s="679"/>
      <c r="KCR160" s="679"/>
      <c r="KCS160" s="679"/>
      <c r="KCT160" s="679"/>
      <c r="KCU160" s="679"/>
      <c r="KCV160" s="679"/>
      <c r="KCW160" s="679"/>
      <c r="KCX160" s="679"/>
      <c r="KCY160" s="679"/>
      <c r="KCZ160" s="679"/>
      <c r="KDA160" s="679"/>
      <c r="KDB160" s="679"/>
      <c r="KDC160" s="679"/>
      <c r="KDD160" s="679"/>
      <c r="KDE160" s="679"/>
      <c r="KDF160" s="679"/>
      <c r="KDG160" s="679"/>
      <c r="KDH160" s="679"/>
      <c r="KDI160" s="679"/>
      <c r="KDJ160" s="679"/>
      <c r="KDK160" s="679"/>
      <c r="KDL160" s="679"/>
      <c r="KDM160" s="679"/>
      <c r="KDN160" s="679"/>
      <c r="KDO160" s="679"/>
      <c r="KDP160" s="679"/>
      <c r="KDQ160" s="679"/>
      <c r="KDR160" s="679"/>
      <c r="KDS160" s="679"/>
      <c r="KDT160" s="679"/>
      <c r="KDU160" s="679"/>
      <c r="KDV160" s="679"/>
      <c r="KDW160" s="679"/>
      <c r="KDX160" s="679"/>
      <c r="KDY160" s="679"/>
      <c r="KDZ160" s="679"/>
      <c r="KEA160" s="679"/>
      <c r="KEB160" s="679"/>
      <c r="KEC160" s="679"/>
      <c r="KED160" s="679"/>
      <c r="KEE160" s="679"/>
      <c r="KEF160" s="679"/>
      <c r="KEG160" s="679"/>
      <c r="KEH160" s="679"/>
      <c r="KEI160" s="679"/>
      <c r="KEJ160" s="679"/>
      <c r="KEK160" s="679"/>
      <c r="KEL160" s="679"/>
      <c r="KEM160" s="679"/>
      <c r="KEN160" s="679"/>
      <c r="KEO160" s="679"/>
      <c r="KEP160" s="679"/>
      <c r="KEQ160" s="679"/>
      <c r="KER160" s="679"/>
      <c r="KES160" s="679"/>
      <c r="KET160" s="679"/>
      <c r="KEU160" s="679"/>
      <c r="KEV160" s="679"/>
      <c r="KEW160" s="679"/>
      <c r="KEX160" s="679"/>
      <c r="KEY160" s="679"/>
      <c r="KEZ160" s="679"/>
      <c r="KFA160" s="679"/>
      <c r="KFB160" s="679"/>
      <c r="KFC160" s="679"/>
      <c r="KFD160" s="679"/>
      <c r="KFE160" s="679"/>
      <c r="KFF160" s="679"/>
      <c r="KFG160" s="679"/>
      <c r="KFH160" s="679"/>
      <c r="KFI160" s="679"/>
      <c r="KFJ160" s="679"/>
      <c r="KFK160" s="679"/>
      <c r="KFL160" s="679"/>
      <c r="KFM160" s="679"/>
      <c r="KFN160" s="679"/>
      <c r="KFO160" s="679"/>
      <c r="KFP160" s="679"/>
      <c r="KFQ160" s="679"/>
      <c r="KFR160" s="679"/>
      <c r="KFS160" s="679"/>
      <c r="KFT160" s="679"/>
      <c r="KFU160" s="679"/>
      <c r="KFV160" s="679"/>
      <c r="KFW160" s="679"/>
      <c r="KFX160" s="679"/>
      <c r="KFY160" s="679"/>
      <c r="KFZ160" s="679"/>
      <c r="KGA160" s="679"/>
      <c r="KGB160" s="679"/>
      <c r="KGC160" s="679"/>
      <c r="KGD160" s="679"/>
      <c r="KGE160" s="679"/>
      <c r="KGF160" s="679"/>
      <c r="KGG160" s="679"/>
      <c r="KGH160" s="679"/>
      <c r="KGI160" s="679"/>
      <c r="KGJ160" s="679"/>
      <c r="KGK160" s="679"/>
      <c r="KGL160" s="679"/>
      <c r="KGM160" s="679"/>
      <c r="KGN160" s="679"/>
      <c r="KGO160" s="679"/>
      <c r="KGP160" s="679"/>
      <c r="KGQ160" s="679"/>
      <c r="KGR160" s="679"/>
      <c r="KGS160" s="679"/>
      <c r="KGT160" s="679"/>
      <c r="KGU160" s="679"/>
      <c r="KGV160" s="679"/>
      <c r="KGW160" s="679"/>
      <c r="KGX160" s="679"/>
      <c r="KGY160" s="679"/>
      <c r="KGZ160" s="679"/>
      <c r="KHA160" s="679"/>
      <c r="KHB160" s="679"/>
      <c r="KHC160" s="679"/>
      <c r="KHD160" s="679"/>
      <c r="KHE160" s="679"/>
      <c r="KHF160" s="679"/>
      <c r="KHG160" s="679"/>
      <c r="KHH160" s="679"/>
      <c r="KHI160" s="679"/>
      <c r="KHJ160" s="679"/>
      <c r="KHK160" s="679"/>
      <c r="KHL160" s="679"/>
      <c r="KHM160" s="679"/>
      <c r="KHN160" s="679"/>
      <c r="KHO160" s="679"/>
      <c r="KHP160" s="679"/>
      <c r="KHQ160" s="679"/>
      <c r="KHR160" s="679"/>
      <c r="KHS160" s="679"/>
      <c r="KHT160" s="679"/>
      <c r="KHU160" s="679"/>
      <c r="KHV160" s="679"/>
      <c r="KHW160" s="679"/>
      <c r="KHX160" s="679"/>
      <c r="KHY160" s="679"/>
      <c r="KHZ160" s="679"/>
      <c r="KIA160" s="679"/>
      <c r="KIB160" s="679"/>
      <c r="KIC160" s="679"/>
      <c r="KID160" s="679"/>
      <c r="KIE160" s="679"/>
      <c r="KIF160" s="679"/>
      <c r="KIG160" s="679"/>
      <c r="KIH160" s="679"/>
      <c r="KII160" s="679"/>
      <c r="KIJ160" s="679"/>
      <c r="KIK160" s="679"/>
      <c r="KIL160" s="679"/>
      <c r="KIM160" s="679"/>
      <c r="KIN160" s="679"/>
      <c r="KIO160" s="679"/>
      <c r="KIP160" s="679"/>
      <c r="KIQ160" s="679"/>
      <c r="KIR160" s="679"/>
      <c r="KIS160" s="679"/>
      <c r="KIT160" s="679"/>
      <c r="KIU160" s="679"/>
      <c r="KIV160" s="679"/>
      <c r="KIW160" s="679"/>
      <c r="KIX160" s="679"/>
      <c r="KIY160" s="679"/>
      <c r="KIZ160" s="679"/>
      <c r="KJA160" s="679"/>
      <c r="KJB160" s="679"/>
      <c r="KJC160" s="679"/>
      <c r="KJD160" s="679"/>
      <c r="KJE160" s="679"/>
      <c r="KJF160" s="679"/>
      <c r="KJG160" s="679"/>
      <c r="KJH160" s="679"/>
      <c r="KJI160" s="679"/>
      <c r="KJJ160" s="679"/>
      <c r="KJK160" s="679"/>
      <c r="KJL160" s="679"/>
      <c r="KJM160" s="679"/>
      <c r="KJN160" s="679"/>
      <c r="KJO160" s="679"/>
      <c r="KJP160" s="679"/>
      <c r="KJQ160" s="679"/>
      <c r="KJR160" s="679"/>
      <c r="KJS160" s="679"/>
      <c r="KJT160" s="679"/>
      <c r="KJU160" s="679"/>
      <c r="KJV160" s="679"/>
      <c r="KJW160" s="679"/>
      <c r="KJX160" s="679"/>
      <c r="KJY160" s="679"/>
      <c r="KJZ160" s="679"/>
      <c r="KKA160" s="679"/>
      <c r="KKB160" s="679"/>
      <c r="KKC160" s="679"/>
      <c r="KKD160" s="679"/>
      <c r="KKE160" s="679"/>
      <c r="KKF160" s="679"/>
      <c r="KKG160" s="679"/>
      <c r="KKH160" s="679"/>
      <c r="KKI160" s="679"/>
      <c r="KKJ160" s="679"/>
      <c r="KKK160" s="679"/>
      <c r="KKL160" s="679"/>
      <c r="KKM160" s="679"/>
      <c r="KKN160" s="679"/>
      <c r="KKO160" s="679"/>
      <c r="KKP160" s="679"/>
      <c r="KKQ160" s="679"/>
      <c r="KKR160" s="679"/>
      <c r="KKS160" s="679"/>
      <c r="KKT160" s="679"/>
      <c r="KKU160" s="679"/>
      <c r="KKV160" s="679"/>
      <c r="KKW160" s="679"/>
      <c r="KKX160" s="679"/>
      <c r="KKY160" s="679"/>
      <c r="KKZ160" s="679"/>
      <c r="KLA160" s="679"/>
      <c r="KLB160" s="679"/>
      <c r="KLC160" s="679"/>
      <c r="KLD160" s="679"/>
      <c r="KLE160" s="679"/>
      <c r="KLF160" s="679"/>
      <c r="KLG160" s="679"/>
      <c r="KLH160" s="679"/>
      <c r="KLI160" s="679"/>
      <c r="KLJ160" s="679"/>
      <c r="KLK160" s="679"/>
      <c r="KLL160" s="679"/>
      <c r="KLM160" s="679"/>
      <c r="KLN160" s="679"/>
      <c r="KLO160" s="679"/>
      <c r="KLP160" s="679"/>
      <c r="KLQ160" s="679"/>
      <c r="KLR160" s="679"/>
      <c r="KLS160" s="679"/>
      <c r="KLT160" s="679"/>
      <c r="KLU160" s="679"/>
      <c r="KLV160" s="679"/>
      <c r="KLW160" s="679"/>
      <c r="KLX160" s="679"/>
      <c r="KLY160" s="679"/>
      <c r="KLZ160" s="679"/>
      <c r="KMA160" s="679"/>
      <c r="KMB160" s="679"/>
      <c r="KMC160" s="679"/>
      <c r="KMD160" s="679"/>
      <c r="KME160" s="679"/>
      <c r="KMF160" s="679"/>
      <c r="KMG160" s="679"/>
      <c r="KMH160" s="679"/>
      <c r="KMI160" s="679"/>
      <c r="KMJ160" s="679"/>
      <c r="KMK160" s="679"/>
      <c r="KML160" s="679"/>
      <c r="KMM160" s="679"/>
      <c r="KMN160" s="679"/>
      <c r="KMO160" s="679"/>
      <c r="KMP160" s="679"/>
      <c r="KMQ160" s="679"/>
      <c r="KMR160" s="679"/>
      <c r="KMS160" s="679"/>
      <c r="KMT160" s="679"/>
      <c r="KMU160" s="679"/>
      <c r="KMV160" s="679"/>
      <c r="KMW160" s="679"/>
      <c r="KMX160" s="679"/>
      <c r="KMY160" s="679"/>
      <c r="KMZ160" s="679"/>
      <c r="KNA160" s="679"/>
      <c r="KNB160" s="679"/>
      <c r="KNC160" s="679"/>
      <c r="KND160" s="679"/>
      <c r="KNE160" s="679"/>
      <c r="KNF160" s="679"/>
      <c r="KNG160" s="679"/>
      <c r="KNH160" s="679"/>
      <c r="KNI160" s="679"/>
      <c r="KNJ160" s="679"/>
      <c r="KNK160" s="679"/>
      <c r="KNL160" s="679"/>
      <c r="KNM160" s="679"/>
      <c r="KNN160" s="679"/>
      <c r="KNO160" s="679"/>
      <c r="KNP160" s="679"/>
      <c r="KNQ160" s="679"/>
      <c r="KNR160" s="679"/>
      <c r="KNS160" s="679"/>
      <c r="KNT160" s="679"/>
      <c r="KNU160" s="679"/>
      <c r="KNV160" s="679"/>
      <c r="KNW160" s="679"/>
      <c r="KNX160" s="679"/>
      <c r="KNY160" s="679"/>
      <c r="KNZ160" s="679"/>
      <c r="KOA160" s="679"/>
      <c r="KOB160" s="679"/>
      <c r="KOC160" s="679"/>
      <c r="KOD160" s="679"/>
      <c r="KOE160" s="679"/>
      <c r="KOF160" s="679"/>
      <c r="KOG160" s="679"/>
      <c r="KOH160" s="679"/>
      <c r="KOI160" s="679"/>
      <c r="KOJ160" s="679"/>
      <c r="KOK160" s="679"/>
      <c r="KOL160" s="679"/>
      <c r="KOM160" s="679"/>
      <c r="KON160" s="679"/>
      <c r="KOO160" s="679"/>
      <c r="KOP160" s="679"/>
      <c r="KOQ160" s="679"/>
      <c r="KOR160" s="679"/>
      <c r="KOS160" s="679"/>
      <c r="KOT160" s="679"/>
      <c r="KOU160" s="679"/>
      <c r="KOV160" s="679"/>
      <c r="KOW160" s="679"/>
      <c r="KOX160" s="679"/>
      <c r="KOY160" s="679"/>
      <c r="KOZ160" s="679"/>
      <c r="KPA160" s="679"/>
      <c r="KPB160" s="679"/>
      <c r="KPC160" s="679"/>
      <c r="KPD160" s="679"/>
      <c r="KPE160" s="679"/>
      <c r="KPF160" s="679"/>
      <c r="KPG160" s="679"/>
      <c r="KPH160" s="679"/>
      <c r="KPI160" s="679"/>
      <c r="KPJ160" s="679"/>
      <c r="KPK160" s="679"/>
      <c r="KPL160" s="679"/>
      <c r="KPM160" s="679"/>
      <c r="KPN160" s="679"/>
      <c r="KPO160" s="679"/>
      <c r="KPP160" s="679"/>
      <c r="KPQ160" s="679"/>
      <c r="KPR160" s="679"/>
      <c r="KPS160" s="679"/>
      <c r="KPT160" s="679"/>
      <c r="KPU160" s="679"/>
      <c r="KPV160" s="679"/>
      <c r="KPW160" s="679"/>
      <c r="KPX160" s="679"/>
      <c r="KPY160" s="679"/>
      <c r="KPZ160" s="679"/>
      <c r="KQA160" s="679"/>
      <c r="KQB160" s="679"/>
      <c r="KQC160" s="679"/>
      <c r="KQD160" s="679"/>
      <c r="KQE160" s="679"/>
      <c r="KQF160" s="679"/>
      <c r="KQG160" s="679"/>
      <c r="KQH160" s="679"/>
      <c r="KQI160" s="679"/>
      <c r="KQJ160" s="679"/>
      <c r="KQK160" s="679"/>
      <c r="KQL160" s="679"/>
      <c r="KQM160" s="679"/>
      <c r="KQN160" s="679"/>
      <c r="KQO160" s="679"/>
      <c r="KQP160" s="679"/>
      <c r="KQQ160" s="679"/>
      <c r="KQR160" s="679"/>
      <c r="KQS160" s="679"/>
      <c r="KQT160" s="679"/>
      <c r="KQU160" s="679"/>
      <c r="KQV160" s="679"/>
      <c r="KQW160" s="679"/>
      <c r="KQX160" s="679"/>
      <c r="KQY160" s="679"/>
      <c r="KQZ160" s="679"/>
      <c r="KRA160" s="679"/>
      <c r="KRB160" s="679"/>
      <c r="KRC160" s="679"/>
      <c r="KRD160" s="679"/>
      <c r="KRE160" s="679"/>
      <c r="KRF160" s="679"/>
      <c r="KRG160" s="679"/>
      <c r="KRH160" s="679"/>
      <c r="KRI160" s="679"/>
      <c r="KRJ160" s="679"/>
      <c r="KRK160" s="679"/>
      <c r="KRL160" s="679"/>
      <c r="KRM160" s="679"/>
      <c r="KRN160" s="679"/>
      <c r="KRO160" s="679"/>
      <c r="KRP160" s="679"/>
      <c r="KRQ160" s="679"/>
      <c r="KRR160" s="679"/>
      <c r="KRS160" s="679"/>
      <c r="KRT160" s="679"/>
      <c r="KRU160" s="679"/>
      <c r="KRV160" s="679"/>
      <c r="KRW160" s="679"/>
      <c r="KRX160" s="679"/>
      <c r="KRY160" s="679"/>
      <c r="KRZ160" s="679"/>
      <c r="KSA160" s="679"/>
      <c r="KSB160" s="679"/>
      <c r="KSC160" s="679"/>
      <c r="KSD160" s="679"/>
      <c r="KSE160" s="679"/>
      <c r="KSF160" s="679"/>
      <c r="KSG160" s="679"/>
      <c r="KSH160" s="679"/>
      <c r="KSI160" s="679"/>
      <c r="KSJ160" s="679"/>
      <c r="KSK160" s="679"/>
      <c r="KSL160" s="679"/>
      <c r="KSM160" s="679"/>
      <c r="KSN160" s="679"/>
      <c r="KSO160" s="679"/>
      <c r="KSP160" s="679"/>
      <c r="KSQ160" s="679"/>
      <c r="KSR160" s="679"/>
      <c r="KSS160" s="679"/>
      <c r="KST160" s="679"/>
      <c r="KSU160" s="679"/>
      <c r="KSV160" s="679"/>
      <c r="KSW160" s="679"/>
      <c r="KSX160" s="679"/>
      <c r="KSY160" s="679"/>
      <c r="KSZ160" s="679"/>
      <c r="KTA160" s="679"/>
      <c r="KTB160" s="679"/>
      <c r="KTC160" s="679"/>
      <c r="KTD160" s="679"/>
      <c r="KTE160" s="679"/>
      <c r="KTF160" s="679"/>
      <c r="KTG160" s="679"/>
      <c r="KTH160" s="679"/>
      <c r="KTI160" s="679"/>
      <c r="KTJ160" s="679"/>
      <c r="KTK160" s="679"/>
      <c r="KTL160" s="679"/>
      <c r="KTM160" s="679"/>
      <c r="KTN160" s="679"/>
      <c r="KTO160" s="679"/>
      <c r="KTP160" s="679"/>
      <c r="KTQ160" s="679"/>
      <c r="KTR160" s="679"/>
      <c r="KTS160" s="679"/>
      <c r="KTT160" s="679"/>
      <c r="KTU160" s="679"/>
      <c r="KTV160" s="679"/>
      <c r="KTW160" s="679"/>
      <c r="KTX160" s="679"/>
      <c r="KTY160" s="679"/>
      <c r="KTZ160" s="679"/>
      <c r="KUA160" s="679"/>
      <c r="KUB160" s="679"/>
      <c r="KUC160" s="679"/>
      <c r="KUD160" s="679"/>
      <c r="KUE160" s="679"/>
      <c r="KUF160" s="679"/>
      <c r="KUG160" s="679"/>
      <c r="KUH160" s="679"/>
      <c r="KUI160" s="679"/>
      <c r="KUJ160" s="679"/>
      <c r="KUK160" s="679"/>
      <c r="KUL160" s="679"/>
      <c r="KUM160" s="679"/>
      <c r="KUN160" s="679"/>
      <c r="KUO160" s="679"/>
      <c r="KUP160" s="679"/>
      <c r="KUQ160" s="679"/>
      <c r="KUR160" s="679"/>
      <c r="KUS160" s="679"/>
      <c r="KUT160" s="679"/>
      <c r="KUU160" s="679"/>
      <c r="KUV160" s="679"/>
      <c r="KUW160" s="679"/>
      <c r="KUX160" s="679"/>
      <c r="KUY160" s="679"/>
      <c r="KUZ160" s="679"/>
      <c r="KVA160" s="679"/>
      <c r="KVB160" s="679"/>
      <c r="KVC160" s="679"/>
      <c r="KVD160" s="679"/>
      <c r="KVE160" s="679"/>
      <c r="KVF160" s="679"/>
      <c r="KVG160" s="679"/>
      <c r="KVH160" s="679"/>
      <c r="KVI160" s="679"/>
      <c r="KVJ160" s="679"/>
      <c r="KVK160" s="679"/>
      <c r="KVL160" s="679"/>
      <c r="KVM160" s="679"/>
      <c r="KVN160" s="679"/>
      <c r="KVO160" s="679"/>
      <c r="KVP160" s="679"/>
      <c r="KVQ160" s="679"/>
      <c r="KVR160" s="679"/>
      <c r="KVS160" s="679"/>
      <c r="KVT160" s="679"/>
      <c r="KVU160" s="679"/>
      <c r="KVV160" s="679"/>
      <c r="KVW160" s="679"/>
      <c r="KVX160" s="679"/>
      <c r="KVY160" s="679"/>
      <c r="KVZ160" s="679"/>
      <c r="KWA160" s="679"/>
      <c r="KWB160" s="679"/>
      <c r="KWC160" s="679"/>
      <c r="KWD160" s="679"/>
      <c r="KWE160" s="679"/>
      <c r="KWF160" s="679"/>
      <c r="KWG160" s="679"/>
      <c r="KWH160" s="679"/>
      <c r="KWI160" s="679"/>
      <c r="KWJ160" s="679"/>
      <c r="KWK160" s="679"/>
      <c r="KWL160" s="679"/>
      <c r="KWM160" s="679"/>
      <c r="KWN160" s="679"/>
      <c r="KWO160" s="679"/>
      <c r="KWP160" s="679"/>
      <c r="KWQ160" s="679"/>
      <c r="KWR160" s="679"/>
      <c r="KWS160" s="679"/>
      <c r="KWT160" s="679"/>
      <c r="KWU160" s="679"/>
      <c r="KWV160" s="679"/>
      <c r="KWW160" s="679"/>
      <c r="KWX160" s="679"/>
      <c r="KWY160" s="679"/>
      <c r="KWZ160" s="679"/>
      <c r="KXA160" s="679"/>
      <c r="KXB160" s="679"/>
      <c r="KXC160" s="679"/>
      <c r="KXD160" s="679"/>
      <c r="KXE160" s="679"/>
      <c r="KXF160" s="679"/>
      <c r="KXG160" s="679"/>
      <c r="KXH160" s="679"/>
      <c r="KXI160" s="679"/>
      <c r="KXJ160" s="679"/>
      <c r="KXK160" s="679"/>
      <c r="KXL160" s="679"/>
      <c r="KXM160" s="679"/>
      <c r="KXN160" s="679"/>
      <c r="KXO160" s="679"/>
      <c r="KXP160" s="679"/>
      <c r="KXQ160" s="679"/>
      <c r="KXR160" s="679"/>
      <c r="KXS160" s="679"/>
      <c r="KXT160" s="679"/>
      <c r="KXU160" s="679"/>
      <c r="KXV160" s="679"/>
      <c r="KXW160" s="679"/>
      <c r="KXX160" s="679"/>
      <c r="KXY160" s="679"/>
      <c r="KXZ160" s="679"/>
      <c r="KYA160" s="679"/>
      <c r="KYB160" s="679"/>
      <c r="KYC160" s="679"/>
      <c r="KYD160" s="679"/>
      <c r="KYE160" s="679"/>
      <c r="KYF160" s="679"/>
      <c r="KYG160" s="679"/>
      <c r="KYH160" s="679"/>
      <c r="KYI160" s="679"/>
      <c r="KYJ160" s="679"/>
      <c r="KYK160" s="679"/>
      <c r="KYL160" s="679"/>
      <c r="KYM160" s="679"/>
      <c r="KYN160" s="679"/>
      <c r="KYO160" s="679"/>
      <c r="KYP160" s="679"/>
      <c r="KYQ160" s="679"/>
      <c r="KYR160" s="679"/>
      <c r="KYS160" s="679"/>
      <c r="KYT160" s="679"/>
      <c r="KYU160" s="679"/>
      <c r="KYV160" s="679"/>
      <c r="KYW160" s="679"/>
      <c r="KYX160" s="679"/>
      <c r="KYY160" s="679"/>
      <c r="KYZ160" s="679"/>
      <c r="KZA160" s="679"/>
      <c r="KZB160" s="679"/>
      <c r="KZC160" s="679"/>
      <c r="KZD160" s="679"/>
      <c r="KZE160" s="679"/>
      <c r="KZF160" s="679"/>
      <c r="KZG160" s="679"/>
      <c r="KZH160" s="679"/>
      <c r="KZI160" s="679"/>
      <c r="KZJ160" s="679"/>
      <c r="KZK160" s="679"/>
      <c r="KZL160" s="679"/>
      <c r="KZM160" s="679"/>
      <c r="KZN160" s="679"/>
      <c r="KZO160" s="679"/>
      <c r="KZP160" s="679"/>
      <c r="KZQ160" s="679"/>
      <c r="KZR160" s="679"/>
      <c r="KZS160" s="679"/>
      <c r="KZT160" s="679"/>
      <c r="KZU160" s="679"/>
      <c r="KZV160" s="679"/>
      <c r="KZW160" s="679"/>
      <c r="KZX160" s="679"/>
      <c r="KZY160" s="679"/>
      <c r="KZZ160" s="679"/>
      <c r="LAA160" s="679"/>
      <c r="LAB160" s="679"/>
      <c r="LAC160" s="679"/>
      <c r="LAD160" s="679"/>
      <c r="LAE160" s="679"/>
      <c r="LAF160" s="679"/>
      <c r="LAG160" s="679"/>
      <c r="LAH160" s="679"/>
      <c r="LAI160" s="679"/>
      <c r="LAJ160" s="679"/>
      <c r="LAK160" s="679"/>
      <c r="LAL160" s="679"/>
      <c r="LAM160" s="679"/>
      <c r="LAN160" s="679"/>
      <c r="LAO160" s="679"/>
      <c r="LAP160" s="679"/>
      <c r="LAQ160" s="679"/>
      <c r="LAR160" s="679"/>
      <c r="LAS160" s="679"/>
      <c r="LAT160" s="679"/>
      <c r="LAU160" s="679"/>
      <c r="LAV160" s="679"/>
      <c r="LAW160" s="679"/>
      <c r="LAX160" s="679"/>
      <c r="LAY160" s="679"/>
      <c r="LAZ160" s="679"/>
      <c r="LBA160" s="679"/>
      <c r="LBB160" s="679"/>
      <c r="LBC160" s="679"/>
      <c r="LBD160" s="679"/>
      <c r="LBE160" s="679"/>
      <c r="LBF160" s="679"/>
      <c r="LBG160" s="679"/>
      <c r="LBH160" s="679"/>
      <c r="LBI160" s="679"/>
      <c r="LBJ160" s="679"/>
      <c r="LBK160" s="679"/>
      <c r="LBL160" s="679"/>
      <c r="LBM160" s="679"/>
      <c r="LBN160" s="679"/>
      <c r="LBO160" s="679"/>
      <c r="LBP160" s="679"/>
      <c r="LBQ160" s="679"/>
      <c r="LBR160" s="679"/>
      <c r="LBS160" s="679"/>
      <c r="LBT160" s="679"/>
      <c r="LBU160" s="679"/>
      <c r="LBV160" s="679"/>
      <c r="LBW160" s="679"/>
      <c r="LBX160" s="679"/>
      <c r="LBY160" s="679"/>
      <c r="LBZ160" s="679"/>
      <c r="LCA160" s="679"/>
      <c r="LCB160" s="679"/>
      <c r="LCC160" s="679"/>
      <c r="LCD160" s="679"/>
      <c r="LCE160" s="679"/>
      <c r="LCF160" s="679"/>
      <c r="LCG160" s="679"/>
      <c r="LCH160" s="679"/>
      <c r="LCI160" s="679"/>
      <c r="LCJ160" s="679"/>
      <c r="LCK160" s="679"/>
      <c r="LCL160" s="679"/>
      <c r="LCM160" s="679"/>
      <c r="LCN160" s="679"/>
      <c r="LCO160" s="679"/>
      <c r="LCP160" s="679"/>
      <c r="LCQ160" s="679"/>
      <c r="LCR160" s="679"/>
      <c r="LCS160" s="679"/>
      <c r="LCT160" s="679"/>
      <c r="LCU160" s="679"/>
      <c r="LCV160" s="679"/>
      <c r="LCW160" s="679"/>
      <c r="LCX160" s="679"/>
      <c r="LCY160" s="679"/>
      <c r="LCZ160" s="679"/>
      <c r="LDA160" s="679"/>
      <c r="LDB160" s="679"/>
      <c r="LDC160" s="679"/>
      <c r="LDD160" s="679"/>
      <c r="LDE160" s="679"/>
      <c r="LDF160" s="679"/>
      <c r="LDG160" s="679"/>
      <c r="LDH160" s="679"/>
      <c r="LDI160" s="679"/>
      <c r="LDJ160" s="679"/>
      <c r="LDK160" s="679"/>
      <c r="LDL160" s="679"/>
      <c r="LDM160" s="679"/>
      <c r="LDN160" s="679"/>
      <c r="LDO160" s="679"/>
      <c r="LDP160" s="679"/>
      <c r="LDQ160" s="679"/>
      <c r="LDR160" s="679"/>
      <c r="LDS160" s="679"/>
      <c r="LDT160" s="679"/>
      <c r="LDU160" s="679"/>
      <c r="LDV160" s="679"/>
      <c r="LDW160" s="679"/>
      <c r="LDX160" s="679"/>
      <c r="LDY160" s="679"/>
      <c r="LDZ160" s="679"/>
      <c r="LEA160" s="679"/>
      <c r="LEB160" s="679"/>
      <c r="LEC160" s="679"/>
      <c r="LED160" s="679"/>
      <c r="LEE160" s="679"/>
      <c r="LEF160" s="679"/>
      <c r="LEG160" s="679"/>
      <c r="LEH160" s="679"/>
      <c r="LEI160" s="679"/>
      <c r="LEJ160" s="679"/>
      <c r="LEK160" s="679"/>
      <c r="LEL160" s="679"/>
      <c r="LEM160" s="679"/>
      <c r="LEN160" s="679"/>
      <c r="LEO160" s="679"/>
      <c r="LEP160" s="679"/>
      <c r="LEQ160" s="679"/>
      <c r="LER160" s="679"/>
      <c r="LES160" s="679"/>
      <c r="LET160" s="679"/>
      <c r="LEU160" s="679"/>
      <c r="LEV160" s="679"/>
      <c r="LEW160" s="679"/>
      <c r="LEX160" s="679"/>
      <c r="LEY160" s="679"/>
      <c r="LEZ160" s="679"/>
      <c r="LFA160" s="679"/>
      <c r="LFB160" s="679"/>
      <c r="LFC160" s="679"/>
      <c r="LFD160" s="679"/>
      <c r="LFE160" s="679"/>
      <c r="LFF160" s="679"/>
      <c r="LFG160" s="679"/>
      <c r="LFH160" s="679"/>
      <c r="LFI160" s="679"/>
      <c r="LFJ160" s="679"/>
      <c r="LFK160" s="679"/>
      <c r="LFL160" s="679"/>
      <c r="LFM160" s="679"/>
      <c r="LFN160" s="679"/>
      <c r="LFO160" s="679"/>
      <c r="LFP160" s="679"/>
      <c r="LFQ160" s="679"/>
      <c r="LFR160" s="679"/>
      <c r="LFS160" s="679"/>
      <c r="LFT160" s="679"/>
      <c r="LFU160" s="679"/>
      <c r="LFV160" s="679"/>
      <c r="LFW160" s="679"/>
      <c r="LFX160" s="679"/>
      <c r="LFY160" s="679"/>
      <c r="LFZ160" s="679"/>
      <c r="LGA160" s="679"/>
      <c r="LGB160" s="679"/>
      <c r="LGC160" s="679"/>
      <c r="LGD160" s="679"/>
      <c r="LGE160" s="679"/>
      <c r="LGF160" s="679"/>
      <c r="LGG160" s="679"/>
      <c r="LGH160" s="679"/>
      <c r="LGI160" s="679"/>
      <c r="LGJ160" s="679"/>
      <c r="LGK160" s="679"/>
      <c r="LGL160" s="679"/>
      <c r="LGM160" s="679"/>
      <c r="LGN160" s="679"/>
      <c r="LGO160" s="679"/>
      <c r="LGP160" s="679"/>
      <c r="LGQ160" s="679"/>
      <c r="LGR160" s="679"/>
      <c r="LGS160" s="679"/>
      <c r="LGT160" s="679"/>
      <c r="LGU160" s="679"/>
      <c r="LGV160" s="679"/>
      <c r="LGW160" s="679"/>
      <c r="LGX160" s="679"/>
      <c r="LGY160" s="679"/>
      <c r="LGZ160" s="679"/>
      <c r="LHA160" s="679"/>
      <c r="LHB160" s="679"/>
      <c r="LHC160" s="679"/>
      <c r="LHD160" s="679"/>
      <c r="LHE160" s="679"/>
      <c r="LHF160" s="679"/>
      <c r="LHG160" s="679"/>
      <c r="LHH160" s="679"/>
      <c r="LHI160" s="679"/>
      <c r="LHJ160" s="679"/>
      <c r="LHK160" s="679"/>
      <c r="LHL160" s="679"/>
      <c r="LHM160" s="679"/>
      <c r="LHN160" s="679"/>
      <c r="LHO160" s="679"/>
      <c r="LHP160" s="679"/>
      <c r="LHQ160" s="679"/>
      <c r="LHR160" s="679"/>
      <c r="LHS160" s="679"/>
      <c r="LHT160" s="679"/>
      <c r="LHU160" s="679"/>
      <c r="LHV160" s="679"/>
      <c r="LHW160" s="679"/>
      <c r="LHX160" s="679"/>
      <c r="LHY160" s="679"/>
      <c r="LHZ160" s="679"/>
      <c r="LIA160" s="679"/>
      <c r="LIB160" s="679"/>
      <c r="LIC160" s="679"/>
      <c r="LID160" s="679"/>
      <c r="LIE160" s="679"/>
      <c r="LIF160" s="679"/>
      <c r="LIG160" s="679"/>
      <c r="LIH160" s="679"/>
      <c r="LII160" s="679"/>
      <c r="LIJ160" s="679"/>
      <c r="LIK160" s="679"/>
      <c r="LIL160" s="679"/>
      <c r="LIM160" s="679"/>
      <c r="LIN160" s="679"/>
      <c r="LIO160" s="679"/>
      <c r="LIP160" s="679"/>
      <c r="LIQ160" s="679"/>
      <c r="LIR160" s="679"/>
      <c r="LIS160" s="679"/>
      <c r="LIT160" s="679"/>
      <c r="LIU160" s="679"/>
      <c r="LIV160" s="679"/>
      <c r="LIW160" s="679"/>
      <c r="LIX160" s="679"/>
      <c r="LIY160" s="679"/>
      <c r="LIZ160" s="679"/>
      <c r="LJA160" s="679"/>
      <c r="LJB160" s="679"/>
      <c r="LJC160" s="679"/>
      <c r="LJD160" s="679"/>
      <c r="LJE160" s="679"/>
      <c r="LJF160" s="679"/>
      <c r="LJG160" s="679"/>
      <c r="LJH160" s="679"/>
      <c r="LJI160" s="679"/>
      <c r="LJJ160" s="679"/>
      <c r="LJK160" s="679"/>
      <c r="LJL160" s="679"/>
      <c r="LJM160" s="679"/>
      <c r="LJN160" s="679"/>
      <c r="LJO160" s="679"/>
      <c r="LJP160" s="679"/>
      <c r="LJQ160" s="679"/>
      <c r="LJR160" s="679"/>
      <c r="LJS160" s="679"/>
      <c r="LJT160" s="679"/>
      <c r="LJU160" s="679"/>
      <c r="LJV160" s="679"/>
      <c r="LJW160" s="679"/>
      <c r="LJX160" s="679"/>
      <c r="LJY160" s="679"/>
      <c r="LJZ160" s="679"/>
      <c r="LKA160" s="679"/>
      <c r="LKB160" s="679"/>
      <c r="LKC160" s="679"/>
      <c r="LKD160" s="679"/>
      <c r="LKE160" s="679"/>
      <c r="LKF160" s="679"/>
      <c r="LKG160" s="679"/>
      <c r="LKH160" s="679"/>
      <c r="LKI160" s="679"/>
      <c r="LKJ160" s="679"/>
      <c r="LKK160" s="679"/>
      <c r="LKL160" s="679"/>
      <c r="LKM160" s="679"/>
      <c r="LKN160" s="679"/>
      <c r="LKO160" s="679"/>
      <c r="LKP160" s="679"/>
      <c r="LKQ160" s="679"/>
      <c r="LKR160" s="679"/>
      <c r="LKS160" s="679"/>
      <c r="LKT160" s="679"/>
      <c r="LKU160" s="679"/>
      <c r="LKV160" s="679"/>
      <c r="LKW160" s="679"/>
      <c r="LKX160" s="679"/>
      <c r="LKY160" s="679"/>
      <c r="LKZ160" s="679"/>
      <c r="LLA160" s="679"/>
      <c r="LLB160" s="679"/>
      <c r="LLC160" s="679"/>
      <c r="LLD160" s="679"/>
      <c r="LLE160" s="679"/>
      <c r="LLF160" s="679"/>
      <c r="LLG160" s="679"/>
      <c r="LLH160" s="679"/>
      <c r="LLI160" s="679"/>
      <c r="LLJ160" s="679"/>
      <c r="LLK160" s="679"/>
      <c r="LLL160" s="679"/>
      <c r="LLM160" s="679"/>
      <c r="LLN160" s="679"/>
      <c r="LLO160" s="679"/>
      <c r="LLP160" s="679"/>
      <c r="LLQ160" s="679"/>
      <c r="LLR160" s="679"/>
      <c r="LLS160" s="679"/>
      <c r="LLT160" s="679"/>
      <c r="LLU160" s="679"/>
      <c r="LLV160" s="679"/>
      <c r="LLW160" s="679"/>
      <c r="LLX160" s="679"/>
      <c r="LLY160" s="679"/>
      <c r="LLZ160" s="679"/>
      <c r="LMA160" s="679"/>
      <c r="LMB160" s="679"/>
      <c r="LMC160" s="679"/>
      <c r="LMD160" s="679"/>
      <c r="LME160" s="679"/>
      <c r="LMF160" s="679"/>
      <c r="LMG160" s="679"/>
      <c r="LMH160" s="679"/>
      <c r="LMI160" s="679"/>
      <c r="LMJ160" s="679"/>
      <c r="LMK160" s="679"/>
      <c r="LML160" s="679"/>
      <c r="LMM160" s="679"/>
      <c r="LMN160" s="679"/>
      <c r="LMO160" s="679"/>
      <c r="LMP160" s="679"/>
      <c r="LMQ160" s="679"/>
      <c r="LMR160" s="679"/>
      <c r="LMS160" s="679"/>
      <c r="LMT160" s="679"/>
      <c r="LMU160" s="679"/>
      <c r="LMV160" s="679"/>
      <c r="LMW160" s="679"/>
      <c r="LMX160" s="679"/>
      <c r="LMY160" s="679"/>
      <c r="LMZ160" s="679"/>
      <c r="LNA160" s="679"/>
      <c r="LNB160" s="679"/>
      <c r="LNC160" s="679"/>
      <c r="LND160" s="679"/>
      <c r="LNE160" s="679"/>
      <c r="LNF160" s="679"/>
      <c r="LNG160" s="679"/>
      <c r="LNH160" s="679"/>
      <c r="LNI160" s="679"/>
      <c r="LNJ160" s="679"/>
      <c r="LNK160" s="679"/>
      <c r="LNL160" s="679"/>
      <c r="LNM160" s="679"/>
      <c r="LNN160" s="679"/>
      <c r="LNO160" s="679"/>
      <c r="LNP160" s="679"/>
      <c r="LNQ160" s="679"/>
      <c r="LNR160" s="679"/>
      <c r="LNS160" s="679"/>
      <c r="LNT160" s="679"/>
      <c r="LNU160" s="679"/>
      <c r="LNV160" s="679"/>
      <c r="LNW160" s="679"/>
      <c r="LNX160" s="679"/>
      <c r="LNY160" s="679"/>
      <c r="LNZ160" s="679"/>
      <c r="LOA160" s="679"/>
      <c r="LOB160" s="679"/>
      <c r="LOC160" s="679"/>
      <c r="LOD160" s="679"/>
      <c r="LOE160" s="679"/>
      <c r="LOF160" s="679"/>
      <c r="LOG160" s="679"/>
      <c r="LOH160" s="679"/>
      <c r="LOI160" s="679"/>
      <c r="LOJ160" s="679"/>
      <c r="LOK160" s="679"/>
      <c r="LOL160" s="679"/>
      <c r="LOM160" s="679"/>
      <c r="LON160" s="679"/>
      <c r="LOO160" s="679"/>
      <c r="LOP160" s="679"/>
      <c r="LOQ160" s="679"/>
      <c r="LOR160" s="679"/>
      <c r="LOS160" s="679"/>
      <c r="LOT160" s="679"/>
      <c r="LOU160" s="679"/>
      <c r="LOV160" s="679"/>
      <c r="LOW160" s="679"/>
      <c r="LOX160" s="679"/>
      <c r="LOY160" s="679"/>
      <c r="LOZ160" s="679"/>
      <c r="LPA160" s="679"/>
      <c r="LPB160" s="679"/>
      <c r="LPC160" s="679"/>
      <c r="LPD160" s="679"/>
      <c r="LPE160" s="679"/>
      <c r="LPF160" s="679"/>
      <c r="LPG160" s="679"/>
      <c r="LPH160" s="679"/>
      <c r="LPI160" s="679"/>
      <c r="LPJ160" s="679"/>
      <c r="LPK160" s="679"/>
      <c r="LPL160" s="679"/>
      <c r="LPM160" s="679"/>
      <c r="LPN160" s="679"/>
      <c r="LPO160" s="679"/>
      <c r="LPP160" s="679"/>
      <c r="LPQ160" s="679"/>
      <c r="LPR160" s="679"/>
      <c r="LPS160" s="679"/>
      <c r="LPT160" s="679"/>
      <c r="LPU160" s="679"/>
      <c r="LPV160" s="679"/>
      <c r="LPW160" s="679"/>
      <c r="LPX160" s="679"/>
      <c r="LPY160" s="679"/>
      <c r="LPZ160" s="679"/>
      <c r="LQA160" s="679"/>
      <c r="LQB160" s="679"/>
      <c r="LQC160" s="679"/>
      <c r="LQD160" s="679"/>
      <c r="LQE160" s="679"/>
      <c r="LQF160" s="679"/>
      <c r="LQG160" s="679"/>
      <c r="LQH160" s="679"/>
      <c r="LQI160" s="679"/>
      <c r="LQJ160" s="679"/>
      <c r="LQK160" s="679"/>
      <c r="LQL160" s="679"/>
      <c r="LQM160" s="679"/>
      <c r="LQN160" s="679"/>
      <c r="LQO160" s="679"/>
      <c r="LQP160" s="679"/>
      <c r="LQQ160" s="679"/>
      <c r="LQR160" s="679"/>
      <c r="LQS160" s="679"/>
      <c r="LQT160" s="679"/>
      <c r="LQU160" s="679"/>
      <c r="LQV160" s="679"/>
      <c r="LQW160" s="679"/>
      <c r="LQX160" s="679"/>
      <c r="LQY160" s="679"/>
      <c r="LQZ160" s="679"/>
      <c r="LRA160" s="679"/>
      <c r="LRB160" s="679"/>
      <c r="LRC160" s="679"/>
      <c r="LRD160" s="679"/>
      <c r="LRE160" s="679"/>
      <c r="LRF160" s="679"/>
      <c r="LRG160" s="679"/>
      <c r="LRH160" s="679"/>
      <c r="LRI160" s="679"/>
      <c r="LRJ160" s="679"/>
      <c r="LRK160" s="679"/>
      <c r="LRL160" s="679"/>
      <c r="LRM160" s="679"/>
      <c r="LRN160" s="679"/>
      <c r="LRO160" s="679"/>
      <c r="LRP160" s="679"/>
      <c r="LRQ160" s="679"/>
      <c r="LRR160" s="679"/>
      <c r="LRS160" s="679"/>
      <c r="LRT160" s="679"/>
      <c r="LRU160" s="679"/>
      <c r="LRV160" s="679"/>
      <c r="LRW160" s="679"/>
      <c r="LRX160" s="679"/>
      <c r="LRY160" s="679"/>
      <c r="LRZ160" s="679"/>
      <c r="LSA160" s="679"/>
      <c r="LSB160" s="679"/>
      <c r="LSC160" s="679"/>
      <c r="LSD160" s="679"/>
      <c r="LSE160" s="679"/>
      <c r="LSF160" s="679"/>
      <c r="LSG160" s="679"/>
      <c r="LSH160" s="679"/>
      <c r="LSI160" s="679"/>
      <c r="LSJ160" s="679"/>
      <c r="LSK160" s="679"/>
      <c r="LSL160" s="679"/>
      <c r="LSM160" s="679"/>
      <c r="LSN160" s="679"/>
      <c r="LSO160" s="679"/>
      <c r="LSP160" s="679"/>
      <c r="LSQ160" s="679"/>
      <c r="LSR160" s="679"/>
      <c r="LSS160" s="679"/>
      <c r="LST160" s="679"/>
      <c r="LSU160" s="679"/>
      <c r="LSV160" s="679"/>
      <c r="LSW160" s="679"/>
      <c r="LSX160" s="679"/>
      <c r="LSY160" s="679"/>
      <c r="LSZ160" s="679"/>
      <c r="LTA160" s="679"/>
      <c r="LTB160" s="679"/>
      <c r="LTC160" s="679"/>
      <c r="LTD160" s="679"/>
      <c r="LTE160" s="679"/>
      <c r="LTF160" s="679"/>
      <c r="LTG160" s="679"/>
      <c r="LTH160" s="679"/>
      <c r="LTI160" s="679"/>
      <c r="LTJ160" s="679"/>
      <c r="LTK160" s="679"/>
      <c r="LTL160" s="679"/>
      <c r="LTM160" s="679"/>
      <c r="LTN160" s="679"/>
      <c r="LTO160" s="679"/>
      <c r="LTP160" s="679"/>
      <c r="LTQ160" s="679"/>
      <c r="LTR160" s="679"/>
      <c r="LTS160" s="679"/>
      <c r="LTT160" s="679"/>
      <c r="LTU160" s="679"/>
      <c r="LTV160" s="679"/>
      <c r="LTW160" s="679"/>
      <c r="LTX160" s="679"/>
      <c r="LTY160" s="679"/>
      <c r="LTZ160" s="679"/>
      <c r="LUA160" s="679"/>
      <c r="LUB160" s="679"/>
      <c r="LUC160" s="679"/>
      <c r="LUD160" s="679"/>
      <c r="LUE160" s="679"/>
      <c r="LUF160" s="679"/>
      <c r="LUG160" s="679"/>
      <c r="LUH160" s="679"/>
      <c r="LUI160" s="679"/>
      <c r="LUJ160" s="679"/>
      <c r="LUK160" s="679"/>
      <c r="LUL160" s="679"/>
      <c r="LUM160" s="679"/>
      <c r="LUN160" s="679"/>
      <c r="LUO160" s="679"/>
      <c r="LUP160" s="679"/>
      <c r="LUQ160" s="679"/>
      <c r="LUR160" s="679"/>
      <c r="LUS160" s="679"/>
      <c r="LUT160" s="679"/>
      <c r="LUU160" s="679"/>
      <c r="LUV160" s="679"/>
      <c r="LUW160" s="679"/>
      <c r="LUX160" s="679"/>
      <c r="LUY160" s="679"/>
      <c r="LUZ160" s="679"/>
      <c r="LVA160" s="679"/>
      <c r="LVB160" s="679"/>
      <c r="LVC160" s="679"/>
      <c r="LVD160" s="679"/>
      <c r="LVE160" s="679"/>
      <c r="LVF160" s="679"/>
      <c r="LVG160" s="679"/>
      <c r="LVH160" s="679"/>
      <c r="LVI160" s="679"/>
      <c r="LVJ160" s="679"/>
      <c r="LVK160" s="679"/>
      <c r="LVL160" s="679"/>
      <c r="LVM160" s="679"/>
      <c r="LVN160" s="679"/>
      <c r="LVO160" s="679"/>
      <c r="LVP160" s="679"/>
      <c r="LVQ160" s="679"/>
      <c r="LVR160" s="679"/>
      <c r="LVS160" s="679"/>
      <c r="LVT160" s="679"/>
      <c r="LVU160" s="679"/>
      <c r="LVV160" s="679"/>
      <c r="LVW160" s="679"/>
      <c r="LVX160" s="679"/>
      <c r="LVY160" s="679"/>
      <c r="LVZ160" s="679"/>
      <c r="LWA160" s="679"/>
      <c r="LWB160" s="679"/>
      <c r="LWC160" s="679"/>
      <c r="LWD160" s="679"/>
      <c r="LWE160" s="679"/>
      <c r="LWF160" s="679"/>
      <c r="LWG160" s="679"/>
      <c r="LWH160" s="679"/>
      <c r="LWI160" s="679"/>
      <c r="LWJ160" s="679"/>
      <c r="LWK160" s="679"/>
      <c r="LWL160" s="679"/>
      <c r="LWM160" s="679"/>
      <c r="LWN160" s="679"/>
      <c r="LWO160" s="679"/>
      <c r="LWP160" s="679"/>
      <c r="LWQ160" s="679"/>
      <c r="LWR160" s="679"/>
      <c r="LWS160" s="679"/>
      <c r="LWT160" s="679"/>
      <c r="LWU160" s="679"/>
      <c r="LWV160" s="679"/>
      <c r="LWW160" s="679"/>
      <c r="LWX160" s="679"/>
      <c r="LWY160" s="679"/>
      <c r="LWZ160" s="679"/>
      <c r="LXA160" s="679"/>
      <c r="LXB160" s="679"/>
      <c r="LXC160" s="679"/>
      <c r="LXD160" s="679"/>
      <c r="LXE160" s="679"/>
      <c r="LXF160" s="679"/>
      <c r="LXG160" s="679"/>
      <c r="LXH160" s="679"/>
      <c r="LXI160" s="679"/>
      <c r="LXJ160" s="679"/>
      <c r="LXK160" s="679"/>
      <c r="LXL160" s="679"/>
      <c r="LXM160" s="679"/>
      <c r="LXN160" s="679"/>
      <c r="LXO160" s="679"/>
      <c r="LXP160" s="679"/>
      <c r="LXQ160" s="679"/>
      <c r="LXR160" s="679"/>
      <c r="LXS160" s="679"/>
      <c r="LXT160" s="679"/>
      <c r="LXU160" s="679"/>
      <c r="LXV160" s="679"/>
      <c r="LXW160" s="679"/>
      <c r="LXX160" s="679"/>
      <c r="LXY160" s="679"/>
      <c r="LXZ160" s="679"/>
      <c r="LYA160" s="679"/>
      <c r="LYB160" s="679"/>
      <c r="LYC160" s="679"/>
      <c r="LYD160" s="679"/>
      <c r="LYE160" s="679"/>
      <c r="LYF160" s="679"/>
      <c r="LYG160" s="679"/>
      <c r="LYH160" s="679"/>
      <c r="LYI160" s="679"/>
      <c r="LYJ160" s="679"/>
      <c r="LYK160" s="679"/>
      <c r="LYL160" s="679"/>
      <c r="LYM160" s="679"/>
      <c r="LYN160" s="679"/>
      <c r="LYO160" s="679"/>
      <c r="LYP160" s="679"/>
      <c r="LYQ160" s="679"/>
      <c r="LYR160" s="679"/>
      <c r="LYS160" s="679"/>
      <c r="LYT160" s="679"/>
      <c r="LYU160" s="679"/>
      <c r="LYV160" s="679"/>
      <c r="LYW160" s="679"/>
      <c r="LYX160" s="679"/>
      <c r="LYY160" s="679"/>
      <c r="LYZ160" s="679"/>
      <c r="LZA160" s="679"/>
      <c r="LZB160" s="679"/>
      <c r="LZC160" s="679"/>
      <c r="LZD160" s="679"/>
      <c r="LZE160" s="679"/>
      <c r="LZF160" s="679"/>
      <c r="LZG160" s="679"/>
      <c r="LZH160" s="679"/>
      <c r="LZI160" s="679"/>
      <c r="LZJ160" s="679"/>
      <c r="LZK160" s="679"/>
      <c r="LZL160" s="679"/>
      <c r="LZM160" s="679"/>
      <c r="LZN160" s="679"/>
      <c r="LZO160" s="679"/>
      <c r="LZP160" s="679"/>
      <c r="LZQ160" s="679"/>
      <c r="LZR160" s="679"/>
      <c r="LZS160" s="679"/>
      <c r="LZT160" s="679"/>
      <c r="LZU160" s="679"/>
      <c r="LZV160" s="679"/>
      <c r="LZW160" s="679"/>
      <c r="LZX160" s="679"/>
      <c r="LZY160" s="679"/>
      <c r="LZZ160" s="679"/>
      <c r="MAA160" s="679"/>
      <c r="MAB160" s="679"/>
      <c r="MAC160" s="679"/>
      <c r="MAD160" s="679"/>
      <c r="MAE160" s="679"/>
      <c r="MAF160" s="679"/>
      <c r="MAG160" s="679"/>
      <c r="MAH160" s="679"/>
      <c r="MAI160" s="679"/>
      <c r="MAJ160" s="679"/>
      <c r="MAK160" s="679"/>
      <c r="MAL160" s="679"/>
      <c r="MAM160" s="679"/>
      <c r="MAN160" s="679"/>
      <c r="MAO160" s="679"/>
      <c r="MAP160" s="679"/>
      <c r="MAQ160" s="679"/>
      <c r="MAR160" s="679"/>
      <c r="MAS160" s="679"/>
      <c r="MAT160" s="679"/>
      <c r="MAU160" s="679"/>
      <c r="MAV160" s="679"/>
      <c r="MAW160" s="679"/>
      <c r="MAX160" s="679"/>
      <c r="MAY160" s="679"/>
      <c r="MAZ160" s="679"/>
      <c r="MBA160" s="679"/>
      <c r="MBB160" s="679"/>
      <c r="MBC160" s="679"/>
      <c r="MBD160" s="679"/>
      <c r="MBE160" s="679"/>
      <c r="MBF160" s="679"/>
      <c r="MBG160" s="679"/>
      <c r="MBH160" s="679"/>
      <c r="MBI160" s="679"/>
      <c r="MBJ160" s="679"/>
      <c r="MBK160" s="679"/>
      <c r="MBL160" s="679"/>
      <c r="MBM160" s="679"/>
      <c r="MBN160" s="679"/>
      <c r="MBO160" s="679"/>
      <c r="MBP160" s="679"/>
      <c r="MBQ160" s="679"/>
      <c r="MBR160" s="679"/>
      <c r="MBS160" s="679"/>
      <c r="MBT160" s="679"/>
      <c r="MBU160" s="679"/>
      <c r="MBV160" s="679"/>
      <c r="MBW160" s="679"/>
      <c r="MBX160" s="679"/>
      <c r="MBY160" s="679"/>
      <c r="MBZ160" s="679"/>
      <c r="MCA160" s="679"/>
      <c r="MCB160" s="679"/>
      <c r="MCC160" s="679"/>
      <c r="MCD160" s="679"/>
      <c r="MCE160" s="679"/>
      <c r="MCF160" s="679"/>
      <c r="MCG160" s="679"/>
      <c r="MCH160" s="679"/>
      <c r="MCI160" s="679"/>
      <c r="MCJ160" s="679"/>
      <c r="MCK160" s="679"/>
      <c r="MCL160" s="679"/>
      <c r="MCM160" s="679"/>
      <c r="MCN160" s="679"/>
      <c r="MCO160" s="679"/>
      <c r="MCP160" s="679"/>
      <c r="MCQ160" s="679"/>
      <c r="MCR160" s="679"/>
      <c r="MCS160" s="679"/>
      <c r="MCT160" s="679"/>
      <c r="MCU160" s="679"/>
      <c r="MCV160" s="679"/>
      <c r="MCW160" s="679"/>
      <c r="MCX160" s="679"/>
      <c r="MCY160" s="679"/>
      <c r="MCZ160" s="679"/>
      <c r="MDA160" s="679"/>
      <c r="MDB160" s="679"/>
      <c r="MDC160" s="679"/>
      <c r="MDD160" s="679"/>
      <c r="MDE160" s="679"/>
      <c r="MDF160" s="679"/>
      <c r="MDG160" s="679"/>
      <c r="MDH160" s="679"/>
      <c r="MDI160" s="679"/>
      <c r="MDJ160" s="679"/>
      <c r="MDK160" s="679"/>
      <c r="MDL160" s="679"/>
      <c r="MDM160" s="679"/>
      <c r="MDN160" s="679"/>
      <c r="MDO160" s="679"/>
      <c r="MDP160" s="679"/>
      <c r="MDQ160" s="679"/>
      <c r="MDR160" s="679"/>
      <c r="MDS160" s="679"/>
      <c r="MDT160" s="679"/>
      <c r="MDU160" s="679"/>
      <c r="MDV160" s="679"/>
      <c r="MDW160" s="679"/>
      <c r="MDX160" s="679"/>
      <c r="MDY160" s="679"/>
      <c r="MDZ160" s="679"/>
      <c r="MEA160" s="679"/>
      <c r="MEB160" s="679"/>
      <c r="MEC160" s="679"/>
      <c r="MED160" s="679"/>
      <c r="MEE160" s="679"/>
      <c r="MEF160" s="679"/>
      <c r="MEG160" s="679"/>
      <c r="MEH160" s="679"/>
      <c r="MEI160" s="679"/>
      <c r="MEJ160" s="679"/>
      <c r="MEK160" s="679"/>
      <c r="MEL160" s="679"/>
      <c r="MEM160" s="679"/>
      <c r="MEN160" s="679"/>
      <c r="MEO160" s="679"/>
      <c r="MEP160" s="679"/>
      <c r="MEQ160" s="679"/>
      <c r="MER160" s="679"/>
      <c r="MES160" s="679"/>
      <c r="MET160" s="679"/>
      <c r="MEU160" s="679"/>
      <c r="MEV160" s="679"/>
      <c r="MEW160" s="679"/>
      <c r="MEX160" s="679"/>
      <c r="MEY160" s="679"/>
      <c r="MEZ160" s="679"/>
      <c r="MFA160" s="679"/>
      <c r="MFB160" s="679"/>
      <c r="MFC160" s="679"/>
      <c r="MFD160" s="679"/>
      <c r="MFE160" s="679"/>
      <c r="MFF160" s="679"/>
      <c r="MFG160" s="679"/>
      <c r="MFH160" s="679"/>
      <c r="MFI160" s="679"/>
      <c r="MFJ160" s="679"/>
      <c r="MFK160" s="679"/>
      <c r="MFL160" s="679"/>
      <c r="MFM160" s="679"/>
      <c r="MFN160" s="679"/>
      <c r="MFO160" s="679"/>
      <c r="MFP160" s="679"/>
      <c r="MFQ160" s="679"/>
      <c r="MFR160" s="679"/>
      <c r="MFS160" s="679"/>
      <c r="MFT160" s="679"/>
      <c r="MFU160" s="679"/>
      <c r="MFV160" s="679"/>
      <c r="MFW160" s="679"/>
      <c r="MFX160" s="679"/>
      <c r="MFY160" s="679"/>
      <c r="MFZ160" s="679"/>
      <c r="MGA160" s="679"/>
      <c r="MGB160" s="679"/>
      <c r="MGC160" s="679"/>
      <c r="MGD160" s="679"/>
      <c r="MGE160" s="679"/>
      <c r="MGF160" s="679"/>
      <c r="MGG160" s="679"/>
      <c r="MGH160" s="679"/>
      <c r="MGI160" s="679"/>
      <c r="MGJ160" s="679"/>
      <c r="MGK160" s="679"/>
      <c r="MGL160" s="679"/>
      <c r="MGM160" s="679"/>
      <c r="MGN160" s="679"/>
      <c r="MGO160" s="679"/>
      <c r="MGP160" s="679"/>
      <c r="MGQ160" s="679"/>
      <c r="MGR160" s="679"/>
      <c r="MGS160" s="679"/>
      <c r="MGT160" s="679"/>
      <c r="MGU160" s="679"/>
      <c r="MGV160" s="679"/>
      <c r="MGW160" s="679"/>
      <c r="MGX160" s="679"/>
      <c r="MGY160" s="679"/>
      <c r="MGZ160" s="679"/>
      <c r="MHA160" s="679"/>
      <c r="MHB160" s="679"/>
      <c r="MHC160" s="679"/>
      <c r="MHD160" s="679"/>
      <c r="MHE160" s="679"/>
      <c r="MHF160" s="679"/>
      <c r="MHG160" s="679"/>
      <c r="MHH160" s="679"/>
      <c r="MHI160" s="679"/>
      <c r="MHJ160" s="679"/>
      <c r="MHK160" s="679"/>
      <c r="MHL160" s="679"/>
      <c r="MHM160" s="679"/>
      <c r="MHN160" s="679"/>
      <c r="MHO160" s="679"/>
      <c r="MHP160" s="679"/>
      <c r="MHQ160" s="679"/>
      <c r="MHR160" s="679"/>
      <c r="MHS160" s="679"/>
      <c r="MHT160" s="679"/>
      <c r="MHU160" s="679"/>
      <c r="MHV160" s="679"/>
      <c r="MHW160" s="679"/>
      <c r="MHX160" s="679"/>
      <c r="MHY160" s="679"/>
      <c r="MHZ160" s="679"/>
      <c r="MIA160" s="679"/>
      <c r="MIB160" s="679"/>
      <c r="MIC160" s="679"/>
      <c r="MID160" s="679"/>
      <c r="MIE160" s="679"/>
      <c r="MIF160" s="679"/>
      <c r="MIG160" s="679"/>
      <c r="MIH160" s="679"/>
      <c r="MII160" s="679"/>
      <c r="MIJ160" s="679"/>
      <c r="MIK160" s="679"/>
      <c r="MIL160" s="679"/>
      <c r="MIM160" s="679"/>
      <c r="MIN160" s="679"/>
      <c r="MIO160" s="679"/>
      <c r="MIP160" s="679"/>
      <c r="MIQ160" s="679"/>
      <c r="MIR160" s="679"/>
      <c r="MIS160" s="679"/>
      <c r="MIT160" s="679"/>
      <c r="MIU160" s="679"/>
      <c r="MIV160" s="679"/>
      <c r="MIW160" s="679"/>
      <c r="MIX160" s="679"/>
      <c r="MIY160" s="679"/>
      <c r="MIZ160" s="679"/>
      <c r="MJA160" s="679"/>
      <c r="MJB160" s="679"/>
      <c r="MJC160" s="679"/>
      <c r="MJD160" s="679"/>
      <c r="MJE160" s="679"/>
      <c r="MJF160" s="679"/>
      <c r="MJG160" s="679"/>
      <c r="MJH160" s="679"/>
      <c r="MJI160" s="679"/>
      <c r="MJJ160" s="679"/>
      <c r="MJK160" s="679"/>
      <c r="MJL160" s="679"/>
      <c r="MJM160" s="679"/>
      <c r="MJN160" s="679"/>
      <c r="MJO160" s="679"/>
      <c r="MJP160" s="679"/>
      <c r="MJQ160" s="679"/>
      <c r="MJR160" s="679"/>
      <c r="MJS160" s="679"/>
      <c r="MJT160" s="679"/>
      <c r="MJU160" s="679"/>
      <c r="MJV160" s="679"/>
      <c r="MJW160" s="679"/>
      <c r="MJX160" s="679"/>
      <c r="MJY160" s="679"/>
      <c r="MJZ160" s="679"/>
      <c r="MKA160" s="679"/>
      <c r="MKB160" s="679"/>
      <c r="MKC160" s="679"/>
      <c r="MKD160" s="679"/>
      <c r="MKE160" s="679"/>
      <c r="MKF160" s="679"/>
      <c r="MKG160" s="679"/>
      <c r="MKH160" s="679"/>
      <c r="MKI160" s="679"/>
      <c r="MKJ160" s="679"/>
      <c r="MKK160" s="679"/>
      <c r="MKL160" s="679"/>
      <c r="MKM160" s="679"/>
      <c r="MKN160" s="679"/>
      <c r="MKO160" s="679"/>
      <c r="MKP160" s="679"/>
      <c r="MKQ160" s="679"/>
      <c r="MKR160" s="679"/>
      <c r="MKS160" s="679"/>
      <c r="MKT160" s="679"/>
      <c r="MKU160" s="679"/>
      <c r="MKV160" s="679"/>
      <c r="MKW160" s="679"/>
      <c r="MKX160" s="679"/>
      <c r="MKY160" s="679"/>
      <c r="MKZ160" s="679"/>
      <c r="MLA160" s="679"/>
      <c r="MLB160" s="679"/>
      <c r="MLC160" s="679"/>
      <c r="MLD160" s="679"/>
      <c r="MLE160" s="679"/>
      <c r="MLF160" s="679"/>
      <c r="MLG160" s="679"/>
      <c r="MLH160" s="679"/>
      <c r="MLI160" s="679"/>
      <c r="MLJ160" s="679"/>
      <c r="MLK160" s="679"/>
      <c r="MLL160" s="679"/>
      <c r="MLM160" s="679"/>
      <c r="MLN160" s="679"/>
      <c r="MLO160" s="679"/>
      <c r="MLP160" s="679"/>
      <c r="MLQ160" s="679"/>
      <c r="MLR160" s="679"/>
      <c r="MLS160" s="679"/>
      <c r="MLT160" s="679"/>
      <c r="MLU160" s="679"/>
      <c r="MLV160" s="679"/>
      <c r="MLW160" s="679"/>
      <c r="MLX160" s="679"/>
      <c r="MLY160" s="679"/>
      <c r="MLZ160" s="679"/>
      <c r="MMA160" s="679"/>
      <c r="MMB160" s="679"/>
      <c r="MMC160" s="679"/>
      <c r="MMD160" s="679"/>
      <c r="MME160" s="679"/>
      <c r="MMF160" s="679"/>
      <c r="MMG160" s="679"/>
      <c r="MMH160" s="679"/>
      <c r="MMI160" s="679"/>
      <c r="MMJ160" s="679"/>
      <c r="MMK160" s="679"/>
      <c r="MML160" s="679"/>
      <c r="MMM160" s="679"/>
      <c r="MMN160" s="679"/>
      <c r="MMO160" s="679"/>
      <c r="MMP160" s="679"/>
      <c r="MMQ160" s="679"/>
      <c r="MMR160" s="679"/>
      <c r="MMS160" s="679"/>
      <c r="MMT160" s="679"/>
      <c r="MMU160" s="679"/>
      <c r="MMV160" s="679"/>
      <c r="MMW160" s="679"/>
      <c r="MMX160" s="679"/>
      <c r="MMY160" s="679"/>
      <c r="MMZ160" s="679"/>
      <c r="MNA160" s="679"/>
      <c r="MNB160" s="679"/>
      <c r="MNC160" s="679"/>
      <c r="MND160" s="679"/>
      <c r="MNE160" s="679"/>
      <c r="MNF160" s="679"/>
      <c r="MNG160" s="679"/>
      <c r="MNH160" s="679"/>
      <c r="MNI160" s="679"/>
      <c r="MNJ160" s="679"/>
      <c r="MNK160" s="679"/>
      <c r="MNL160" s="679"/>
      <c r="MNM160" s="679"/>
      <c r="MNN160" s="679"/>
      <c r="MNO160" s="679"/>
      <c r="MNP160" s="679"/>
      <c r="MNQ160" s="679"/>
      <c r="MNR160" s="679"/>
      <c r="MNS160" s="679"/>
      <c r="MNT160" s="679"/>
      <c r="MNU160" s="679"/>
      <c r="MNV160" s="679"/>
      <c r="MNW160" s="679"/>
      <c r="MNX160" s="679"/>
      <c r="MNY160" s="679"/>
      <c r="MNZ160" s="679"/>
      <c r="MOA160" s="679"/>
      <c r="MOB160" s="679"/>
      <c r="MOC160" s="679"/>
      <c r="MOD160" s="679"/>
      <c r="MOE160" s="679"/>
      <c r="MOF160" s="679"/>
      <c r="MOG160" s="679"/>
      <c r="MOH160" s="679"/>
      <c r="MOI160" s="679"/>
      <c r="MOJ160" s="679"/>
      <c r="MOK160" s="679"/>
      <c r="MOL160" s="679"/>
      <c r="MOM160" s="679"/>
      <c r="MON160" s="679"/>
      <c r="MOO160" s="679"/>
      <c r="MOP160" s="679"/>
      <c r="MOQ160" s="679"/>
      <c r="MOR160" s="679"/>
      <c r="MOS160" s="679"/>
      <c r="MOT160" s="679"/>
      <c r="MOU160" s="679"/>
      <c r="MOV160" s="679"/>
      <c r="MOW160" s="679"/>
      <c r="MOX160" s="679"/>
      <c r="MOY160" s="679"/>
      <c r="MOZ160" s="679"/>
      <c r="MPA160" s="679"/>
      <c r="MPB160" s="679"/>
      <c r="MPC160" s="679"/>
      <c r="MPD160" s="679"/>
      <c r="MPE160" s="679"/>
      <c r="MPF160" s="679"/>
      <c r="MPG160" s="679"/>
      <c r="MPH160" s="679"/>
      <c r="MPI160" s="679"/>
      <c r="MPJ160" s="679"/>
      <c r="MPK160" s="679"/>
      <c r="MPL160" s="679"/>
      <c r="MPM160" s="679"/>
      <c r="MPN160" s="679"/>
      <c r="MPO160" s="679"/>
      <c r="MPP160" s="679"/>
      <c r="MPQ160" s="679"/>
      <c r="MPR160" s="679"/>
      <c r="MPS160" s="679"/>
      <c r="MPT160" s="679"/>
      <c r="MPU160" s="679"/>
      <c r="MPV160" s="679"/>
      <c r="MPW160" s="679"/>
      <c r="MPX160" s="679"/>
      <c r="MPY160" s="679"/>
      <c r="MPZ160" s="679"/>
      <c r="MQA160" s="679"/>
      <c r="MQB160" s="679"/>
      <c r="MQC160" s="679"/>
      <c r="MQD160" s="679"/>
      <c r="MQE160" s="679"/>
      <c r="MQF160" s="679"/>
      <c r="MQG160" s="679"/>
      <c r="MQH160" s="679"/>
      <c r="MQI160" s="679"/>
      <c r="MQJ160" s="679"/>
      <c r="MQK160" s="679"/>
      <c r="MQL160" s="679"/>
      <c r="MQM160" s="679"/>
      <c r="MQN160" s="679"/>
      <c r="MQO160" s="679"/>
      <c r="MQP160" s="679"/>
      <c r="MQQ160" s="679"/>
      <c r="MQR160" s="679"/>
      <c r="MQS160" s="679"/>
      <c r="MQT160" s="679"/>
      <c r="MQU160" s="679"/>
      <c r="MQV160" s="679"/>
      <c r="MQW160" s="679"/>
      <c r="MQX160" s="679"/>
      <c r="MQY160" s="679"/>
      <c r="MQZ160" s="679"/>
      <c r="MRA160" s="679"/>
      <c r="MRB160" s="679"/>
      <c r="MRC160" s="679"/>
      <c r="MRD160" s="679"/>
      <c r="MRE160" s="679"/>
      <c r="MRF160" s="679"/>
      <c r="MRG160" s="679"/>
      <c r="MRH160" s="679"/>
      <c r="MRI160" s="679"/>
      <c r="MRJ160" s="679"/>
      <c r="MRK160" s="679"/>
      <c r="MRL160" s="679"/>
      <c r="MRM160" s="679"/>
      <c r="MRN160" s="679"/>
      <c r="MRO160" s="679"/>
      <c r="MRP160" s="679"/>
      <c r="MRQ160" s="679"/>
      <c r="MRR160" s="679"/>
      <c r="MRS160" s="679"/>
      <c r="MRT160" s="679"/>
      <c r="MRU160" s="679"/>
      <c r="MRV160" s="679"/>
      <c r="MRW160" s="679"/>
      <c r="MRX160" s="679"/>
      <c r="MRY160" s="679"/>
      <c r="MRZ160" s="679"/>
      <c r="MSA160" s="679"/>
      <c r="MSB160" s="679"/>
      <c r="MSC160" s="679"/>
      <c r="MSD160" s="679"/>
      <c r="MSE160" s="679"/>
      <c r="MSF160" s="679"/>
      <c r="MSG160" s="679"/>
      <c r="MSH160" s="679"/>
      <c r="MSI160" s="679"/>
      <c r="MSJ160" s="679"/>
      <c r="MSK160" s="679"/>
      <c r="MSL160" s="679"/>
      <c r="MSM160" s="679"/>
      <c r="MSN160" s="679"/>
      <c r="MSO160" s="679"/>
      <c r="MSP160" s="679"/>
      <c r="MSQ160" s="679"/>
      <c r="MSR160" s="679"/>
      <c r="MSS160" s="679"/>
      <c r="MST160" s="679"/>
      <c r="MSU160" s="679"/>
      <c r="MSV160" s="679"/>
      <c r="MSW160" s="679"/>
      <c r="MSX160" s="679"/>
      <c r="MSY160" s="679"/>
      <c r="MSZ160" s="679"/>
      <c r="MTA160" s="679"/>
      <c r="MTB160" s="679"/>
      <c r="MTC160" s="679"/>
      <c r="MTD160" s="679"/>
      <c r="MTE160" s="679"/>
      <c r="MTF160" s="679"/>
      <c r="MTG160" s="679"/>
      <c r="MTH160" s="679"/>
      <c r="MTI160" s="679"/>
      <c r="MTJ160" s="679"/>
      <c r="MTK160" s="679"/>
      <c r="MTL160" s="679"/>
      <c r="MTM160" s="679"/>
      <c r="MTN160" s="679"/>
      <c r="MTO160" s="679"/>
      <c r="MTP160" s="679"/>
      <c r="MTQ160" s="679"/>
      <c r="MTR160" s="679"/>
      <c r="MTS160" s="679"/>
      <c r="MTT160" s="679"/>
      <c r="MTU160" s="679"/>
      <c r="MTV160" s="679"/>
      <c r="MTW160" s="679"/>
      <c r="MTX160" s="679"/>
      <c r="MTY160" s="679"/>
      <c r="MTZ160" s="679"/>
      <c r="MUA160" s="679"/>
      <c r="MUB160" s="679"/>
      <c r="MUC160" s="679"/>
      <c r="MUD160" s="679"/>
      <c r="MUE160" s="679"/>
      <c r="MUF160" s="679"/>
      <c r="MUG160" s="679"/>
      <c r="MUH160" s="679"/>
      <c r="MUI160" s="679"/>
      <c r="MUJ160" s="679"/>
      <c r="MUK160" s="679"/>
      <c r="MUL160" s="679"/>
      <c r="MUM160" s="679"/>
      <c r="MUN160" s="679"/>
      <c r="MUO160" s="679"/>
      <c r="MUP160" s="679"/>
      <c r="MUQ160" s="679"/>
      <c r="MUR160" s="679"/>
      <c r="MUS160" s="679"/>
      <c r="MUT160" s="679"/>
      <c r="MUU160" s="679"/>
      <c r="MUV160" s="679"/>
      <c r="MUW160" s="679"/>
      <c r="MUX160" s="679"/>
      <c r="MUY160" s="679"/>
      <c r="MUZ160" s="679"/>
      <c r="MVA160" s="679"/>
      <c r="MVB160" s="679"/>
      <c r="MVC160" s="679"/>
      <c r="MVD160" s="679"/>
      <c r="MVE160" s="679"/>
      <c r="MVF160" s="679"/>
      <c r="MVG160" s="679"/>
      <c r="MVH160" s="679"/>
      <c r="MVI160" s="679"/>
      <c r="MVJ160" s="679"/>
      <c r="MVK160" s="679"/>
      <c r="MVL160" s="679"/>
      <c r="MVM160" s="679"/>
      <c r="MVN160" s="679"/>
      <c r="MVO160" s="679"/>
      <c r="MVP160" s="679"/>
      <c r="MVQ160" s="679"/>
      <c r="MVR160" s="679"/>
      <c r="MVS160" s="679"/>
      <c r="MVT160" s="679"/>
      <c r="MVU160" s="679"/>
      <c r="MVV160" s="679"/>
      <c r="MVW160" s="679"/>
      <c r="MVX160" s="679"/>
      <c r="MVY160" s="679"/>
      <c r="MVZ160" s="679"/>
      <c r="MWA160" s="679"/>
      <c r="MWB160" s="679"/>
      <c r="MWC160" s="679"/>
      <c r="MWD160" s="679"/>
      <c r="MWE160" s="679"/>
      <c r="MWF160" s="679"/>
      <c r="MWG160" s="679"/>
      <c r="MWH160" s="679"/>
      <c r="MWI160" s="679"/>
      <c r="MWJ160" s="679"/>
      <c r="MWK160" s="679"/>
      <c r="MWL160" s="679"/>
      <c r="MWM160" s="679"/>
      <c r="MWN160" s="679"/>
      <c r="MWO160" s="679"/>
      <c r="MWP160" s="679"/>
      <c r="MWQ160" s="679"/>
      <c r="MWR160" s="679"/>
      <c r="MWS160" s="679"/>
      <c r="MWT160" s="679"/>
      <c r="MWU160" s="679"/>
      <c r="MWV160" s="679"/>
      <c r="MWW160" s="679"/>
      <c r="MWX160" s="679"/>
      <c r="MWY160" s="679"/>
      <c r="MWZ160" s="679"/>
      <c r="MXA160" s="679"/>
      <c r="MXB160" s="679"/>
      <c r="MXC160" s="679"/>
      <c r="MXD160" s="679"/>
      <c r="MXE160" s="679"/>
      <c r="MXF160" s="679"/>
      <c r="MXG160" s="679"/>
      <c r="MXH160" s="679"/>
      <c r="MXI160" s="679"/>
      <c r="MXJ160" s="679"/>
      <c r="MXK160" s="679"/>
      <c r="MXL160" s="679"/>
      <c r="MXM160" s="679"/>
      <c r="MXN160" s="679"/>
      <c r="MXO160" s="679"/>
      <c r="MXP160" s="679"/>
      <c r="MXQ160" s="679"/>
      <c r="MXR160" s="679"/>
      <c r="MXS160" s="679"/>
      <c r="MXT160" s="679"/>
      <c r="MXU160" s="679"/>
      <c r="MXV160" s="679"/>
      <c r="MXW160" s="679"/>
      <c r="MXX160" s="679"/>
      <c r="MXY160" s="679"/>
      <c r="MXZ160" s="679"/>
      <c r="MYA160" s="679"/>
      <c r="MYB160" s="679"/>
      <c r="MYC160" s="679"/>
      <c r="MYD160" s="679"/>
      <c r="MYE160" s="679"/>
      <c r="MYF160" s="679"/>
      <c r="MYG160" s="679"/>
      <c r="MYH160" s="679"/>
      <c r="MYI160" s="679"/>
      <c r="MYJ160" s="679"/>
      <c r="MYK160" s="679"/>
      <c r="MYL160" s="679"/>
      <c r="MYM160" s="679"/>
      <c r="MYN160" s="679"/>
      <c r="MYO160" s="679"/>
      <c r="MYP160" s="679"/>
      <c r="MYQ160" s="679"/>
      <c r="MYR160" s="679"/>
      <c r="MYS160" s="679"/>
      <c r="MYT160" s="679"/>
      <c r="MYU160" s="679"/>
      <c r="MYV160" s="679"/>
      <c r="MYW160" s="679"/>
      <c r="MYX160" s="679"/>
      <c r="MYY160" s="679"/>
      <c r="MYZ160" s="679"/>
      <c r="MZA160" s="679"/>
      <c r="MZB160" s="679"/>
      <c r="MZC160" s="679"/>
      <c r="MZD160" s="679"/>
      <c r="MZE160" s="679"/>
      <c r="MZF160" s="679"/>
      <c r="MZG160" s="679"/>
      <c r="MZH160" s="679"/>
      <c r="MZI160" s="679"/>
      <c r="MZJ160" s="679"/>
      <c r="MZK160" s="679"/>
      <c r="MZL160" s="679"/>
      <c r="MZM160" s="679"/>
      <c r="MZN160" s="679"/>
      <c r="MZO160" s="679"/>
      <c r="MZP160" s="679"/>
      <c r="MZQ160" s="679"/>
      <c r="MZR160" s="679"/>
      <c r="MZS160" s="679"/>
      <c r="MZT160" s="679"/>
      <c r="MZU160" s="679"/>
      <c r="MZV160" s="679"/>
      <c r="MZW160" s="679"/>
      <c r="MZX160" s="679"/>
      <c r="MZY160" s="679"/>
      <c r="MZZ160" s="679"/>
      <c r="NAA160" s="679"/>
      <c r="NAB160" s="679"/>
      <c r="NAC160" s="679"/>
      <c r="NAD160" s="679"/>
      <c r="NAE160" s="679"/>
      <c r="NAF160" s="679"/>
      <c r="NAG160" s="679"/>
      <c r="NAH160" s="679"/>
      <c r="NAI160" s="679"/>
      <c r="NAJ160" s="679"/>
      <c r="NAK160" s="679"/>
      <c r="NAL160" s="679"/>
      <c r="NAM160" s="679"/>
      <c r="NAN160" s="679"/>
      <c r="NAO160" s="679"/>
      <c r="NAP160" s="679"/>
      <c r="NAQ160" s="679"/>
      <c r="NAR160" s="679"/>
      <c r="NAS160" s="679"/>
      <c r="NAT160" s="679"/>
      <c r="NAU160" s="679"/>
      <c r="NAV160" s="679"/>
      <c r="NAW160" s="679"/>
      <c r="NAX160" s="679"/>
      <c r="NAY160" s="679"/>
      <c r="NAZ160" s="679"/>
      <c r="NBA160" s="679"/>
      <c r="NBB160" s="679"/>
      <c r="NBC160" s="679"/>
      <c r="NBD160" s="679"/>
      <c r="NBE160" s="679"/>
      <c r="NBF160" s="679"/>
      <c r="NBG160" s="679"/>
      <c r="NBH160" s="679"/>
      <c r="NBI160" s="679"/>
      <c r="NBJ160" s="679"/>
      <c r="NBK160" s="679"/>
      <c r="NBL160" s="679"/>
      <c r="NBM160" s="679"/>
      <c r="NBN160" s="679"/>
      <c r="NBO160" s="679"/>
      <c r="NBP160" s="679"/>
      <c r="NBQ160" s="679"/>
      <c r="NBR160" s="679"/>
      <c r="NBS160" s="679"/>
      <c r="NBT160" s="679"/>
      <c r="NBU160" s="679"/>
      <c r="NBV160" s="679"/>
      <c r="NBW160" s="679"/>
      <c r="NBX160" s="679"/>
      <c r="NBY160" s="679"/>
      <c r="NBZ160" s="679"/>
      <c r="NCA160" s="679"/>
      <c r="NCB160" s="679"/>
      <c r="NCC160" s="679"/>
      <c r="NCD160" s="679"/>
      <c r="NCE160" s="679"/>
      <c r="NCF160" s="679"/>
      <c r="NCG160" s="679"/>
      <c r="NCH160" s="679"/>
      <c r="NCI160" s="679"/>
      <c r="NCJ160" s="679"/>
      <c r="NCK160" s="679"/>
      <c r="NCL160" s="679"/>
      <c r="NCM160" s="679"/>
      <c r="NCN160" s="679"/>
      <c r="NCO160" s="679"/>
      <c r="NCP160" s="679"/>
      <c r="NCQ160" s="679"/>
      <c r="NCR160" s="679"/>
      <c r="NCS160" s="679"/>
      <c r="NCT160" s="679"/>
      <c r="NCU160" s="679"/>
      <c r="NCV160" s="679"/>
      <c r="NCW160" s="679"/>
      <c r="NCX160" s="679"/>
      <c r="NCY160" s="679"/>
      <c r="NCZ160" s="679"/>
      <c r="NDA160" s="679"/>
      <c r="NDB160" s="679"/>
      <c r="NDC160" s="679"/>
      <c r="NDD160" s="679"/>
      <c r="NDE160" s="679"/>
      <c r="NDF160" s="679"/>
      <c r="NDG160" s="679"/>
      <c r="NDH160" s="679"/>
      <c r="NDI160" s="679"/>
      <c r="NDJ160" s="679"/>
      <c r="NDK160" s="679"/>
      <c r="NDL160" s="679"/>
      <c r="NDM160" s="679"/>
      <c r="NDN160" s="679"/>
      <c r="NDO160" s="679"/>
      <c r="NDP160" s="679"/>
      <c r="NDQ160" s="679"/>
      <c r="NDR160" s="679"/>
      <c r="NDS160" s="679"/>
      <c r="NDT160" s="679"/>
      <c r="NDU160" s="679"/>
      <c r="NDV160" s="679"/>
      <c r="NDW160" s="679"/>
      <c r="NDX160" s="679"/>
      <c r="NDY160" s="679"/>
      <c r="NDZ160" s="679"/>
      <c r="NEA160" s="679"/>
      <c r="NEB160" s="679"/>
      <c r="NEC160" s="679"/>
      <c r="NED160" s="679"/>
      <c r="NEE160" s="679"/>
      <c r="NEF160" s="679"/>
      <c r="NEG160" s="679"/>
      <c r="NEH160" s="679"/>
      <c r="NEI160" s="679"/>
      <c r="NEJ160" s="679"/>
      <c r="NEK160" s="679"/>
      <c r="NEL160" s="679"/>
      <c r="NEM160" s="679"/>
      <c r="NEN160" s="679"/>
      <c r="NEO160" s="679"/>
      <c r="NEP160" s="679"/>
      <c r="NEQ160" s="679"/>
      <c r="NER160" s="679"/>
      <c r="NES160" s="679"/>
      <c r="NET160" s="679"/>
      <c r="NEU160" s="679"/>
      <c r="NEV160" s="679"/>
      <c r="NEW160" s="679"/>
      <c r="NEX160" s="679"/>
      <c r="NEY160" s="679"/>
      <c r="NEZ160" s="679"/>
      <c r="NFA160" s="679"/>
      <c r="NFB160" s="679"/>
      <c r="NFC160" s="679"/>
      <c r="NFD160" s="679"/>
      <c r="NFE160" s="679"/>
      <c r="NFF160" s="679"/>
      <c r="NFG160" s="679"/>
      <c r="NFH160" s="679"/>
      <c r="NFI160" s="679"/>
      <c r="NFJ160" s="679"/>
      <c r="NFK160" s="679"/>
      <c r="NFL160" s="679"/>
      <c r="NFM160" s="679"/>
      <c r="NFN160" s="679"/>
      <c r="NFO160" s="679"/>
      <c r="NFP160" s="679"/>
      <c r="NFQ160" s="679"/>
      <c r="NFR160" s="679"/>
      <c r="NFS160" s="679"/>
      <c r="NFT160" s="679"/>
      <c r="NFU160" s="679"/>
      <c r="NFV160" s="679"/>
      <c r="NFW160" s="679"/>
      <c r="NFX160" s="679"/>
      <c r="NFY160" s="679"/>
      <c r="NFZ160" s="679"/>
      <c r="NGA160" s="679"/>
      <c r="NGB160" s="679"/>
      <c r="NGC160" s="679"/>
      <c r="NGD160" s="679"/>
      <c r="NGE160" s="679"/>
      <c r="NGF160" s="679"/>
      <c r="NGG160" s="679"/>
      <c r="NGH160" s="679"/>
      <c r="NGI160" s="679"/>
      <c r="NGJ160" s="679"/>
      <c r="NGK160" s="679"/>
      <c r="NGL160" s="679"/>
      <c r="NGM160" s="679"/>
      <c r="NGN160" s="679"/>
      <c r="NGO160" s="679"/>
      <c r="NGP160" s="679"/>
      <c r="NGQ160" s="679"/>
      <c r="NGR160" s="679"/>
      <c r="NGS160" s="679"/>
      <c r="NGT160" s="679"/>
      <c r="NGU160" s="679"/>
      <c r="NGV160" s="679"/>
      <c r="NGW160" s="679"/>
      <c r="NGX160" s="679"/>
      <c r="NGY160" s="679"/>
      <c r="NGZ160" s="679"/>
      <c r="NHA160" s="679"/>
      <c r="NHB160" s="679"/>
      <c r="NHC160" s="679"/>
      <c r="NHD160" s="679"/>
      <c r="NHE160" s="679"/>
      <c r="NHF160" s="679"/>
      <c r="NHG160" s="679"/>
      <c r="NHH160" s="679"/>
      <c r="NHI160" s="679"/>
      <c r="NHJ160" s="679"/>
      <c r="NHK160" s="679"/>
      <c r="NHL160" s="679"/>
      <c r="NHM160" s="679"/>
      <c r="NHN160" s="679"/>
      <c r="NHO160" s="679"/>
      <c r="NHP160" s="679"/>
      <c r="NHQ160" s="679"/>
      <c r="NHR160" s="679"/>
      <c r="NHS160" s="679"/>
      <c r="NHT160" s="679"/>
      <c r="NHU160" s="679"/>
      <c r="NHV160" s="679"/>
      <c r="NHW160" s="679"/>
      <c r="NHX160" s="679"/>
      <c r="NHY160" s="679"/>
      <c r="NHZ160" s="679"/>
      <c r="NIA160" s="679"/>
      <c r="NIB160" s="679"/>
      <c r="NIC160" s="679"/>
      <c r="NID160" s="679"/>
      <c r="NIE160" s="679"/>
      <c r="NIF160" s="679"/>
      <c r="NIG160" s="679"/>
      <c r="NIH160" s="679"/>
      <c r="NII160" s="679"/>
      <c r="NIJ160" s="679"/>
      <c r="NIK160" s="679"/>
      <c r="NIL160" s="679"/>
      <c r="NIM160" s="679"/>
      <c r="NIN160" s="679"/>
      <c r="NIO160" s="679"/>
      <c r="NIP160" s="679"/>
      <c r="NIQ160" s="679"/>
      <c r="NIR160" s="679"/>
      <c r="NIS160" s="679"/>
      <c r="NIT160" s="679"/>
      <c r="NIU160" s="679"/>
      <c r="NIV160" s="679"/>
      <c r="NIW160" s="679"/>
      <c r="NIX160" s="679"/>
      <c r="NIY160" s="679"/>
      <c r="NIZ160" s="679"/>
      <c r="NJA160" s="679"/>
      <c r="NJB160" s="679"/>
      <c r="NJC160" s="679"/>
      <c r="NJD160" s="679"/>
      <c r="NJE160" s="679"/>
      <c r="NJF160" s="679"/>
      <c r="NJG160" s="679"/>
      <c r="NJH160" s="679"/>
      <c r="NJI160" s="679"/>
      <c r="NJJ160" s="679"/>
      <c r="NJK160" s="679"/>
      <c r="NJL160" s="679"/>
      <c r="NJM160" s="679"/>
      <c r="NJN160" s="679"/>
      <c r="NJO160" s="679"/>
      <c r="NJP160" s="679"/>
      <c r="NJQ160" s="679"/>
      <c r="NJR160" s="679"/>
      <c r="NJS160" s="679"/>
      <c r="NJT160" s="679"/>
      <c r="NJU160" s="679"/>
      <c r="NJV160" s="679"/>
      <c r="NJW160" s="679"/>
      <c r="NJX160" s="679"/>
      <c r="NJY160" s="679"/>
      <c r="NJZ160" s="679"/>
      <c r="NKA160" s="679"/>
      <c r="NKB160" s="679"/>
      <c r="NKC160" s="679"/>
      <c r="NKD160" s="679"/>
      <c r="NKE160" s="679"/>
      <c r="NKF160" s="679"/>
      <c r="NKG160" s="679"/>
      <c r="NKH160" s="679"/>
      <c r="NKI160" s="679"/>
      <c r="NKJ160" s="679"/>
      <c r="NKK160" s="679"/>
      <c r="NKL160" s="679"/>
      <c r="NKM160" s="679"/>
      <c r="NKN160" s="679"/>
      <c r="NKO160" s="679"/>
      <c r="NKP160" s="679"/>
      <c r="NKQ160" s="679"/>
      <c r="NKR160" s="679"/>
      <c r="NKS160" s="679"/>
      <c r="NKT160" s="679"/>
      <c r="NKU160" s="679"/>
      <c r="NKV160" s="679"/>
      <c r="NKW160" s="679"/>
      <c r="NKX160" s="679"/>
      <c r="NKY160" s="679"/>
      <c r="NKZ160" s="679"/>
      <c r="NLA160" s="679"/>
      <c r="NLB160" s="679"/>
      <c r="NLC160" s="679"/>
      <c r="NLD160" s="679"/>
      <c r="NLE160" s="679"/>
      <c r="NLF160" s="679"/>
      <c r="NLG160" s="679"/>
      <c r="NLH160" s="679"/>
      <c r="NLI160" s="679"/>
      <c r="NLJ160" s="679"/>
      <c r="NLK160" s="679"/>
      <c r="NLL160" s="679"/>
      <c r="NLM160" s="679"/>
      <c r="NLN160" s="679"/>
      <c r="NLO160" s="679"/>
      <c r="NLP160" s="679"/>
      <c r="NLQ160" s="679"/>
      <c r="NLR160" s="679"/>
      <c r="NLS160" s="679"/>
      <c r="NLT160" s="679"/>
      <c r="NLU160" s="679"/>
      <c r="NLV160" s="679"/>
      <c r="NLW160" s="679"/>
      <c r="NLX160" s="679"/>
      <c r="NLY160" s="679"/>
      <c r="NLZ160" s="679"/>
      <c r="NMA160" s="679"/>
      <c r="NMB160" s="679"/>
      <c r="NMC160" s="679"/>
      <c r="NMD160" s="679"/>
      <c r="NME160" s="679"/>
      <c r="NMF160" s="679"/>
      <c r="NMG160" s="679"/>
      <c r="NMH160" s="679"/>
      <c r="NMI160" s="679"/>
      <c r="NMJ160" s="679"/>
      <c r="NMK160" s="679"/>
      <c r="NML160" s="679"/>
      <c r="NMM160" s="679"/>
      <c r="NMN160" s="679"/>
      <c r="NMO160" s="679"/>
      <c r="NMP160" s="679"/>
      <c r="NMQ160" s="679"/>
      <c r="NMR160" s="679"/>
      <c r="NMS160" s="679"/>
      <c r="NMT160" s="679"/>
      <c r="NMU160" s="679"/>
      <c r="NMV160" s="679"/>
      <c r="NMW160" s="679"/>
      <c r="NMX160" s="679"/>
      <c r="NMY160" s="679"/>
      <c r="NMZ160" s="679"/>
      <c r="NNA160" s="679"/>
      <c r="NNB160" s="679"/>
      <c r="NNC160" s="679"/>
      <c r="NND160" s="679"/>
      <c r="NNE160" s="679"/>
      <c r="NNF160" s="679"/>
      <c r="NNG160" s="679"/>
      <c r="NNH160" s="679"/>
      <c r="NNI160" s="679"/>
      <c r="NNJ160" s="679"/>
      <c r="NNK160" s="679"/>
      <c r="NNL160" s="679"/>
      <c r="NNM160" s="679"/>
      <c r="NNN160" s="679"/>
      <c r="NNO160" s="679"/>
      <c r="NNP160" s="679"/>
      <c r="NNQ160" s="679"/>
      <c r="NNR160" s="679"/>
      <c r="NNS160" s="679"/>
      <c r="NNT160" s="679"/>
      <c r="NNU160" s="679"/>
      <c r="NNV160" s="679"/>
      <c r="NNW160" s="679"/>
      <c r="NNX160" s="679"/>
      <c r="NNY160" s="679"/>
      <c r="NNZ160" s="679"/>
      <c r="NOA160" s="679"/>
      <c r="NOB160" s="679"/>
      <c r="NOC160" s="679"/>
      <c r="NOD160" s="679"/>
      <c r="NOE160" s="679"/>
      <c r="NOF160" s="679"/>
      <c r="NOG160" s="679"/>
      <c r="NOH160" s="679"/>
      <c r="NOI160" s="679"/>
      <c r="NOJ160" s="679"/>
      <c r="NOK160" s="679"/>
      <c r="NOL160" s="679"/>
      <c r="NOM160" s="679"/>
      <c r="NON160" s="679"/>
      <c r="NOO160" s="679"/>
      <c r="NOP160" s="679"/>
      <c r="NOQ160" s="679"/>
      <c r="NOR160" s="679"/>
      <c r="NOS160" s="679"/>
      <c r="NOT160" s="679"/>
      <c r="NOU160" s="679"/>
      <c r="NOV160" s="679"/>
      <c r="NOW160" s="679"/>
      <c r="NOX160" s="679"/>
      <c r="NOY160" s="679"/>
      <c r="NOZ160" s="679"/>
      <c r="NPA160" s="679"/>
      <c r="NPB160" s="679"/>
      <c r="NPC160" s="679"/>
      <c r="NPD160" s="679"/>
      <c r="NPE160" s="679"/>
      <c r="NPF160" s="679"/>
      <c r="NPG160" s="679"/>
      <c r="NPH160" s="679"/>
      <c r="NPI160" s="679"/>
      <c r="NPJ160" s="679"/>
      <c r="NPK160" s="679"/>
      <c r="NPL160" s="679"/>
      <c r="NPM160" s="679"/>
      <c r="NPN160" s="679"/>
      <c r="NPO160" s="679"/>
      <c r="NPP160" s="679"/>
      <c r="NPQ160" s="679"/>
      <c r="NPR160" s="679"/>
      <c r="NPS160" s="679"/>
      <c r="NPT160" s="679"/>
      <c r="NPU160" s="679"/>
      <c r="NPV160" s="679"/>
      <c r="NPW160" s="679"/>
      <c r="NPX160" s="679"/>
      <c r="NPY160" s="679"/>
      <c r="NPZ160" s="679"/>
      <c r="NQA160" s="679"/>
      <c r="NQB160" s="679"/>
      <c r="NQC160" s="679"/>
      <c r="NQD160" s="679"/>
      <c r="NQE160" s="679"/>
      <c r="NQF160" s="679"/>
      <c r="NQG160" s="679"/>
      <c r="NQH160" s="679"/>
      <c r="NQI160" s="679"/>
      <c r="NQJ160" s="679"/>
      <c r="NQK160" s="679"/>
      <c r="NQL160" s="679"/>
      <c r="NQM160" s="679"/>
      <c r="NQN160" s="679"/>
      <c r="NQO160" s="679"/>
      <c r="NQP160" s="679"/>
      <c r="NQQ160" s="679"/>
      <c r="NQR160" s="679"/>
      <c r="NQS160" s="679"/>
      <c r="NQT160" s="679"/>
      <c r="NQU160" s="679"/>
      <c r="NQV160" s="679"/>
      <c r="NQW160" s="679"/>
      <c r="NQX160" s="679"/>
      <c r="NQY160" s="679"/>
      <c r="NQZ160" s="679"/>
      <c r="NRA160" s="679"/>
      <c r="NRB160" s="679"/>
      <c r="NRC160" s="679"/>
      <c r="NRD160" s="679"/>
      <c r="NRE160" s="679"/>
      <c r="NRF160" s="679"/>
      <c r="NRG160" s="679"/>
      <c r="NRH160" s="679"/>
      <c r="NRI160" s="679"/>
      <c r="NRJ160" s="679"/>
      <c r="NRK160" s="679"/>
      <c r="NRL160" s="679"/>
      <c r="NRM160" s="679"/>
      <c r="NRN160" s="679"/>
      <c r="NRO160" s="679"/>
      <c r="NRP160" s="679"/>
      <c r="NRQ160" s="679"/>
      <c r="NRR160" s="679"/>
      <c r="NRS160" s="679"/>
      <c r="NRT160" s="679"/>
      <c r="NRU160" s="679"/>
      <c r="NRV160" s="679"/>
      <c r="NRW160" s="679"/>
      <c r="NRX160" s="679"/>
      <c r="NRY160" s="679"/>
      <c r="NRZ160" s="679"/>
      <c r="NSA160" s="679"/>
      <c r="NSB160" s="679"/>
      <c r="NSC160" s="679"/>
      <c r="NSD160" s="679"/>
      <c r="NSE160" s="679"/>
      <c r="NSF160" s="679"/>
      <c r="NSG160" s="679"/>
      <c r="NSH160" s="679"/>
      <c r="NSI160" s="679"/>
      <c r="NSJ160" s="679"/>
      <c r="NSK160" s="679"/>
      <c r="NSL160" s="679"/>
      <c r="NSM160" s="679"/>
      <c r="NSN160" s="679"/>
      <c r="NSO160" s="679"/>
      <c r="NSP160" s="679"/>
      <c r="NSQ160" s="679"/>
      <c r="NSR160" s="679"/>
      <c r="NSS160" s="679"/>
      <c r="NST160" s="679"/>
      <c r="NSU160" s="679"/>
      <c r="NSV160" s="679"/>
      <c r="NSW160" s="679"/>
      <c r="NSX160" s="679"/>
      <c r="NSY160" s="679"/>
      <c r="NSZ160" s="679"/>
      <c r="NTA160" s="679"/>
      <c r="NTB160" s="679"/>
      <c r="NTC160" s="679"/>
      <c r="NTD160" s="679"/>
      <c r="NTE160" s="679"/>
      <c r="NTF160" s="679"/>
      <c r="NTG160" s="679"/>
      <c r="NTH160" s="679"/>
      <c r="NTI160" s="679"/>
      <c r="NTJ160" s="679"/>
      <c r="NTK160" s="679"/>
      <c r="NTL160" s="679"/>
      <c r="NTM160" s="679"/>
      <c r="NTN160" s="679"/>
      <c r="NTO160" s="679"/>
      <c r="NTP160" s="679"/>
      <c r="NTQ160" s="679"/>
      <c r="NTR160" s="679"/>
      <c r="NTS160" s="679"/>
      <c r="NTT160" s="679"/>
      <c r="NTU160" s="679"/>
      <c r="NTV160" s="679"/>
      <c r="NTW160" s="679"/>
      <c r="NTX160" s="679"/>
      <c r="NTY160" s="679"/>
      <c r="NTZ160" s="679"/>
      <c r="NUA160" s="679"/>
      <c r="NUB160" s="679"/>
      <c r="NUC160" s="679"/>
      <c r="NUD160" s="679"/>
      <c r="NUE160" s="679"/>
      <c r="NUF160" s="679"/>
      <c r="NUG160" s="679"/>
      <c r="NUH160" s="679"/>
      <c r="NUI160" s="679"/>
      <c r="NUJ160" s="679"/>
      <c r="NUK160" s="679"/>
      <c r="NUL160" s="679"/>
      <c r="NUM160" s="679"/>
      <c r="NUN160" s="679"/>
      <c r="NUO160" s="679"/>
      <c r="NUP160" s="679"/>
      <c r="NUQ160" s="679"/>
      <c r="NUR160" s="679"/>
      <c r="NUS160" s="679"/>
      <c r="NUT160" s="679"/>
      <c r="NUU160" s="679"/>
      <c r="NUV160" s="679"/>
      <c r="NUW160" s="679"/>
      <c r="NUX160" s="679"/>
      <c r="NUY160" s="679"/>
      <c r="NUZ160" s="679"/>
      <c r="NVA160" s="679"/>
      <c r="NVB160" s="679"/>
      <c r="NVC160" s="679"/>
      <c r="NVD160" s="679"/>
      <c r="NVE160" s="679"/>
      <c r="NVF160" s="679"/>
      <c r="NVG160" s="679"/>
      <c r="NVH160" s="679"/>
      <c r="NVI160" s="679"/>
      <c r="NVJ160" s="679"/>
      <c r="NVK160" s="679"/>
      <c r="NVL160" s="679"/>
      <c r="NVM160" s="679"/>
      <c r="NVN160" s="679"/>
      <c r="NVO160" s="679"/>
      <c r="NVP160" s="679"/>
      <c r="NVQ160" s="679"/>
      <c r="NVR160" s="679"/>
      <c r="NVS160" s="679"/>
      <c r="NVT160" s="679"/>
      <c r="NVU160" s="679"/>
      <c r="NVV160" s="679"/>
      <c r="NVW160" s="679"/>
      <c r="NVX160" s="679"/>
      <c r="NVY160" s="679"/>
      <c r="NVZ160" s="679"/>
      <c r="NWA160" s="679"/>
      <c r="NWB160" s="679"/>
      <c r="NWC160" s="679"/>
      <c r="NWD160" s="679"/>
      <c r="NWE160" s="679"/>
      <c r="NWF160" s="679"/>
      <c r="NWG160" s="679"/>
      <c r="NWH160" s="679"/>
      <c r="NWI160" s="679"/>
      <c r="NWJ160" s="679"/>
      <c r="NWK160" s="679"/>
      <c r="NWL160" s="679"/>
      <c r="NWM160" s="679"/>
      <c r="NWN160" s="679"/>
      <c r="NWO160" s="679"/>
      <c r="NWP160" s="679"/>
      <c r="NWQ160" s="679"/>
      <c r="NWR160" s="679"/>
      <c r="NWS160" s="679"/>
      <c r="NWT160" s="679"/>
      <c r="NWU160" s="679"/>
      <c r="NWV160" s="679"/>
      <c r="NWW160" s="679"/>
      <c r="NWX160" s="679"/>
      <c r="NWY160" s="679"/>
      <c r="NWZ160" s="679"/>
      <c r="NXA160" s="679"/>
      <c r="NXB160" s="679"/>
      <c r="NXC160" s="679"/>
      <c r="NXD160" s="679"/>
      <c r="NXE160" s="679"/>
      <c r="NXF160" s="679"/>
      <c r="NXG160" s="679"/>
      <c r="NXH160" s="679"/>
      <c r="NXI160" s="679"/>
      <c r="NXJ160" s="679"/>
      <c r="NXK160" s="679"/>
      <c r="NXL160" s="679"/>
      <c r="NXM160" s="679"/>
      <c r="NXN160" s="679"/>
      <c r="NXO160" s="679"/>
      <c r="NXP160" s="679"/>
      <c r="NXQ160" s="679"/>
      <c r="NXR160" s="679"/>
      <c r="NXS160" s="679"/>
      <c r="NXT160" s="679"/>
      <c r="NXU160" s="679"/>
      <c r="NXV160" s="679"/>
      <c r="NXW160" s="679"/>
      <c r="NXX160" s="679"/>
      <c r="NXY160" s="679"/>
      <c r="NXZ160" s="679"/>
      <c r="NYA160" s="679"/>
      <c r="NYB160" s="679"/>
      <c r="NYC160" s="679"/>
      <c r="NYD160" s="679"/>
      <c r="NYE160" s="679"/>
      <c r="NYF160" s="679"/>
      <c r="NYG160" s="679"/>
      <c r="NYH160" s="679"/>
      <c r="NYI160" s="679"/>
      <c r="NYJ160" s="679"/>
      <c r="NYK160" s="679"/>
      <c r="NYL160" s="679"/>
      <c r="NYM160" s="679"/>
      <c r="NYN160" s="679"/>
      <c r="NYO160" s="679"/>
      <c r="NYP160" s="679"/>
      <c r="NYQ160" s="679"/>
      <c r="NYR160" s="679"/>
      <c r="NYS160" s="679"/>
      <c r="NYT160" s="679"/>
      <c r="NYU160" s="679"/>
      <c r="NYV160" s="679"/>
      <c r="NYW160" s="679"/>
      <c r="NYX160" s="679"/>
      <c r="NYY160" s="679"/>
      <c r="NYZ160" s="679"/>
      <c r="NZA160" s="679"/>
      <c r="NZB160" s="679"/>
      <c r="NZC160" s="679"/>
      <c r="NZD160" s="679"/>
      <c r="NZE160" s="679"/>
      <c r="NZF160" s="679"/>
      <c r="NZG160" s="679"/>
      <c r="NZH160" s="679"/>
      <c r="NZI160" s="679"/>
      <c r="NZJ160" s="679"/>
      <c r="NZK160" s="679"/>
      <c r="NZL160" s="679"/>
      <c r="NZM160" s="679"/>
      <c r="NZN160" s="679"/>
      <c r="NZO160" s="679"/>
      <c r="NZP160" s="679"/>
      <c r="NZQ160" s="679"/>
      <c r="NZR160" s="679"/>
      <c r="NZS160" s="679"/>
      <c r="NZT160" s="679"/>
      <c r="NZU160" s="679"/>
      <c r="NZV160" s="679"/>
      <c r="NZW160" s="679"/>
      <c r="NZX160" s="679"/>
      <c r="NZY160" s="679"/>
      <c r="NZZ160" s="679"/>
      <c r="OAA160" s="679"/>
      <c r="OAB160" s="679"/>
      <c r="OAC160" s="679"/>
      <c r="OAD160" s="679"/>
      <c r="OAE160" s="679"/>
      <c r="OAF160" s="679"/>
      <c r="OAG160" s="679"/>
      <c r="OAH160" s="679"/>
      <c r="OAI160" s="679"/>
      <c r="OAJ160" s="679"/>
      <c r="OAK160" s="679"/>
      <c r="OAL160" s="679"/>
      <c r="OAM160" s="679"/>
      <c r="OAN160" s="679"/>
      <c r="OAO160" s="679"/>
      <c r="OAP160" s="679"/>
      <c r="OAQ160" s="679"/>
      <c r="OAR160" s="679"/>
      <c r="OAS160" s="679"/>
      <c r="OAT160" s="679"/>
      <c r="OAU160" s="679"/>
      <c r="OAV160" s="679"/>
      <c r="OAW160" s="679"/>
      <c r="OAX160" s="679"/>
      <c r="OAY160" s="679"/>
      <c r="OAZ160" s="679"/>
      <c r="OBA160" s="679"/>
      <c r="OBB160" s="679"/>
      <c r="OBC160" s="679"/>
      <c r="OBD160" s="679"/>
      <c r="OBE160" s="679"/>
      <c r="OBF160" s="679"/>
      <c r="OBG160" s="679"/>
      <c r="OBH160" s="679"/>
      <c r="OBI160" s="679"/>
      <c r="OBJ160" s="679"/>
      <c r="OBK160" s="679"/>
      <c r="OBL160" s="679"/>
      <c r="OBM160" s="679"/>
      <c r="OBN160" s="679"/>
      <c r="OBO160" s="679"/>
      <c r="OBP160" s="679"/>
      <c r="OBQ160" s="679"/>
      <c r="OBR160" s="679"/>
      <c r="OBS160" s="679"/>
      <c r="OBT160" s="679"/>
      <c r="OBU160" s="679"/>
      <c r="OBV160" s="679"/>
      <c r="OBW160" s="679"/>
      <c r="OBX160" s="679"/>
      <c r="OBY160" s="679"/>
      <c r="OBZ160" s="679"/>
      <c r="OCA160" s="679"/>
      <c r="OCB160" s="679"/>
      <c r="OCC160" s="679"/>
      <c r="OCD160" s="679"/>
      <c r="OCE160" s="679"/>
      <c r="OCF160" s="679"/>
      <c r="OCG160" s="679"/>
      <c r="OCH160" s="679"/>
      <c r="OCI160" s="679"/>
      <c r="OCJ160" s="679"/>
      <c r="OCK160" s="679"/>
      <c r="OCL160" s="679"/>
      <c r="OCM160" s="679"/>
      <c r="OCN160" s="679"/>
      <c r="OCO160" s="679"/>
      <c r="OCP160" s="679"/>
      <c r="OCQ160" s="679"/>
      <c r="OCR160" s="679"/>
      <c r="OCS160" s="679"/>
      <c r="OCT160" s="679"/>
      <c r="OCU160" s="679"/>
      <c r="OCV160" s="679"/>
      <c r="OCW160" s="679"/>
      <c r="OCX160" s="679"/>
      <c r="OCY160" s="679"/>
      <c r="OCZ160" s="679"/>
      <c r="ODA160" s="679"/>
      <c r="ODB160" s="679"/>
      <c r="ODC160" s="679"/>
      <c r="ODD160" s="679"/>
      <c r="ODE160" s="679"/>
      <c r="ODF160" s="679"/>
      <c r="ODG160" s="679"/>
      <c r="ODH160" s="679"/>
      <c r="ODI160" s="679"/>
      <c r="ODJ160" s="679"/>
      <c r="ODK160" s="679"/>
      <c r="ODL160" s="679"/>
      <c r="ODM160" s="679"/>
      <c r="ODN160" s="679"/>
      <c r="ODO160" s="679"/>
      <c r="ODP160" s="679"/>
      <c r="ODQ160" s="679"/>
      <c r="ODR160" s="679"/>
      <c r="ODS160" s="679"/>
      <c r="ODT160" s="679"/>
      <c r="ODU160" s="679"/>
      <c r="ODV160" s="679"/>
      <c r="ODW160" s="679"/>
      <c r="ODX160" s="679"/>
      <c r="ODY160" s="679"/>
      <c r="ODZ160" s="679"/>
      <c r="OEA160" s="679"/>
      <c r="OEB160" s="679"/>
      <c r="OEC160" s="679"/>
      <c r="OED160" s="679"/>
      <c r="OEE160" s="679"/>
      <c r="OEF160" s="679"/>
      <c r="OEG160" s="679"/>
      <c r="OEH160" s="679"/>
      <c r="OEI160" s="679"/>
      <c r="OEJ160" s="679"/>
      <c r="OEK160" s="679"/>
      <c r="OEL160" s="679"/>
      <c r="OEM160" s="679"/>
      <c r="OEN160" s="679"/>
      <c r="OEO160" s="679"/>
      <c r="OEP160" s="679"/>
      <c r="OEQ160" s="679"/>
      <c r="OER160" s="679"/>
      <c r="OES160" s="679"/>
      <c r="OET160" s="679"/>
      <c r="OEU160" s="679"/>
      <c r="OEV160" s="679"/>
      <c r="OEW160" s="679"/>
      <c r="OEX160" s="679"/>
      <c r="OEY160" s="679"/>
      <c r="OEZ160" s="679"/>
      <c r="OFA160" s="679"/>
      <c r="OFB160" s="679"/>
      <c r="OFC160" s="679"/>
      <c r="OFD160" s="679"/>
      <c r="OFE160" s="679"/>
      <c r="OFF160" s="679"/>
      <c r="OFG160" s="679"/>
      <c r="OFH160" s="679"/>
      <c r="OFI160" s="679"/>
      <c r="OFJ160" s="679"/>
      <c r="OFK160" s="679"/>
      <c r="OFL160" s="679"/>
      <c r="OFM160" s="679"/>
      <c r="OFN160" s="679"/>
      <c r="OFO160" s="679"/>
      <c r="OFP160" s="679"/>
      <c r="OFQ160" s="679"/>
      <c r="OFR160" s="679"/>
      <c r="OFS160" s="679"/>
      <c r="OFT160" s="679"/>
      <c r="OFU160" s="679"/>
      <c r="OFV160" s="679"/>
      <c r="OFW160" s="679"/>
      <c r="OFX160" s="679"/>
      <c r="OFY160" s="679"/>
      <c r="OFZ160" s="679"/>
      <c r="OGA160" s="679"/>
      <c r="OGB160" s="679"/>
      <c r="OGC160" s="679"/>
      <c r="OGD160" s="679"/>
      <c r="OGE160" s="679"/>
      <c r="OGF160" s="679"/>
      <c r="OGG160" s="679"/>
      <c r="OGH160" s="679"/>
      <c r="OGI160" s="679"/>
      <c r="OGJ160" s="679"/>
      <c r="OGK160" s="679"/>
      <c r="OGL160" s="679"/>
      <c r="OGM160" s="679"/>
      <c r="OGN160" s="679"/>
      <c r="OGO160" s="679"/>
      <c r="OGP160" s="679"/>
      <c r="OGQ160" s="679"/>
      <c r="OGR160" s="679"/>
      <c r="OGS160" s="679"/>
      <c r="OGT160" s="679"/>
      <c r="OGU160" s="679"/>
      <c r="OGV160" s="679"/>
      <c r="OGW160" s="679"/>
      <c r="OGX160" s="679"/>
      <c r="OGY160" s="679"/>
      <c r="OGZ160" s="679"/>
      <c r="OHA160" s="679"/>
      <c r="OHB160" s="679"/>
      <c r="OHC160" s="679"/>
      <c r="OHD160" s="679"/>
      <c r="OHE160" s="679"/>
      <c r="OHF160" s="679"/>
      <c r="OHG160" s="679"/>
      <c r="OHH160" s="679"/>
      <c r="OHI160" s="679"/>
      <c r="OHJ160" s="679"/>
      <c r="OHK160" s="679"/>
      <c r="OHL160" s="679"/>
      <c r="OHM160" s="679"/>
      <c r="OHN160" s="679"/>
      <c r="OHO160" s="679"/>
      <c r="OHP160" s="679"/>
      <c r="OHQ160" s="679"/>
      <c r="OHR160" s="679"/>
      <c r="OHS160" s="679"/>
      <c r="OHT160" s="679"/>
      <c r="OHU160" s="679"/>
      <c r="OHV160" s="679"/>
      <c r="OHW160" s="679"/>
      <c r="OHX160" s="679"/>
      <c r="OHY160" s="679"/>
      <c r="OHZ160" s="679"/>
      <c r="OIA160" s="679"/>
      <c r="OIB160" s="679"/>
      <c r="OIC160" s="679"/>
      <c r="OID160" s="679"/>
      <c r="OIE160" s="679"/>
      <c r="OIF160" s="679"/>
      <c r="OIG160" s="679"/>
      <c r="OIH160" s="679"/>
      <c r="OII160" s="679"/>
      <c r="OIJ160" s="679"/>
      <c r="OIK160" s="679"/>
      <c r="OIL160" s="679"/>
      <c r="OIM160" s="679"/>
      <c r="OIN160" s="679"/>
      <c r="OIO160" s="679"/>
      <c r="OIP160" s="679"/>
      <c r="OIQ160" s="679"/>
      <c r="OIR160" s="679"/>
      <c r="OIS160" s="679"/>
      <c r="OIT160" s="679"/>
      <c r="OIU160" s="679"/>
      <c r="OIV160" s="679"/>
      <c r="OIW160" s="679"/>
      <c r="OIX160" s="679"/>
      <c r="OIY160" s="679"/>
      <c r="OIZ160" s="679"/>
      <c r="OJA160" s="679"/>
      <c r="OJB160" s="679"/>
      <c r="OJC160" s="679"/>
      <c r="OJD160" s="679"/>
      <c r="OJE160" s="679"/>
      <c r="OJF160" s="679"/>
      <c r="OJG160" s="679"/>
      <c r="OJH160" s="679"/>
      <c r="OJI160" s="679"/>
      <c r="OJJ160" s="679"/>
      <c r="OJK160" s="679"/>
      <c r="OJL160" s="679"/>
      <c r="OJM160" s="679"/>
      <c r="OJN160" s="679"/>
      <c r="OJO160" s="679"/>
      <c r="OJP160" s="679"/>
      <c r="OJQ160" s="679"/>
      <c r="OJR160" s="679"/>
      <c r="OJS160" s="679"/>
      <c r="OJT160" s="679"/>
      <c r="OJU160" s="679"/>
      <c r="OJV160" s="679"/>
      <c r="OJW160" s="679"/>
      <c r="OJX160" s="679"/>
      <c r="OJY160" s="679"/>
      <c r="OJZ160" s="679"/>
      <c r="OKA160" s="679"/>
      <c r="OKB160" s="679"/>
      <c r="OKC160" s="679"/>
      <c r="OKD160" s="679"/>
      <c r="OKE160" s="679"/>
      <c r="OKF160" s="679"/>
      <c r="OKG160" s="679"/>
      <c r="OKH160" s="679"/>
      <c r="OKI160" s="679"/>
      <c r="OKJ160" s="679"/>
      <c r="OKK160" s="679"/>
      <c r="OKL160" s="679"/>
      <c r="OKM160" s="679"/>
      <c r="OKN160" s="679"/>
      <c r="OKO160" s="679"/>
      <c r="OKP160" s="679"/>
      <c r="OKQ160" s="679"/>
      <c r="OKR160" s="679"/>
      <c r="OKS160" s="679"/>
      <c r="OKT160" s="679"/>
      <c r="OKU160" s="679"/>
      <c r="OKV160" s="679"/>
      <c r="OKW160" s="679"/>
      <c r="OKX160" s="679"/>
      <c r="OKY160" s="679"/>
      <c r="OKZ160" s="679"/>
      <c r="OLA160" s="679"/>
      <c r="OLB160" s="679"/>
      <c r="OLC160" s="679"/>
      <c r="OLD160" s="679"/>
      <c r="OLE160" s="679"/>
      <c r="OLF160" s="679"/>
      <c r="OLG160" s="679"/>
      <c r="OLH160" s="679"/>
      <c r="OLI160" s="679"/>
      <c r="OLJ160" s="679"/>
      <c r="OLK160" s="679"/>
      <c r="OLL160" s="679"/>
      <c r="OLM160" s="679"/>
      <c r="OLN160" s="679"/>
      <c r="OLO160" s="679"/>
      <c r="OLP160" s="679"/>
      <c r="OLQ160" s="679"/>
      <c r="OLR160" s="679"/>
      <c r="OLS160" s="679"/>
      <c r="OLT160" s="679"/>
      <c r="OLU160" s="679"/>
      <c r="OLV160" s="679"/>
      <c r="OLW160" s="679"/>
      <c r="OLX160" s="679"/>
      <c r="OLY160" s="679"/>
      <c r="OLZ160" s="679"/>
      <c r="OMA160" s="679"/>
      <c r="OMB160" s="679"/>
      <c r="OMC160" s="679"/>
      <c r="OMD160" s="679"/>
      <c r="OME160" s="679"/>
      <c r="OMF160" s="679"/>
      <c r="OMG160" s="679"/>
      <c r="OMH160" s="679"/>
      <c r="OMI160" s="679"/>
      <c r="OMJ160" s="679"/>
      <c r="OMK160" s="679"/>
      <c r="OML160" s="679"/>
      <c r="OMM160" s="679"/>
      <c r="OMN160" s="679"/>
      <c r="OMO160" s="679"/>
      <c r="OMP160" s="679"/>
      <c r="OMQ160" s="679"/>
      <c r="OMR160" s="679"/>
      <c r="OMS160" s="679"/>
      <c r="OMT160" s="679"/>
      <c r="OMU160" s="679"/>
      <c r="OMV160" s="679"/>
      <c r="OMW160" s="679"/>
      <c r="OMX160" s="679"/>
      <c r="OMY160" s="679"/>
      <c r="OMZ160" s="679"/>
      <c r="ONA160" s="679"/>
      <c r="ONB160" s="679"/>
      <c r="ONC160" s="679"/>
      <c r="OND160" s="679"/>
      <c r="ONE160" s="679"/>
      <c r="ONF160" s="679"/>
      <c r="ONG160" s="679"/>
      <c r="ONH160" s="679"/>
      <c r="ONI160" s="679"/>
      <c r="ONJ160" s="679"/>
      <c r="ONK160" s="679"/>
      <c r="ONL160" s="679"/>
      <c r="ONM160" s="679"/>
      <c r="ONN160" s="679"/>
      <c r="ONO160" s="679"/>
      <c r="ONP160" s="679"/>
      <c r="ONQ160" s="679"/>
      <c r="ONR160" s="679"/>
      <c r="ONS160" s="679"/>
      <c r="ONT160" s="679"/>
      <c r="ONU160" s="679"/>
      <c r="ONV160" s="679"/>
      <c r="ONW160" s="679"/>
      <c r="ONX160" s="679"/>
      <c r="ONY160" s="679"/>
      <c r="ONZ160" s="679"/>
      <c r="OOA160" s="679"/>
      <c r="OOB160" s="679"/>
      <c r="OOC160" s="679"/>
      <c r="OOD160" s="679"/>
      <c r="OOE160" s="679"/>
      <c r="OOF160" s="679"/>
      <c r="OOG160" s="679"/>
      <c r="OOH160" s="679"/>
      <c r="OOI160" s="679"/>
      <c r="OOJ160" s="679"/>
      <c r="OOK160" s="679"/>
      <c r="OOL160" s="679"/>
      <c r="OOM160" s="679"/>
      <c r="OON160" s="679"/>
      <c r="OOO160" s="679"/>
      <c r="OOP160" s="679"/>
      <c r="OOQ160" s="679"/>
      <c r="OOR160" s="679"/>
      <c r="OOS160" s="679"/>
      <c r="OOT160" s="679"/>
      <c r="OOU160" s="679"/>
      <c r="OOV160" s="679"/>
      <c r="OOW160" s="679"/>
      <c r="OOX160" s="679"/>
      <c r="OOY160" s="679"/>
      <c r="OOZ160" s="679"/>
      <c r="OPA160" s="679"/>
      <c r="OPB160" s="679"/>
      <c r="OPC160" s="679"/>
      <c r="OPD160" s="679"/>
      <c r="OPE160" s="679"/>
      <c r="OPF160" s="679"/>
      <c r="OPG160" s="679"/>
      <c r="OPH160" s="679"/>
      <c r="OPI160" s="679"/>
      <c r="OPJ160" s="679"/>
      <c r="OPK160" s="679"/>
      <c r="OPL160" s="679"/>
      <c r="OPM160" s="679"/>
      <c r="OPN160" s="679"/>
      <c r="OPO160" s="679"/>
      <c r="OPP160" s="679"/>
      <c r="OPQ160" s="679"/>
      <c r="OPR160" s="679"/>
      <c r="OPS160" s="679"/>
      <c r="OPT160" s="679"/>
      <c r="OPU160" s="679"/>
      <c r="OPV160" s="679"/>
      <c r="OPW160" s="679"/>
      <c r="OPX160" s="679"/>
      <c r="OPY160" s="679"/>
      <c r="OPZ160" s="679"/>
      <c r="OQA160" s="679"/>
      <c r="OQB160" s="679"/>
      <c r="OQC160" s="679"/>
      <c r="OQD160" s="679"/>
      <c r="OQE160" s="679"/>
      <c r="OQF160" s="679"/>
      <c r="OQG160" s="679"/>
      <c r="OQH160" s="679"/>
      <c r="OQI160" s="679"/>
      <c r="OQJ160" s="679"/>
      <c r="OQK160" s="679"/>
      <c r="OQL160" s="679"/>
      <c r="OQM160" s="679"/>
      <c r="OQN160" s="679"/>
      <c r="OQO160" s="679"/>
      <c r="OQP160" s="679"/>
      <c r="OQQ160" s="679"/>
      <c r="OQR160" s="679"/>
      <c r="OQS160" s="679"/>
      <c r="OQT160" s="679"/>
      <c r="OQU160" s="679"/>
      <c r="OQV160" s="679"/>
      <c r="OQW160" s="679"/>
      <c r="OQX160" s="679"/>
      <c r="OQY160" s="679"/>
      <c r="OQZ160" s="679"/>
      <c r="ORA160" s="679"/>
      <c r="ORB160" s="679"/>
      <c r="ORC160" s="679"/>
      <c r="ORD160" s="679"/>
      <c r="ORE160" s="679"/>
      <c r="ORF160" s="679"/>
      <c r="ORG160" s="679"/>
      <c r="ORH160" s="679"/>
      <c r="ORI160" s="679"/>
      <c r="ORJ160" s="679"/>
      <c r="ORK160" s="679"/>
      <c r="ORL160" s="679"/>
      <c r="ORM160" s="679"/>
      <c r="ORN160" s="679"/>
      <c r="ORO160" s="679"/>
      <c r="ORP160" s="679"/>
      <c r="ORQ160" s="679"/>
      <c r="ORR160" s="679"/>
      <c r="ORS160" s="679"/>
      <c r="ORT160" s="679"/>
      <c r="ORU160" s="679"/>
      <c r="ORV160" s="679"/>
      <c r="ORW160" s="679"/>
      <c r="ORX160" s="679"/>
      <c r="ORY160" s="679"/>
      <c r="ORZ160" s="679"/>
      <c r="OSA160" s="679"/>
      <c r="OSB160" s="679"/>
      <c r="OSC160" s="679"/>
      <c r="OSD160" s="679"/>
      <c r="OSE160" s="679"/>
      <c r="OSF160" s="679"/>
      <c r="OSG160" s="679"/>
      <c r="OSH160" s="679"/>
      <c r="OSI160" s="679"/>
      <c r="OSJ160" s="679"/>
      <c r="OSK160" s="679"/>
      <c r="OSL160" s="679"/>
      <c r="OSM160" s="679"/>
      <c r="OSN160" s="679"/>
      <c r="OSO160" s="679"/>
      <c r="OSP160" s="679"/>
      <c r="OSQ160" s="679"/>
      <c r="OSR160" s="679"/>
      <c r="OSS160" s="679"/>
      <c r="OST160" s="679"/>
      <c r="OSU160" s="679"/>
      <c r="OSV160" s="679"/>
      <c r="OSW160" s="679"/>
      <c r="OSX160" s="679"/>
      <c r="OSY160" s="679"/>
      <c r="OSZ160" s="679"/>
      <c r="OTA160" s="679"/>
      <c r="OTB160" s="679"/>
      <c r="OTC160" s="679"/>
      <c r="OTD160" s="679"/>
      <c r="OTE160" s="679"/>
      <c r="OTF160" s="679"/>
      <c r="OTG160" s="679"/>
      <c r="OTH160" s="679"/>
      <c r="OTI160" s="679"/>
      <c r="OTJ160" s="679"/>
      <c r="OTK160" s="679"/>
      <c r="OTL160" s="679"/>
      <c r="OTM160" s="679"/>
      <c r="OTN160" s="679"/>
      <c r="OTO160" s="679"/>
      <c r="OTP160" s="679"/>
      <c r="OTQ160" s="679"/>
      <c r="OTR160" s="679"/>
      <c r="OTS160" s="679"/>
      <c r="OTT160" s="679"/>
      <c r="OTU160" s="679"/>
      <c r="OTV160" s="679"/>
      <c r="OTW160" s="679"/>
      <c r="OTX160" s="679"/>
      <c r="OTY160" s="679"/>
      <c r="OTZ160" s="679"/>
      <c r="OUA160" s="679"/>
      <c r="OUB160" s="679"/>
      <c r="OUC160" s="679"/>
      <c r="OUD160" s="679"/>
      <c r="OUE160" s="679"/>
      <c r="OUF160" s="679"/>
      <c r="OUG160" s="679"/>
      <c r="OUH160" s="679"/>
      <c r="OUI160" s="679"/>
      <c r="OUJ160" s="679"/>
      <c r="OUK160" s="679"/>
      <c r="OUL160" s="679"/>
      <c r="OUM160" s="679"/>
      <c r="OUN160" s="679"/>
      <c r="OUO160" s="679"/>
      <c r="OUP160" s="679"/>
      <c r="OUQ160" s="679"/>
      <c r="OUR160" s="679"/>
      <c r="OUS160" s="679"/>
      <c r="OUT160" s="679"/>
      <c r="OUU160" s="679"/>
      <c r="OUV160" s="679"/>
      <c r="OUW160" s="679"/>
      <c r="OUX160" s="679"/>
      <c r="OUY160" s="679"/>
      <c r="OUZ160" s="679"/>
      <c r="OVA160" s="679"/>
      <c r="OVB160" s="679"/>
      <c r="OVC160" s="679"/>
      <c r="OVD160" s="679"/>
      <c r="OVE160" s="679"/>
      <c r="OVF160" s="679"/>
      <c r="OVG160" s="679"/>
      <c r="OVH160" s="679"/>
      <c r="OVI160" s="679"/>
      <c r="OVJ160" s="679"/>
      <c r="OVK160" s="679"/>
      <c r="OVL160" s="679"/>
      <c r="OVM160" s="679"/>
      <c r="OVN160" s="679"/>
      <c r="OVO160" s="679"/>
      <c r="OVP160" s="679"/>
      <c r="OVQ160" s="679"/>
      <c r="OVR160" s="679"/>
      <c r="OVS160" s="679"/>
      <c r="OVT160" s="679"/>
      <c r="OVU160" s="679"/>
      <c r="OVV160" s="679"/>
      <c r="OVW160" s="679"/>
      <c r="OVX160" s="679"/>
      <c r="OVY160" s="679"/>
      <c r="OVZ160" s="679"/>
      <c r="OWA160" s="679"/>
      <c r="OWB160" s="679"/>
      <c r="OWC160" s="679"/>
      <c r="OWD160" s="679"/>
      <c r="OWE160" s="679"/>
      <c r="OWF160" s="679"/>
      <c r="OWG160" s="679"/>
      <c r="OWH160" s="679"/>
      <c r="OWI160" s="679"/>
      <c r="OWJ160" s="679"/>
      <c r="OWK160" s="679"/>
      <c r="OWL160" s="679"/>
      <c r="OWM160" s="679"/>
      <c r="OWN160" s="679"/>
      <c r="OWO160" s="679"/>
      <c r="OWP160" s="679"/>
      <c r="OWQ160" s="679"/>
      <c r="OWR160" s="679"/>
      <c r="OWS160" s="679"/>
      <c r="OWT160" s="679"/>
      <c r="OWU160" s="679"/>
      <c r="OWV160" s="679"/>
      <c r="OWW160" s="679"/>
      <c r="OWX160" s="679"/>
      <c r="OWY160" s="679"/>
      <c r="OWZ160" s="679"/>
      <c r="OXA160" s="679"/>
      <c r="OXB160" s="679"/>
      <c r="OXC160" s="679"/>
      <c r="OXD160" s="679"/>
      <c r="OXE160" s="679"/>
      <c r="OXF160" s="679"/>
      <c r="OXG160" s="679"/>
      <c r="OXH160" s="679"/>
      <c r="OXI160" s="679"/>
      <c r="OXJ160" s="679"/>
      <c r="OXK160" s="679"/>
      <c r="OXL160" s="679"/>
      <c r="OXM160" s="679"/>
      <c r="OXN160" s="679"/>
      <c r="OXO160" s="679"/>
      <c r="OXP160" s="679"/>
      <c r="OXQ160" s="679"/>
      <c r="OXR160" s="679"/>
      <c r="OXS160" s="679"/>
      <c r="OXT160" s="679"/>
      <c r="OXU160" s="679"/>
      <c r="OXV160" s="679"/>
      <c r="OXW160" s="679"/>
      <c r="OXX160" s="679"/>
      <c r="OXY160" s="679"/>
      <c r="OXZ160" s="679"/>
      <c r="OYA160" s="679"/>
      <c r="OYB160" s="679"/>
      <c r="OYC160" s="679"/>
      <c r="OYD160" s="679"/>
      <c r="OYE160" s="679"/>
      <c r="OYF160" s="679"/>
      <c r="OYG160" s="679"/>
      <c r="OYH160" s="679"/>
      <c r="OYI160" s="679"/>
      <c r="OYJ160" s="679"/>
      <c r="OYK160" s="679"/>
      <c r="OYL160" s="679"/>
      <c r="OYM160" s="679"/>
      <c r="OYN160" s="679"/>
      <c r="OYO160" s="679"/>
      <c r="OYP160" s="679"/>
      <c r="OYQ160" s="679"/>
      <c r="OYR160" s="679"/>
      <c r="OYS160" s="679"/>
      <c r="OYT160" s="679"/>
      <c r="OYU160" s="679"/>
      <c r="OYV160" s="679"/>
      <c r="OYW160" s="679"/>
      <c r="OYX160" s="679"/>
      <c r="OYY160" s="679"/>
      <c r="OYZ160" s="679"/>
      <c r="OZA160" s="679"/>
      <c r="OZB160" s="679"/>
      <c r="OZC160" s="679"/>
      <c r="OZD160" s="679"/>
      <c r="OZE160" s="679"/>
      <c r="OZF160" s="679"/>
      <c r="OZG160" s="679"/>
      <c r="OZH160" s="679"/>
      <c r="OZI160" s="679"/>
      <c r="OZJ160" s="679"/>
      <c r="OZK160" s="679"/>
      <c r="OZL160" s="679"/>
      <c r="OZM160" s="679"/>
      <c r="OZN160" s="679"/>
      <c r="OZO160" s="679"/>
      <c r="OZP160" s="679"/>
      <c r="OZQ160" s="679"/>
      <c r="OZR160" s="679"/>
      <c r="OZS160" s="679"/>
      <c r="OZT160" s="679"/>
      <c r="OZU160" s="679"/>
      <c r="OZV160" s="679"/>
      <c r="OZW160" s="679"/>
      <c r="OZX160" s="679"/>
      <c r="OZY160" s="679"/>
      <c r="OZZ160" s="679"/>
      <c r="PAA160" s="679"/>
      <c r="PAB160" s="679"/>
      <c r="PAC160" s="679"/>
      <c r="PAD160" s="679"/>
      <c r="PAE160" s="679"/>
      <c r="PAF160" s="679"/>
      <c r="PAG160" s="679"/>
      <c r="PAH160" s="679"/>
      <c r="PAI160" s="679"/>
      <c r="PAJ160" s="679"/>
      <c r="PAK160" s="679"/>
      <c r="PAL160" s="679"/>
      <c r="PAM160" s="679"/>
      <c r="PAN160" s="679"/>
      <c r="PAO160" s="679"/>
      <c r="PAP160" s="679"/>
      <c r="PAQ160" s="679"/>
      <c r="PAR160" s="679"/>
      <c r="PAS160" s="679"/>
      <c r="PAT160" s="679"/>
      <c r="PAU160" s="679"/>
      <c r="PAV160" s="679"/>
      <c r="PAW160" s="679"/>
      <c r="PAX160" s="679"/>
      <c r="PAY160" s="679"/>
      <c r="PAZ160" s="679"/>
      <c r="PBA160" s="679"/>
      <c r="PBB160" s="679"/>
      <c r="PBC160" s="679"/>
      <c r="PBD160" s="679"/>
      <c r="PBE160" s="679"/>
      <c r="PBF160" s="679"/>
      <c r="PBG160" s="679"/>
      <c r="PBH160" s="679"/>
      <c r="PBI160" s="679"/>
      <c r="PBJ160" s="679"/>
      <c r="PBK160" s="679"/>
      <c r="PBL160" s="679"/>
      <c r="PBM160" s="679"/>
      <c r="PBN160" s="679"/>
      <c r="PBO160" s="679"/>
      <c r="PBP160" s="679"/>
      <c r="PBQ160" s="679"/>
      <c r="PBR160" s="679"/>
      <c r="PBS160" s="679"/>
      <c r="PBT160" s="679"/>
      <c r="PBU160" s="679"/>
      <c r="PBV160" s="679"/>
      <c r="PBW160" s="679"/>
      <c r="PBX160" s="679"/>
      <c r="PBY160" s="679"/>
      <c r="PBZ160" s="679"/>
      <c r="PCA160" s="679"/>
      <c r="PCB160" s="679"/>
      <c r="PCC160" s="679"/>
      <c r="PCD160" s="679"/>
      <c r="PCE160" s="679"/>
      <c r="PCF160" s="679"/>
      <c r="PCG160" s="679"/>
      <c r="PCH160" s="679"/>
      <c r="PCI160" s="679"/>
      <c r="PCJ160" s="679"/>
      <c r="PCK160" s="679"/>
      <c r="PCL160" s="679"/>
      <c r="PCM160" s="679"/>
      <c r="PCN160" s="679"/>
      <c r="PCO160" s="679"/>
      <c r="PCP160" s="679"/>
      <c r="PCQ160" s="679"/>
      <c r="PCR160" s="679"/>
      <c r="PCS160" s="679"/>
      <c r="PCT160" s="679"/>
      <c r="PCU160" s="679"/>
      <c r="PCV160" s="679"/>
      <c r="PCW160" s="679"/>
      <c r="PCX160" s="679"/>
      <c r="PCY160" s="679"/>
      <c r="PCZ160" s="679"/>
      <c r="PDA160" s="679"/>
      <c r="PDB160" s="679"/>
      <c r="PDC160" s="679"/>
      <c r="PDD160" s="679"/>
      <c r="PDE160" s="679"/>
      <c r="PDF160" s="679"/>
      <c r="PDG160" s="679"/>
      <c r="PDH160" s="679"/>
      <c r="PDI160" s="679"/>
      <c r="PDJ160" s="679"/>
      <c r="PDK160" s="679"/>
      <c r="PDL160" s="679"/>
      <c r="PDM160" s="679"/>
      <c r="PDN160" s="679"/>
      <c r="PDO160" s="679"/>
      <c r="PDP160" s="679"/>
      <c r="PDQ160" s="679"/>
      <c r="PDR160" s="679"/>
      <c r="PDS160" s="679"/>
      <c r="PDT160" s="679"/>
      <c r="PDU160" s="679"/>
      <c r="PDV160" s="679"/>
      <c r="PDW160" s="679"/>
      <c r="PDX160" s="679"/>
      <c r="PDY160" s="679"/>
      <c r="PDZ160" s="679"/>
      <c r="PEA160" s="679"/>
      <c r="PEB160" s="679"/>
      <c r="PEC160" s="679"/>
      <c r="PED160" s="679"/>
      <c r="PEE160" s="679"/>
      <c r="PEF160" s="679"/>
      <c r="PEG160" s="679"/>
      <c r="PEH160" s="679"/>
      <c r="PEI160" s="679"/>
      <c r="PEJ160" s="679"/>
      <c r="PEK160" s="679"/>
      <c r="PEL160" s="679"/>
      <c r="PEM160" s="679"/>
      <c r="PEN160" s="679"/>
      <c r="PEO160" s="679"/>
      <c r="PEP160" s="679"/>
      <c r="PEQ160" s="679"/>
      <c r="PER160" s="679"/>
      <c r="PES160" s="679"/>
      <c r="PET160" s="679"/>
      <c r="PEU160" s="679"/>
      <c r="PEV160" s="679"/>
      <c r="PEW160" s="679"/>
      <c r="PEX160" s="679"/>
      <c r="PEY160" s="679"/>
      <c r="PEZ160" s="679"/>
      <c r="PFA160" s="679"/>
      <c r="PFB160" s="679"/>
      <c r="PFC160" s="679"/>
      <c r="PFD160" s="679"/>
      <c r="PFE160" s="679"/>
      <c r="PFF160" s="679"/>
      <c r="PFG160" s="679"/>
      <c r="PFH160" s="679"/>
      <c r="PFI160" s="679"/>
      <c r="PFJ160" s="679"/>
      <c r="PFK160" s="679"/>
      <c r="PFL160" s="679"/>
      <c r="PFM160" s="679"/>
      <c r="PFN160" s="679"/>
      <c r="PFO160" s="679"/>
      <c r="PFP160" s="679"/>
      <c r="PFQ160" s="679"/>
      <c r="PFR160" s="679"/>
      <c r="PFS160" s="679"/>
      <c r="PFT160" s="679"/>
      <c r="PFU160" s="679"/>
      <c r="PFV160" s="679"/>
      <c r="PFW160" s="679"/>
      <c r="PFX160" s="679"/>
      <c r="PFY160" s="679"/>
      <c r="PFZ160" s="679"/>
      <c r="PGA160" s="679"/>
      <c r="PGB160" s="679"/>
      <c r="PGC160" s="679"/>
      <c r="PGD160" s="679"/>
      <c r="PGE160" s="679"/>
      <c r="PGF160" s="679"/>
      <c r="PGG160" s="679"/>
      <c r="PGH160" s="679"/>
      <c r="PGI160" s="679"/>
      <c r="PGJ160" s="679"/>
      <c r="PGK160" s="679"/>
      <c r="PGL160" s="679"/>
      <c r="PGM160" s="679"/>
      <c r="PGN160" s="679"/>
      <c r="PGO160" s="679"/>
      <c r="PGP160" s="679"/>
      <c r="PGQ160" s="679"/>
      <c r="PGR160" s="679"/>
      <c r="PGS160" s="679"/>
      <c r="PGT160" s="679"/>
      <c r="PGU160" s="679"/>
      <c r="PGV160" s="679"/>
      <c r="PGW160" s="679"/>
      <c r="PGX160" s="679"/>
      <c r="PGY160" s="679"/>
      <c r="PGZ160" s="679"/>
      <c r="PHA160" s="679"/>
      <c r="PHB160" s="679"/>
      <c r="PHC160" s="679"/>
      <c r="PHD160" s="679"/>
      <c r="PHE160" s="679"/>
      <c r="PHF160" s="679"/>
      <c r="PHG160" s="679"/>
      <c r="PHH160" s="679"/>
      <c r="PHI160" s="679"/>
      <c r="PHJ160" s="679"/>
      <c r="PHK160" s="679"/>
      <c r="PHL160" s="679"/>
      <c r="PHM160" s="679"/>
      <c r="PHN160" s="679"/>
      <c r="PHO160" s="679"/>
      <c r="PHP160" s="679"/>
      <c r="PHQ160" s="679"/>
      <c r="PHR160" s="679"/>
      <c r="PHS160" s="679"/>
      <c r="PHT160" s="679"/>
      <c r="PHU160" s="679"/>
      <c r="PHV160" s="679"/>
      <c r="PHW160" s="679"/>
      <c r="PHX160" s="679"/>
      <c r="PHY160" s="679"/>
      <c r="PHZ160" s="679"/>
      <c r="PIA160" s="679"/>
      <c r="PIB160" s="679"/>
      <c r="PIC160" s="679"/>
      <c r="PID160" s="679"/>
      <c r="PIE160" s="679"/>
      <c r="PIF160" s="679"/>
      <c r="PIG160" s="679"/>
      <c r="PIH160" s="679"/>
      <c r="PII160" s="679"/>
      <c r="PIJ160" s="679"/>
      <c r="PIK160" s="679"/>
      <c r="PIL160" s="679"/>
      <c r="PIM160" s="679"/>
      <c r="PIN160" s="679"/>
      <c r="PIO160" s="679"/>
      <c r="PIP160" s="679"/>
      <c r="PIQ160" s="679"/>
      <c r="PIR160" s="679"/>
      <c r="PIS160" s="679"/>
      <c r="PIT160" s="679"/>
      <c r="PIU160" s="679"/>
      <c r="PIV160" s="679"/>
      <c r="PIW160" s="679"/>
      <c r="PIX160" s="679"/>
      <c r="PIY160" s="679"/>
      <c r="PIZ160" s="679"/>
      <c r="PJA160" s="679"/>
      <c r="PJB160" s="679"/>
      <c r="PJC160" s="679"/>
      <c r="PJD160" s="679"/>
      <c r="PJE160" s="679"/>
      <c r="PJF160" s="679"/>
      <c r="PJG160" s="679"/>
      <c r="PJH160" s="679"/>
      <c r="PJI160" s="679"/>
      <c r="PJJ160" s="679"/>
      <c r="PJK160" s="679"/>
      <c r="PJL160" s="679"/>
      <c r="PJM160" s="679"/>
      <c r="PJN160" s="679"/>
      <c r="PJO160" s="679"/>
      <c r="PJP160" s="679"/>
      <c r="PJQ160" s="679"/>
      <c r="PJR160" s="679"/>
      <c r="PJS160" s="679"/>
      <c r="PJT160" s="679"/>
      <c r="PJU160" s="679"/>
      <c r="PJV160" s="679"/>
      <c r="PJW160" s="679"/>
      <c r="PJX160" s="679"/>
      <c r="PJY160" s="679"/>
      <c r="PJZ160" s="679"/>
      <c r="PKA160" s="679"/>
      <c r="PKB160" s="679"/>
      <c r="PKC160" s="679"/>
      <c r="PKD160" s="679"/>
      <c r="PKE160" s="679"/>
      <c r="PKF160" s="679"/>
      <c r="PKG160" s="679"/>
      <c r="PKH160" s="679"/>
      <c r="PKI160" s="679"/>
      <c r="PKJ160" s="679"/>
      <c r="PKK160" s="679"/>
      <c r="PKL160" s="679"/>
      <c r="PKM160" s="679"/>
      <c r="PKN160" s="679"/>
      <c r="PKO160" s="679"/>
      <c r="PKP160" s="679"/>
      <c r="PKQ160" s="679"/>
      <c r="PKR160" s="679"/>
      <c r="PKS160" s="679"/>
      <c r="PKT160" s="679"/>
      <c r="PKU160" s="679"/>
      <c r="PKV160" s="679"/>
      <c r="PKW160" s="679"/>
      <c r="PKX160" s="679"/>
      <c r="PKY160" s="679"/>
      <c r="PKZ160" s="679"/>
      <c r="PLA160" s="679"/>
      <c r="PLB160" s="679"/>
      <c r="PLC160" s="679"/>
      <c r="PLD160" s="679"/>
      <c r="PLE160" s="679"/>
      <c r="PLF160" s="679"/>
      <c r="PLG160" s="679"/>
      <c r="PLH160" s="679"/>
      <c r="PLI160" s="679"/>
      <c r="PLJ160" s="679"/>
      <c r="PLK160" s="679"/>
      <c r="PLL160" s="679"/>
      <c r="PLM160" s="679"/>
      <c r="PLN160" s="679"/>
      <c r="PLO160" s="679"/>
      <c r="PLP160" s="679"/>
      <c r="PLQ160" s="679"/>
      <c r="PLR160" s="679"/>
      <c r="PLS160" s="679"/>
      <c r="PLT160" s="679"/>
      <c r="PLU160" s="679"/>
      <c r="PLV160" s="679"/>
      <c r="PLW160" s="679"/>
      <c r="PLX160" s="679"/>
      <c r="PLY160" s="679"/>
      <c r="PLZ160" s="679"/>
      <c r="PMA160" s="679"/>
      <c r="PMB160" s="679"/>
      <c r="PMC160" s="679"/>
      <c r="PMD160" s="679"/>
      <c r="PME160" s="679"/>
      <c r="PMF160" s="679"/>
      <c r="PMG160" s="679"/>
      <c r="PMH160" s="679"/>
      <c r="PMI160" s="679"/>
      <c r="PMJ160" s="679"/>
      <c r="PMK160" s="679"/>
      <c r="PML160" s="679"/>
      <c r="PMM160" s="679"/>
      <c r="PMN160" s="679"/>
      <c r="PMO160" s="679"/>
      <c r="PMP160" s="679"/>
      <c r="PMQ160" s="679"/>
      <c r="PMR160" s="679"/>
      <c r="PMS160" s="679"/>
      <c r="PMT160" s="679"/>
      <c r="PMU160" s="679"/>
      <c r="PMV160" s="679"/>
      <c r="PMW160" s="679"/>
      <c r="PMX160" s="679"/>
      <c r="PMY160" s="679"/>
      <c r="PMZ160" s="679"/>
      <c r="PNA160" s="679"/>
      <c r="PNB160" s="679"/>
      <c r="PNC160" s="679"/>
      <c r="PND160" s="679"/>
      <c r="PNE160" s="679"/>
      <c r="PNF160" s="679"/>
      <c r="PNG160" s="679"/>
      <c r="PNH160" s="679"/>
      <c r="PNI160" s="679"/>
      <c r="PNJ160" s="679"/>
      <c r="PNK160" s="679"/>
      <c r="PNL160" s="679"/>
      <c r="PNM160" s="679"/>
      <c r="PNN160" s="679"/>
      <c r="PNO160" s="679"/>
      <c r="PNP160" s="679"/>
      <c r="PNQ160" s="679"/>
      <c r="PNR160" s="679"/>
      <c r="PNS160" s="679"/>
      <c r="PNT160" s="679"/>
      <c r="PNU160" s="679"/>
      <c r="PNV160" s="679"/>
      <c r="PNW160" s="679"/>
      <c r="PNX160" s="679"/>
      <c r="PNY160" s="679"/>
      <c r="PNZ160" s="679"/>
      <c r="POA160" s="679"/>
      <c r="POB160" s="679"/>
      <c r="POC160" s="679"/>
      <c r="POD160" s="679"/>
      <c r="POE160" s="679"/>
      <c r="POF160" s="679"/>
      <c r="POG160" s="679"/>
      <c r="POH160" s="679"/>
      <c r="POI160" s="679"/>
      <c r="POJ160" s="679"/>
      <c r="POK160" s="679"/>
      <c r="POL160" s="679"/>
      <c r="POM160" s="679"/>
      <c r="PON160" s="679"/>
      <c r="POO160" s="679"/>
      <c r="POP160" s="679"/>
      <c r="POQ160" s="679"/>
      <c r="POR160" s="679"/>
      <c r="POS160" s="679"/>
      <c r="POT160" s="679"/>
      <c r="POU160" s="679"/>
      <c r="POV160" s="679"/>
      <c r="POW160" s="679"/>
      <c r="POX160" s="679"/>
      <c r="POY160" s="679"/>
      <c r="POZ160" s="679"/>
      <c r="PPA160" s="679"/>
      <c r="PPB160" s="679"/>
      <c r="PPC160" s="679"/>
      <c r="PPD160" s="679"/>
      <c r="PPE160" s="679"/>
      <c r="PPF160" s="679"/>
      <c r="PPG160" s="679"/>
      <c r="PPH160" s="679"/>
      <c r="PPI160" s="679"/>
      <c r="PPJ160" s="679"/>
      <c r="PPK160" s="679"/>
      <c r="PPL160" s="679"/>
      <c r="PPM160" s="679"/>
      <c r="PPN160" s="679"/>
      <c r="PPO160" s="679"/>
      <c r="PPP160" s="679"/>
      <c r="PPQ160" s="679"/>
      <c r="PPR160" s="679"/>
      <c r="PPS160" s="679"/>
      <c r="PPT160" s="679"/>
      <c r="PPU160" s="679"/>
      <c r="PPV160" s="679"/>
      <c r="PPW160" s="679"/>
      <c r="PPX160" s="679"/>
      <c r="PPY160" s="679"/>
      <c r="PPZ160" s="679"/>
      <c r="PQA160" s="679"/>
      <c r="PQB160" s="679"/>
      <c r="PQC160" s="679"/>
      <c r="PQD160" s="679"/>
      <c r="PQE160" s="679"/>
      <c r="PQF160" s="679"/>
      <c r="PQG160" s="679"/>
      <c r="PQH160" s="679"/>
      <c r="PQI160" s="679"/>
      <c r="PQJ160" s="679"/>
      <c r="PQK160" s="679"/>
      <c r="PQL160" s="679"/>
      <c r="PQM160" s="679"/>
      <c r="PQN160" s="679"/>
      <c r="PQO160" s="679"/>
      <c r="PQP160" s="679"/>
      <c r="PQQ160" s="679"/>
      <c r="PQR160" s="679"/>
      <c r="PQS160" s="679"/>
      <c r="PQT160" s="679"/>
      <c r="PQU160" s="679"/>
      <c r="PQV160" s="679"/>
      <c r="PQW160" s="679"/>
      <c r="PQX160" s="679"/>
      <c r="PQY160" s="679"/>
      <c r="PQZ160" s="679"/>
      <c r="PRA160" s="679"/>
      <c r="PRB160" s="679"/>
      <c r="PRC160" s="679"/>
      <c r="PRD160" s="679"/>
      <c r="PRE160" s="679"/>
      <c r="PRF160" s="679"/>
      <c r="PRG160" s="679"/>
      <c r="PRH160" s="679"/>
      <c r="PRI160" s="679"/>
      <c r="PRJ160" s="679"/>
      <c r="PRK160" s="679"/>
      <c r="PRL160" s="679"/>
      <c r="PRM160" s="679"/>
      <c r="PRN160" s="679"/>
      <c r="PRO160" s="679"/>
      <c r="PRP160" s="679"/>
      <c r="PRQ160" s="679"/>
      <c r="PRR160" s="679"/>
      <c r="PRS160" s="679"/>
      <c r="PRT160" s="679"/>
      <c r="PRU160" s="679"/>
      <c r="PRV160" s="679"/>
      <c r="PRW160" s="679"/>
      <c r="PRX160" s="679"/>
      <c r="PRY160" s="679"/>
      <c r="PRZ160" s="679"/>
      <c r="PSA160" s="679"/>
      <c r="PSB160" s="679"/>
      <c r="PSC160" s="679"/>
      <c r="PSD160" s="679"/>
      <c r="PSE160" s="679"/>
      <c r="PSF160" s="679"/>
      <c r="PSG160" s="679"/>
      <c r="PSH160" s="679"/>
      <c r="PSI160" s="679"/>
      <c r="PSJ160" s="679"/>
      <c r="PSK160" s="679"/>
      <c r="PSL160" s="679"/>
      <c r="PSM160" s="679"/>
      <c r="PSN160" s="679"/>
      <c r="PSO160" s="679"/>
      <c r="PSP160" s="679"/>
      <c r="PSQ160" s="679"/>
      <c r="PSR160" s="679"/>
      <c r="PSS160" s="679"/>
      <c r="PST160" s="679"/>
      <c r="PSU160" s="679"/>
      <c r="PSV160" s="679"/>
      <c r="PSW160" s="679"/>
      <c r="PSX160" s="679"/>
      <c r="PSY160" s="679"/>
      <c r="PSZ160" s="679"/>
      <c r="PTA160" s="679"/>
      <c r="PTB160" s="679"/>
      <c r="PTC160" s="679"/>
      <c r="PTD160" s="679"/>
      <c r="PTE160" s="679"/>
      <c r="PTF160" s="679"/>
      <c r="PTG160" s="679"/>
      <c r="PTH160" s="679"/>
      <c r="PTI160" s="679"/>
      <c r="PTJ160" s="679"/>
      <c r="PTK160" s="679"/>
      <c r="PTL160" s="679"/>
      <c r="PTM160" s="679"/>
      <c r="PTN160" s="679"/>
      <c r="PTO160" s="679"/>
      <c r="PTP160" s="679"/>
      <c r="PTQ160" s="679"/>
      <c r="PTR160" s="679"/>
      <c r="PTS160" s="679"/>
      <c r="PTT160" s="679"/>
      <c r="PTU160" s="679"/>
      <c r="PTV160" s="679"/>
      <c r="PTW160" s="679"/>
      <c r="PTX160" s="679"/>
      <c r="PTY160" s="679"/>
      <c r="PTZ160" s="679"/>
      <c r="PUA160" s="679"/>
      <c r="PUB160" s="679"/>
      <c r="PUC160" s="679"/>
      <c r="PUD160" s="679"/>
      <c r="PUE160" s="679"/>
      <c r="PUF160" s="679"/>
      <c r="PUG160" s="679"/>
      <c r="PUH160" s="679"/>
      <c r="PUI160" s="679"/>
      <c r="PUJ160" s="679"/>
      <c r="PUK160" s="679"/>
      <c r="PUL160" s="679"/>
      <c r="PUM160" s="679"/>
      <c r="PUN160" s="679"/>
      <c r="PUO160" s="679"/>
      <c r="PUP160" s="679"/>
      <c r="PUQ160" s="679"/>
      <c r="PUR160" s="679"/>
      <c r="PUS160" s="679"/>
      <c r="PUT160" s="679"/>
      <c r="PUU160" s="679"/>
      <c r="PUV160" s="679"/>
      <c r="PUW160" s="679"/>
      <c r="PUX160" s="679"/>
      <c r="PUY160" s="679"/>
      <c r="PUZ160" s="679"/>
      <c r="PVA160" s="679"/>
      <c r="PVB160" s="679"/>
      <c r="PVC160" s="679"/>
      <c r="PVD160" s="679"/>
      <c r="PVE160" s="679"/>
      <c r="PVF160" s="679"/>
      <c r="PVG160" s="679"/>
      <c r="PVH160" s="679"/>
      <c r="PVI160" s="679"/>
      <c r="PVJ160" s="679"/>
      <c r="PVK160" s="679"/>
      <c r="PVL160" s="679"/>
      <c r="PVM160" s="679"/>
      <c r="PVN160" s="679"/>
      <c r="PVO160" s="679"/>
      <c r="PVP160" s="679"/>
      <c r="PVQ160" s="679"/>
      <c r="PVR160" s="679"/>
      <c r="PVS160" s="679"/>
      <c r="PVT160" s="679"/>
      <c r="PVU160" s="679"/>
      <c r="PVV160" s="679"/>
      <c r="PVW160" s="679"/>
      <c r="PVX160" s="679"/>
      <c r="PVY160" s="679"/>
      <c r="PVZ160" s="679"/>
      <c r="PWA160" s="679"/>
      <c r="PWB160" s="679"/>
      <c r="PWC160" s="679"/>
      <c r="PWD160" s="679"/>
      <c r="PWE160" s="679"/>
      <c r="PWF160" s="679"/>
      <c r="PWG160" s="679"/>
      <c r="PWH160" s="679"/>
      <c r="PWI160" s="679"/>
      <c r="PWJ160" s="679"/>
      <c r="PWK160" s="679"/>
      <c r="PWL160" s="679"/>
      <c r="PWM160" s="679"/>
      <c r="PWN160" s="679"/>
      <c r="PWO160" s="679"/>
      <c r="PWP160" s="679"/>
      <c r="PWQ160" s="679"/>
      <c r="PWR160" s="679"/>
      <c r="PWS160" s="679"/>
      <c r="PWT160" s="679"/>
      <c r="PWU160" s="679"/>
      <c r="PWV160" s="679"/>
      <c r="PWW160" s="679"/>
      <c r="PWX160" s="679"/>
      <c r="PWY160" s="679"/>
      <c r="PWZ160" s="679"/>
      <c r="PXA160" s="679"/>
      <c r="PXB160" s="679"/>
      <c r="PXC160" s="679"/>
      <c r="PXD160" s="679"/>
      <c r="PXE160" s="679"/>
      <c r="PXF160" s="679"/>
      <c r="PXG160" s="679"/>
      <c r="PXH160" s="679"/>
      <c r="PXI160" s="679"/>
      <c r="PXJ160" s="679"/>
      <c r="PXK160" s="679"/>
      <c r="PXL160" s="679"/>
      <c r="PXM160" s="679"/>
      <c r="PXN160" s="679"/>
      <c r="PXO160" s="679"/>
      <c r="PXP160" s="679"/>
      <c r="PXQ160" s="679"/>
      <c r="PXR160" s="679"/>
      <c r="PXS160" s="679"/>
      <c r="PXT160" s="679"/>
      <c r="PXU160" s="679"/>
      <c r="PXV160" s="679"/>
      <c r="PXW160" s="679"/>
      <c r="PXX160" s="679"/>
      <c r="PXY160" s="679"/>
      <c r="PXZ160" s="679"/>
      <c r="PYA160" s="679"/>
      <c r="PYB160" s="679"/>
      <c r="PYC160" s="679"/>
      <c r="PYD160" s="679"/>
      <c r="PYE160" s="679"/>
      <c r="PYF160" s="679"/>
      <c r="PYG160" s="679"/>
      <c r="PYH160" s="679"/>
      <c r="PYI160" s="679"/>
      <c r="PYJ160" s="679"/>
      <c r="PYK160" s="679"/>
      <c r="PYL160" s="679"/>
      <c r="PYM160" s="679"/>
      <c r="PYN160" s="679"/>
      <c r="PYO160" s="679"/>
      <c r="PYP160" s="679"/>
      <c r="PYQ160" s="679"/>
      <c r="PYR160" s="679"/>
      <c r="PYS160" s="679"/>
      <c r="PYT160" s="679"/>
      <c r="PYU160" s="679"/>
      <c r="PYV160" s="679"/>
      <c r="PYW160" s="679"/>
      <c r="PYX160" s="679"/>
      <c r="PYY160" s="679"/>
      <c r="PYZ160" s="679"/>
      <c r="PZA160" s="679"/>
      <c r="PZB160" s="679"/>
      <c r="PZC160" s="679"/>
      <c r="PZD160" s="679"/>
      <c r="PZE160" s="679"/>
      <c r="PZF160" s="679"/>
      <c r="PZG160" s="679"/>
      <c r="PZH160" s="679"/>
      <c r="PZI160" s="679"/>
      <c r="PZJ160" s="679"/>
      <c r="PZK160" s="679"/>
      <c r="PZL160" s="679"/>
      <c r="PZM160" s="679"/>
      <c r="PZN160" s="679"/>
      <c r="PZO160" s="679"/>
      <c r="PZP160" s="679"/>
      <c r="PZQ160" s="679"/>
      <c r="PZR160" s="679"/>
      <c r="PZS160" s="679"/>
      <c r="PZT160" s="679"/>
      <c r="PZU160" s="679"/>
      <c r="PZV160" s="679"/>
      <c r="PZW160" s="679"/>
      <c r="PZX160" s="679"/>
      <c r="PZY160" s="679"/>
      <c r="PZZ160" s="679"/>
      <c r="QAA160" s="679"/>
      <c r="QAB160" s="679"/>
      <c r="QAC160" s="679"/>
      <c r="QAD160" s="679"/>
      <c r="QAE160" s="679"/>
      <c r="QAF160" s="679"/>
      <c r="QAG160" s="679"/>
      <c r="QAH160" s="679"/>
      <c r="QAI160" s="679"/>
      <c r="QAJ160" s="679"/>
      <c r="QAK160" s="679"/>
      <c r="QAL160" s="679"/>
      <c r="QAM160" s="679"/>
      <c r="QAN160" s="679"/>
      <c r="QAO160" s="679"/>
      <c r="QAP160" s="679"/>
      <c r="QAQ160" s="679"/>
      <c r="QAR160" s="679"/>
      <c r="QAS160" s="679"/>
      <c r="QAT160" s="679"/>
      <c r="QAU160" s="679"/>
      <c r="QAV160" s="679"/>
      <c r="QAW160" s="679"/>
      <c r="QAX160" s="679"/>
      <c r="QAY160" s="679"/>
      <c r="QAZ160" s="679"/>
      <c r="QBA160" s="679"/>
      <c r="QBB160" s="679"/>
      <c r="QBC160" s="679"/>
      <c r="QBD160" s="679"/>
      <c r="QBE160" s="679"/>
      <c r="QBF160" s="679"/>
      <c r="QBG160" s="679"/>
      <c r="QBH160" s="679"/>
      <c r="QBI160" s="679"/>
      <c r="QBJ160" s="679"/>
      <c r="QBK160" s="679"/>
      <c r="QBL160" s="679"/>
      <c r="QBM160" s="679"/>
      <c r="QBN160" s="679"/>
      <c r="QBO160" s="679"/>
      <c r="QBP160" s="679"/>
      <c r="QBQ160" s="679"/>
      <c r="QBR160" s="679"/>
      <c r="QBS160" s="679"/>
      <c r="QBT160" s="679"/>
      <c r="QBU160" s="679"/>
      <c r="QBV160" s="679"/>
      <c r="QBW160" s="679"/>
      <c r="QBX160" s="679"/>
      <c r="QBY160" s="679"/>
      <c r="QBZ160" s="679"/>
      <c r="QCA160" s="679"/>
      <c r="QCB160" s="679"/>
      <c r="QCC160" s="679"/>
      <c r="QCD160" s="679"/>
      <c r="QCE160" s="679"/>
      <c r="QCF160" s="679"/>
      <c r="QCG160" s="679"/>
      <c r="QCH160" s="679"/>
      <c r="QCI160" s="679"/>
      <c r="QCJ160" s="679"/>
      <c r="QCK160" s="679"/>
      <c r="QCL160" s="679"/>
      <c r="QCM160" s="679"/>
      <c r="QCN160" s="679"/>
      <c r="QCO160" s="679"/>
      <c r="QCP160" s="679"/>
      <c r="QCQ160" s="679"/>
      <c r="QCR160" s="679"/>
      <c r="QCS160" s="679"/>
      <c r="QCT160" s="679"/>
      <c r="QCU160" s="679"/>
      <c r="QCV160" s="679"/>
      <c r="QCW160" s="679"/>
      <c r="QCX160" s="679"/>
      <c r="QCY160" s="679"/>
      <c r="QCZ160" s="679"/>
      <c r="QDA160" s="679"/>
      <c r="QDB160" s="679"/>
      <c r="QDC160" s="679"/>
      <c r="QDD160" s="679"/>
      <c r="QDE160" s="679"/>
      <c r="QDF160" s="679"/>
      <c r="QDG160" s="679"/>
      <c r="QDH160" s="679"/>
      <c r="QDI160" s="679"/>
      <c r="QDJ160" s="679"/>
      <c r="QDK160" s="679"/>
      <c r="QDL160" s="679"/>
      <c r="QDM160" s="679"/>
      <c r="QDN160" s="679"/>
      <c r="QDO160" s="679"/>
      <c r="QDP160" s="679"/>
      <c r="QDQ160" s="679"/>
      <c r="QDR160" s="679"/>
      <c r="QDS160" s="679"/>
      <c r="QDT160" s="679"/>
      <c r="QDU160" s="679"/>
      <c r="QDV160" s="679"/>
      <c r="QDW160" s="679"/>
      <c r="QDX160" s="679"/>
      <c r="QDY160" s="679"/>
      <c r="QDZ160" s="679"/>
      <c r="QEA160" s="679"/>
      <c r="QEB160" s="679"/>
      <c r="QEC160" s="679"/>
      <c r="QED160" s="679"/>
      <c r="QEE160" s="679"/>
      <c r="QEF160" s="679"/>
      <c r="QEG160" s="679"/>
      <c r="QEH160" s="679"/>
      <c r="QEI160" s="679"/>
      <c r="QEJ160" s="679"/>
      <c r="QEK160" s="679"/>
      <c r="QEL160" s="679"/>
      <c r="QEM160" s="679"/>
      <c r="QEN160" s="679"/>
      <c r="QEO160" s="679"/>
      <c r="QEP160" s="679"/>
      <c r="QEQ160" s="679"/>
      <c r="QER160" s="679"/>
      <c r="QES160" s="679"/>
      <c r="QET160" s="679"/>
      <c r="QEU160" s="679"/>
      <c r="QEV160" s="679"/>
      <c r="QEW160" s="679"/>
      <c r="QEX160" s="679"/>
      <c r="QEY160" s="679"/>
      <c r="QEZ160" s="679"/>
      <c r="QFA160" s="679"/>
      <c r="QFB160" s="679"/>
      <c r="QFC160" s="679"/>
      <c r="QFD160" s="679"/>
      <c r="QFE160" s="679"/>
      <c r="QFF160" s="679"/>
      <c r="QFG160" s="679"/>
      <c r="QFH160" s="679"/>
      <c r="QFI160" s="679"/>
      <c r="QFJ160" s="679"/>
      <c r="QFK160" s="679"/>
      <c r="QFL160" s="679"/>
      <c r="QFM160" s="679"/>
      <c r="QFN160" s="679"/>
      <c r="QFO160" s="679"/>
      <c r="QFP160" s="679"/>
      <c r="QFQ160" s="679"/>
      <c r="QFR160" s="679"/>
      <c r="QFS160" s="679"/>
      <c r="QFT160" s="679"/>
      <c r="QFU160" s="679"/>
      <c r="QFV160" s="679"/>
      <c r="QFW160" s="679"/>
      <c r="QFX160" s="679"/>
      <c r="QFY160" s="679"/>
      <c r="QFZ160" s="679"/>
      <c r="QGA160" s="679"/>
      <c r="QGB160" s="679"/>
      <c r="QGC160" s="679"/>
      <c r="QGD160" s="679"/>
      <c r="QGE160" s="679"/>
      <c r="QGF160" s="679"/>
      <c r="QGG160" s="679"/>
      <c r="QGH160" s="679"/>
      <c r="QGI160" s="679"/>
      <c r="QGJ160" s="679"/>
      <c r="QGK160" s="679"/>
      <c r="QGL160" s="679"/>
      <c r="QGM160" s="679"/>
      <c r="QGN160" s="679"/>
      <c r="QGO160" s="679"/>
      <c r="QGP160" s="679"/>
      <c r="QGQ160" s="679"/>
      <c r="QGR160" s="679"/>
      <c r="QGS160" s="679"/>
      <c r="QGT160" s="679"/>
      <c r="QGU160" s="679"/>
      <c r="QGV160" s="679"/>
      <c r="QGW160" s="679"/>
      <c r="QGX160" s="679"/>
      <c r="QGY160" s="679"/>
      <c r="QGZ160" s="679"/>
      <c r="QHA160" s="679"/>
      <c r="QHB160" s="679"/>
      <c r="QHC160" s="679"/>
      <c r="QHD160" s="679"/>
      <c r="QHE160" s="679"/>
      <c r="QHF160" s="679"/>
      <c r="QHG160" s="679"/>
      <c r="QHH160" s="679"/>
      <c r="QHI160" s="679"/>
      <c r="QHJ160" s="679"/>
      <c r="QHK160" s="679"/>
      <c r="QHL160" s="679"/>
      <c r="QHM160" s="679"/>
      <c r="QHN160" s="679"/>
      <c r="QHO160" s="679"/>
      <c r="QHP160" s="679"/>
      <c r="QHQ160" s="679"/>
      <c r="QHR160" s="679"/>
      <c r="QHS160" s="679"/>
      <c r="QHT160" s="679"/>
      <c r="QHU160" s="679"/>
      <c r="QHV160" s="679"/>
      <c r="QHW160" s="679"/>
      <c r="QHX160" s="679"/>
      <c r="QHY160" s="679"/>
      <c r="QHZ160" s="679"/>
      <c r="QIA160" s="679"/>
      <c r="QIB160" s="679"/>
      <c r="QIC160" s="679"/>
      <c r="QID160" s="679"/>
      <c r="QIE160" s="679"/>
      <c r="QIF160" s="679"/>
      <c r="QIG160" s="679"/>
      <c r="QIH160" s="679"/>
      <c r="QII160" s="679"/>
      <c r="QIJ160" s="679"/>
      <c r="QIK160" s="679"/>
      <c r="QIL160" s="679"/>
      <c r="QIM160" s="679"/>
      <c r="QIN160" s="679"/>
      <c r="QIO160" s="679"/>
      <c r="QIP160" s="679"/>
      <c r="QIQ160" s="679"/>
      <c r="QIR160" s="679"/>
      <c r="QIS160" s="679"/>
      <c r="QIT160" s="679"/>
      <c r="QIU160" s="679"/>
      <c r="QIV160" s="679"/>
      <c r="QIW160" s="679"/>
      <c r="QIX160" s="679"/>
      <c r="QIY160" s="679"/>
      <c r="QIZ160" s="679"/>
      <c r="QJA160" s="679"/>
      <c r="QJB160" s="679"/>
      <c r="QJC160" s="679"/>
      <c r="QJD160" s="679"/>
      <c r="QJE160" s="679"/>
      <c r="QJF160" s="679"/>
      <c r="QJG160" s="679"/>
      <c r="QJH160" s="679"/>
      <c r="QJI160" s="679"/>
      <c r="QJJ160" s="679"/>
      <c r="QJK160" s="679"/>
      <c r="QJL160" s="679"/>
      <c r="QJM160" s="679"/>
      <c r="QJN160" s="679"/>
      <c r="QJO160" s="679"/>
      <c r="QJP160" s="679"/>
      <c r="QJQ160" s="679"/>
      <c r="QJR160" s="679"/>
      <c r="QJS160" s="679"/>
      <c r="QJT160" s="679"/>
      <c r="QJU160" s="679"/>
      <c r="QJV160" s="679"/>
      <c r="QJW160" s="679"/>
      <c r="QJX160" s="679"/>
      <c r="QJY160" s="679"/>
      <c r="QJZ160" s="679"/>
      <c r="QKA160" s="679"/>
      <c r="QKB160" s="679"/>
      <c r="QKC160" s="679"/>
      <c r="QKD160" s="679"/>
      <c r="QKE160" s="679"/>
      <c r="QKF160" s="679"/>
      <c r="QKG160" s="679"/>
      <c r="QKH160" s="679"/>
      <c r="QKI160" s="679"/>
      <c r="QKJ160" s="679"/>
      <c r="QKK160" s="679"/>
      <c r="QKL160" s="679"/>
      <c r="QKM160" s="679"/>
      <c r="QKN160" s="679"/>
      <c r="QKO160" s="679"/>
      <c r="QKP160" s="679"/>
      <c r="QKQ160" s="679"/>
      <c r="QKR160" s="679"/>
      <c r="QKS160" s="679"/>
      <c r="QKT160" s="679"/>
      <c r="QKU160" s="679"/>
      <c r="QKV160" s="679"/>
      <c r="QKW160" s="679"/>
      <c r="QKX160" s="679"/>
      <c r="QKY160" s="679"/>
      <c r="QKZ160" s="679"/>
      <c r="QLA160" s="679"/>
      <c r="QLB160" s="679"/>
      <c r="QLC160" s="679"/>
      <c r="QLD160" s="679"/>
      <c r="QLE160" s="679"/>
      <c r="QLF160" s="679"/>
      <c r="QLG160" s="679"/>
      <c r="QLH160" s="679"/>
      <c r="QLI160" s="679"/>
      <c r="QLJ160" s="679"/>
      <c r="QLK160" s="679"/>
      <c r="QLL160" s="679"/>
      <c r="QLM160" s="679"/>
      <c r="QLN160" s="679"/>
      <c r="QLO160" s="679"/>
      <c r="QLP160" s="679"/>
      <c r="QLQ160" s="679"/>
      <c r="QLR160" s="679"/>
      <c r="QLS160" s="679"/>
      <c r="QLT160" s="679"/>
      <c r="QLU160" s="679"/>
      <c r="QLV160" s="679"/>
      <c r="QLW160" s="679"/>
      <c r="QLX160" s="679"/>
      <c r="QLY160" s="679"/>
      <c r="QLZ160" s="679"/>
      <c r="QMA160" s="679"/>
      <c r="QMB160" s="679"/>
      <c r="QMC160" s="679"/>
      <c r="QMD160" s="679"/>
      <c r="QME160" s="679"/>
      <c r="QMF160" s="679"/>
      <c r="QMG160" s="679"/>
      <c r="QMH160" s="679"/>
      <c r="QMI160" s="679"/>
      <c r="QMJ160" s="679"/>
      <c r="QMK160" s="679"/>
      <c r="QML160" s="679"/>
      <c r="QMM160" s="679"/>
      <c r="QMN160" s="679"/>
      <c r="QMO160" s="679"/>
      <c r="QMP160" s="679"/>
      <c r="QMQ160" s="679"/>
      <c r="QMR160" s="679"/>
      <c r="QMS160" s="679"/>
      <c r="QMT160" s="679"/>
      <c r="QMU160" s="679"/>
      <c r="QMV160" s="679"/>
      <c r="QMW160" s="679"/>
      <c r="QMX160" s="679"/>
      <c r="QMY160" s="679"/>
      <c r="QMZ160" s="679"/>
      <c r="QNA160" s="679"/>
      <c r="QNB160" s="679"/>
      <c r="QNC160" s="679"/>
      <c r="QND160" s="679"/>
      <c r="QNE160" s="679"/>
      <c r="QNF160" s="679"/>
      <c r="QNG160" s="679"/>
      <c r="QNH160" s="679"/>
      <c r="QNI160" s="679"/>
      <c r="QNJ160" s="679"/>
      <c r="QNK160" s="679"/>
      <c r="QNL160" s="679"/>
      <c r="QNM160" s="679"/>
      <c r="QNN160" s="679"/>
      <c r="QNO160" s="679"/>
      <c r="QNP160" s="679"/>
      <c r="QNQ160" s="679"/>
      <c r="QNR160" s="679"/>
      <c r="QNS160" s="679"/>
      <c r="QNT160" s="679"/>
      <c r="QNU160" s="679"/>
      <c r="QNV160" s="679"/>
      <c r="QNW160" s="679"/>
      <c r="QNX160" s="679"/>
      <c r="QNY160" s="679"/>
      <c r="QNZ160" s="679"/>
      <c r="QOA160" s="679"/>
      <c r="QOB160" s="679"/>
      <c r="QOC160" s="679"/>
      <c r="QOD160" s="679"/>
      <c r="QOE160" s="679"/>
      <c r="QOF160" s="679"/>
      <c r="QOG160" s="679"/>
      <c r="QOH160" s="679"/>
      <c r="QOI160" s="679"/>
      <c r="QOJ160" s="679"/>
      <c r="QOK160" s="679"/>
      <c r="QOL160" s="679"/>
      <c r="QOM160" s="679"/>
      <c r="QON160" s="679"/>
      <c r="QOO160" s="679"/>
      <c r="QOP160" s="679"/>
      <c r="QOQ160" s="679"/>
      <c r="QOR160" s="679"/>
      <c r="QOS160" s="679"/>
      <c r="QOT160" s="679"/>
      <c r="QOU160" s="679"/>
      <c r="QOV160" s="679"/>
      <c r="QOW160" s="679"/>
      <c r="QOX160" s="679"/>
      <c r="QOY160" s="679"/>
      <c r="QOZ160" s="679"/>
      <c r="QPA160" s="679"/>
      <c r="QPB160" s="679"/>
      <c r="QPC160" s="679"/>
      <c r="QPD160" s="679"/>
      <c r="QPE160" s="679"/>
      <c r="QPF160" s="679"/>
      <c r="QPG160" s="679"/>
      <c r="QPH160" s="679"/>
      <c r="QPI160" s="679"/>
      <c r="QPJ160" s="679"/>
      <c r="QPK160" s="679"/>
      <c r="QPL160" s="679"/>
      <c r="QPM160" s="679"/>
      <c r="QPN160" s="679"/>
      <c r="QPO160" s="679"/>
      <c r="QPP160" s="679"/>
      <c r="QPQ160" s="679"/>
      <c r="QPR160" s="679"/>
      <c r="QPS160" s="679"/>
      <c r="QPT160" s="679"/>
      <c r="QPU160" s="679"/>
      <c r="QPV160" s="679"/>
      <c r="QPW160" s="679"/>
      <c r="QPX160" s="679"/>
      <c r="QPY160" s="679"/>
      <c r="QPZ160" s="679"/>
      <c r="QQA160" s="679"/>
      <c r="QQB160" s="679"/>
      <c r="QQC160" s="679"/>
      <c r="QQD160" s="679"/>
      <c r="QQE160" s="679"/>
      <c r="QQF160" s="679"/>
      <c r="QQG160" s="679"/>
      <c r="QQH160" s="679"/>
      <c r="QQI160" s="679"/>
      <c r="QQJ160" s="679"/>
      <c r="QQK160" s="679"/>
      <c r="QQL160" s="679"/>
      <c r="QQM160" s="679"/>
      <c r="QQN160" s="679"/>
      <c r="QQO160" s="679"/>
      <c r="QQP160" s="679"/>
      <c r="QQQ160" s="679"/>
      <c r="QQR160" s="679"/>
      <c r="QQS160" s="679"/>
      <c r="QQT160" s="679"/>
      <c r="QQU160" s="679"/>
      <c r="QQV160" s="679"/>
      <c r="QQW160" s="679"/>
      <c r="QQX160" s="679"/>
      <c r="QQY160" s="679"/>
      <c r="QQZ160" s="679"/>
      <c r="QRA160" s="679"/>
      <c r="QRB160" s="679"/>
      <c r="QRC160" s="679"/>
      <c r="QRD160" s="679"/>
      <c r="QRE160" s="679"/>
      <c r="QRF160" s="679"/>
      <c r="QRG160" s="679"/>
      <c r="QRH160" s="679"/>
      <c r="QRI160" s="679"/>
      <c r="QRJ160" s="679"/>
      <c r="QRK160" s="679"/>
      <c r="QRL160" s="679"/>
      <c r="QRM160" s="679"/>
      <c r="QRN160" s="679"/>
      <c r="QRO160" s="679"/>
      <c r="QRP160" s="679"/>
      <c r="QRQ160" s="679"/>
      <c r="QRR160" s="679"/>
      <c r="QRS160" s="679"/>
      <c r="QRT160" s="679"/>
      <c r="QRU160" s="679"/>
      <c r="QRV160" s="679"/>
      <c r="QRW160" s="679"/>
      <c r="QRX160" s="679"/>
      <c r="QRY160" s="679"/>
      <c r="QRZ160" s="679"/>
      <c r="QSA160" s="679"/>
      <c r="QSB160" s="679"/>
      <c r="QSC160" s="679"/>
      <c r="QSD160" s="679"/>
      <c r="QSE160" s="679"/>
      <c r="QSF160" s="679"/>
      <c r="QSG160" s="679"/>
      <c r="QSH160" s="679"/>
      <c r="QSI160" s="679"/>
      <c r="QSJ160" s="679"/>
      <c r="QSK160" s="679"/>
      <c r="QSL160" s="679"/>
      <c r="QSM160" s="679"/>
      <c r="QSN160" s="679"/>
      <c r="QSO160" s="679"/>
      <c r="QSP160" s="679"/>
      <c r="QSQ160" s="679"/>
      <c r="QSR160" s="679"/>
      <c r="QSS160" s="679"/>
      <c r="QST160" s="679"/>
      <c r="QSU160" s="679"/>
      <c r="QSV160" s="679"/>
      <c r="QSW160" s="679"/>
      <c r="QSX160" s="679"/>
      <c r="QSY160" s="679"/>
      <c r="QSZ160" s="679"/>
      <c r="QTA160" s="679"/>
      <c r="QTB160" s="679"/>
      <c r="QTC160" s="679"/>
      <c r="QTD160" s="679"/>
      <c r="QTE160" s="679"/>
      <c r="QTF160" s="679"/>
      <c r="QTG160" s="679"/>
      <c r="QTH160" s="679"/>
      <c r="QTI160" s="679"/>
      <c r="QTJ160" s="679"/>
      <c r="QTK160" s="679"/>
      <c r="QTL160" s="679"/>
      <c r="QTM160" s="679"/>
      <c r="QTN160" s="679"/>
      <c r="QTO160" s="679"/>
      <c r="QTP160" s="679"/>
      <c r="QTQ160" s="679"/>
      <c r="QTR160" s="679"/>
      <c r="QTS160" s="679"/>
      <c r="QTT160" s="679"/>
      <c r="QTU160" s="679"/>
      <c r="QTV160" s="679"/>
      <c r="QTW160" s="679"/>
      <c r="QTX160" s="679"/>
      <c r="QTY160" s="679"/>
      <c r="QTZ160" s="679"/>
      <c r="QUA160" s="679"/>
      <c r="QUB160" s="679"/>
      <c r="QUC160" s="679"/>
      <c r="QUD160" s="679"/>
      <c r="QUE160" s="679"/>
      <c r="QUF160" s="679"/>
      <c r="QUG160" s="679"/>
      <c r="QUH160" s="679"/>
      <c r="QUI160" s="679"/>
      <c r="QUJ160" s="679"/>
      <c r="QUK160" s="679"/>
      <c r="QUL160" s="679"/>
      <c r="QUM160" s="679"/>
      <c r="QUN160" s="679"/>
      <c r="QUO160" s="679"/>
      <c r="QUP160" s="679"/>
      <c r="QUQ160" s="679"/>
      <c r="QUR160" s="679"/>
      <c r="QUS160" s="679"/>
      <c r="QUT160" s="679"/>
      <c r="QUU160" s="679"/>
      <c r="QUV160" s="679"/>
      <c r="QUW160" s="679"/>
      <c r="QUX160" s="679"/>
      <c r="QUY160" s="679"/>
      <c r="QUZ160" s="679"/>
      <c r="QVA160" s="679"/>
      <c r="QVB160" s="679"/>
      <c r="QVC160" s="679"/>
      <c r="QVD160" s="679"/>
      <c r="QVE160" s="679"/>
      <c r="QVF160" s="679"/>
      <c r="QVG160" s="679"/>
      <c r="QVH160" s="679"/>
      <c r="QVI160" s="679"/>
      <c r="QVJ160" s="679"/>
      <c r="QVK160" s="679"/>
      <c r="QVL160" s="679"/>
      <c r="QVM160" s="679"/>
      <c r="QVN160" s="679"/>
      <c r="QVO160" s="679"/>
      <c r="QVP160" s="679"/>
      <c r="QVQ160" s="679"/>
      <c r="QVR160" s="679"/>
      <c r="QVS160" s="679"/>
      <c r="QVT160" s="679"/>
      <c r="QVU160" s="679"/>
      <c r="QVV160" s="679"/>
      <c r="QVW160" s="679"/>
      <c r="QVX160" s="679"/>
      <c r="QVY160" s="679"/>
      <c r="QVZ160" s="679"/>
      <c r="QWA160" s="679"/>
      <c r="QWB160" s="679"/>
      <c r="QWC160" s="679"/>
      <c r="QWD160" s="679"/>
      <c r="QWE160" s="679"/>
      <c r="QWF160" s="679"/>
      <c r="QWG160" s="679"/>
      <c r="QWH160" s="679"/>
      <c r="QWI160" s="679"/>
      <c r="QWJ160" s="679"/>
      <c r="QWK160" s="679"/>
      <c r="QWL160" s="679"/>
      <c r="QWM160" s="679"/>
      <c r="QWN160" s="679"/>
      <c r="QWO160" s="679"/>
      <c r="QWP160" s="679"/>
      <c r="QWQ160" s="679"/>
      <c r="QWR160" s="679"/>
      <c r="QWS160" s="679"/>
      <c r="QWT160" s="679"/>
      <c r="QWU160" s="679"/>
      <c r="QWV160" s="679"/>
      <c r="QWW160" s="679"/>
      <c r="QWX160" s="679"/>
      <c r="QWY160" s="679"/>
      <c r="QWZ160" s="679"/>
      <c r="QXA160" s="679"/>
      <c r="QXB160" s="679"/>
      <c r="QXC160" s="679"/>
      <c r="QXD160" s="679"/>
      <c r="QXE160" s="679"/>
      <c r="QXF160" s="679"/>
      <c r="QXG160" s="679"/>
      <c r="QXH160" s="679"/>
      <c r="QXI160" s="679"/>
      <c r="QXJ160" s="679"/>
      <c r="QXK160" s="679"/>
      <c r="QXL160" s="679"/>
      <c r="QXM160" s="679"/>
      <c r="QXN160" s="679"/>
      <c r="QXO160" s="679"/>
      <c r="QXP160" s="679"/>
      <c r="QXQ160" s="679"/>
      <c r="QXR160" s="679"/>
      <c r="QXS160" s="679"/>
      <c r="QXT160" s="679"/>
      <c r="QXU160" s="679"/>
      <c r="QXV160" s="679"/>
      <c r="QXW160" s="679"/>
      <c r="QXX160" s="679"/>
      <c r="QXY160" s="679"/>
      <c r="QXZ160" s="679"/>
      <c r="QYA160" s="679"/>
      <c r="QYB160" s="679"/>
      <c r="QYC160" s="679"/>
      <c r="QYD160" s="679"/>
      <c r="QYE160" s="679"/>
      <c r="QYF160" s="679"/>
      <c r="QYG160" s="679"/>
      <c r="QYH160" s="679"/>
      <c r="QYI160" s="679"/>
      <c r="QYJ160" s="679"/>
      <c r="QYK160" s="679"/>
      <c r="QYL160" s="679"/>
      <c r="QYM160" s="679"/>
      <c r="QYN160" s="679"/>
      <c r="QYO160" s="679"/>
      <c r="QYP160" s="679"/>
      <c r="QYQ160" s="679"/>
      <c r="QYR160" s="679"/>
      <c r="QYS160" s="679"/>
      <c r="QYT160" s="679"/>
      <c r="QYU160" s="679"/>
      <c r="QYV160" s="679"/>
      <c r="QYW160" s="679"/>
      <c r="QYX160" s="679"/>
      <c r="QYY160" s="679"/>
      <c r="QYZ160" s="679"/>
      <c r="QZA160" s="679"/>
      <c r="QZB160" s="679"/>
      <c r="QZC160" s="679"/>
      <c r="QZD160" s="679"/>
      <c r="QZE160" s="679"/>
      <c r="QZF160" s="679"/>
      <c r="QZG160" s="679"/>
      <c r="QZH160" s="679"/>
      <c r="QZI160" s="679"/>
      <c r="QZJ160" s="679"/>
      <c r="QZK160" s="679"/>
      <c r="QZL160" s="679"/>
      <c r="QZM160" s="679"/>
      <c r="QZN160" s="679"/>
      <c r="QZO160" s="679"/>
      <c r="QZP160" s="679"/>
      <c r="QZQ160" s="679"/>
      <c r="QZR160" s="679"/>
      <c r="QZS160" s="679"/>
      <c r="QZT160" s="679"/>
      <c r="QZU160" s="679"/>
      <c r="QZV160" s="679"/>
      <c r="QZW160" s="679"/>
      <c r="QZX160" s="679"/>
      <c r="QZY160" s="679"/>
      <c r="QZZ160" s="679"/>
      <c r="RAA160" s="679"/>
      <c r="RAB160" s="679"/>
      <c r="RAC160" s="679"/>
      <c r="RAD160" s="679"/>
      <c r="RAE160" s="679"/>
      <c r="RAF160" s="679"/>
      <c r="RAG160" s="679"/>
      <c r="RAH160" s="679"/>
      <c r="RAI160" s="679"/>
      <c r="RAJ160" s="679"/>
      <c r="RAK160" s="679"/>
      <c r="RAL160" s="679"/>
      <c r="RAM160" s="679"/>
      <c r="RAN160" s="679"/>
      <c r="RAO160" s="679"/>
      <c r="RAP160" s="679"/>
      <c r="RAQ160" s="679"/>
      <c r="RAR160" s="679"/>
      <c r="RAS160" s="679"/>
      <c r="RAT160" s="679"/>
      <c r="RAU160" s="679"/>
      <c r="RAV160" s="679"/>
      <c r="RAW160" s="679"/>
      <c r="RAX160" s="679"/>
      <c r="RAY160" s="679"/>
      <c r="RAZ160" s="679"/>
      <c r="RBA160" s="679"/>
      <c r="RBB160" s="679"/>
      <c r="RBC160" s="679"/>
      <c r="RBD160" s="679"/>
      <c r="RBE160" s="679"/>
      <c r="RBF160" s="679"/>
      <c r="RBG160" s="679"/>
      <c r="RBH160" s="679"/>
      <c r="RBI160" s="679"/>
      <c r="RBJ160" s="679"/>
      <c r="RBK160" s="679"/>
      <c r="RBL160" s="679"/>
      <c r="RBM160" s="679"/>
      <c r="RBN160" s="679"/>
      <c r="RBO160" s="679"/>
      <c r="RBP160" s="679"/>
      <c r="RBQ160" s="679"/>
      <c r="RBR160" s="679"/>
      <c r="RBS160" s="679"/>
      <c r="RBT160" s="679"/>
      <c r="RBU160" s="679"/>
      <c r="RBV160" s="679"/>
      <c r="RBW160" s="679"/>
      <c r="RBX160" s="679"/>
      <c r="RBY160" s="679"/>
      <c r="RBZ160" s="679"/>
      <c r="RCA160" s="679"/>
      <c r="RCB160" s="679"/>
      <c r="RCC160" s="679"/>
      <c r="RCD160" s="679"/>
      <c r="RCE160" s="679"/>
      <c r="RCF160" s="679"/>
      <c r="RCG160" s="679"/>
      <c r="RCH160" s="679"/>
      <c r="RCI160" s="679"/>
      <c r="RCJ160" s="679"/>
      <c r="RCK160" s="679"/>
      <c r="RCL160" s="679"/>
      <c r="RCM160" s="679"/>
      <c r="RCN160" s="679"/>
      <c r="RCO160" s="679"/>
      <c r="RCP160" s="679"/>
      <c r="RCQ160" s="679"/>
      <c r="RCR160" s="679"/>
      <c r="RCS160" s="679"/>
      <c r="RCT160" s="679"/>
      <c r="RCU160" s="679"/>
      <c r="RCV160" s="679"/>
      <c r="RCW160" s="679"/>
      <c r="RCX160" s="679"/>
      <c r="RCY160" s="679"/>
      <c r="RCZ160" s="679"/>
      <c r="RDA160" s="679"/>
      <c r="RDB160" s="679"/>
      <c r="RDC160" s="679"/>
      <c r="RDD160" s="679"/>
      <c r="RDE160" s="679"/>
      <c r="RDF160" s="679"/>
      <c r="RDG160" s="679"/>
      <c r="RDH160" s="679"/>
      <c r="RDI160" s="679"/>
      <c r="RDJ160" s="679"/>
      <c r="RDK160" s="679"/>
      <c r="RDL160" s="679"/>
      <c r="RDM160" s="679"/>
      <c r="RDN160" s="679"/>
      <c r="RDO160" s="679"/>
      <c r="RDP160" s="679"/>
      <c r="RDQ160" s="679"/>
      <c r="RDR160" s="679"/>
      <c r="RDS160" s="679"/>
      <c r="RDT160" s="679"/>
      <c r="RDU160" s="679"/>
      <c r="RDV160" s="679"/>
      <c r="RDW160" s="679"/>
      <c r="RDX160" s="679"/>
      <c r="RDY160" s="679"/>
      <c r="RDZ160" s="679"/>
      <c r="REA160" s="679"/>
      <c r="REB160" s="679"/>
      <c r="REC160" s="679"/>
      <c r="RED160" s="679"/>
      <c r="REE160" s="679"/>
      <c r="REF160" s="679"/>
      <c r="REG160" s="679"/>
      <c r="REH160" s="679"/>
      <c r="REI160" s="679"/>
      <c r="REJ160" s="679"/>
      <c r="REK160" s="679"/>
      <c r="REL160" s="679"/>
      <c r="REM160" s="679"/>
      <c r="REN160" s="679"/>
      <c r="REO160" s="679"/>
      <c r="REP160" s="679"/>
      <c r="REQ160" s="679"/>
      <c r="RER160" s="679"/>
      <c r="RES160" s="679"/>
      <c r="RET160" s="679"/>
      <c r="REU160" s="679"/>
      <c r="REV160" s="679"/>
      <c r="REW160" s="679"/>
      <c r="REX160" s="679"/>
      <c r="REY160" s="679"/>
      <c r="REZ160" s="679"/>
      <c r="RFA160" s="679"/>
      <c r="RFB160" s="679"/>
      <c r="RFC160" s="679"/>
      <c r="RFD160" s="679"/>
      <c r="RFE160" s="679"/>
      <c r="RFF160" s="679"/>
      <c r="RFG160" s="679"/>
      <c r="RFH160" s="679"/>
      <c r="RFI160" s="679"/>
      <c r="RFJ160" s="679"/>
      <c r="RFK160" s="679"/>
      <c r="RFL160" s="679"/>
      <c r="RFM160" s="679"/>
      <c r="RFN160" s="679"/>
      <c r="RFO160" s="679"/>
      <c r="RFP160" s="679"/>
      <c r="RFQ160" s="679"/>
      <c r="RFR160" s="679"/>
      <c r="RFS160" s="679"/>
      <c r="RFT160" s="679"/>
      <c r="RFU160" s="679"/>
      <c r="RFV160" s="679"/>
      <c r="RFW160" s="679"/>
      <c r="RFX160" s="679"/>
      <c r="RFY160" s="679"/>
      <c r="RFZ160" s="679"/>
      <c r="RGA160" s="679"/>
      <c r="RGB160" s="679"/>
      <c r="RGC160" s="679"/>
      <c r="RGD160" s="679"/>
      <c r="RGE160" s="679"/>
      <c r="RGF160" s="679"/>
      <c r="RGG160" s="679"/>
      <c r="RGH160" s="679"/>
      <c r="RGI160" s="679"/>
      <c r="RGJ160" s="679"/>
      <c r="RGK160" s="679"/>
      <c r="RGL160" s="679"/>
      <c r="RGM160" s="679"/>
      <c r="RGN160" s="679"/>
      <c r="RGO160" s="679"/>
      <c r="RGP160" s="679"/>
      <c r="RGQ160" s="679"/>
      <c r="RGR160" s="679"/>
      <c r="RGS160" s="679"/>
      <c r="RGT160" s="679"/>
      <c r="RGU160" s="679"/>
      <c r="RGV160" s="679"/>
      <c r="RGW160" s="679"/>
      <c r="RGX160" s="679"/>
      <c r="RGY160" s="679"/>
      <c r="RGZ160" s="679"/>
      <c r="RHA160" s="679"/>
      <c r="RHB160" s="679"/>
      <c r="RHC160" s="679"/>
      <c r="RHD160" s="679"/>
      <c r="RHE160" s="679"/>
      <c r="RHF160" s="679"/>
      <c r="RHG160" s="679"/>
      <c r="RHH160" s="679"/>
      <c r="RHI160" s="679"/>
      <c r="RHJ160" s="679"/>
      <c r="RHK160" s="679"/>
      <c r="RHL160" s="679"/>
      <c r="RHM160" s="679"/>
      <c r="RHN160" s="679"/>
      <c r="RHO160" s="679"/>
      <c r="RHP160" s="679"/>
      <c r="RHQ160" s="679"/>
      <c r="RHR160" s="679"/>
      <c r="RHS160" s="679"/>
      <c r="RHT160" s="679"/>
      <c r="RHU160" s="679"/>
      <c r="RHV160" s="679"/>
      <c r="RHW160" s="679"/>
      <c r="RHX160" s="679"/>
      <c r="RHY160" s="679"/>
      <c r="RHZ160" s="679"/>
      <c r="RIA160" s="679"/>
      <c r="RIB160" s="679"/>
      <c r="RIC160" s="679"/>
      <c r="RID160" s="679"/>
      <c r="RIE160" s="679"/>
      <c r="RIF160" s="679"/>
      <c r="RIG160" s="679"/>
      <c r="RIH160" s="679"/>
      <c r="RII160" s="679"/>
      <c r="RIJ160" s="679"/>
      <c r="RIK160" s="679"/>
      <c r="RIL160" s="679"/>
      <c r="RIM160" s="679"/>
      <c r="RIN160" s="679"/>
      <c r="RIO160" s="679"/>
      <c r="RIP160" s="679"/>
      <c r="RIQ160" s="679"/>
      <c r="RIR160" s="679"/>
      <c r="RIS160" s="679"/>
      <c r="RIT160" s="679"/>
      <c r="RIU160" s="679"/>
      <c r="RIV160" s="679"/>
      <c r="RIW160" s="679"/>
      <c r="RIX160" s="679"/>
      <c r="RIY160" s="679"/>
      <c r="RIZ160" s="679"/>
      <c r="RJA160" s="679"/>
      <c r="RJB160" s="679"/>
      <c r="RJC160" s="679"/>
      <c r="RJD160" s="679"/>
      <c r="RJE160" s="679"/>
      <c r="RJF160" s="679"/>
      <c r="RJG160" s="679"/>
      <c r="RJH160" s="679"/>
      <c r="RJI160" s="679"/>
      <c r="RJJ160" s="679"/>
      <c r="RJK160" s="679"/>
      <c r="RJL160" s="679"/>
      <c r="RJM160" s="679"/>
      <c r="RJN160" s="679"/>
      <c r="RJO160" s="679"/>
      <c r="RJP160" s="679"/>
      <c r="RJQ160" s="679"/>
      <c r="RJR160" s="679"/>
      <c r="RJS160" s="679"/>
      <c r="RJT160" s="679"/>
      <c r="RJU160" s="679"/>
      <c r="RJV160" s="679"/>
      <c r="RJW160" s="679"/>
      <c r="RJX160" s="679"/>
      <c r="RJY160" s="679"/>
      <c r="RJZ160" s="679"/>
      <c r="RKA160" s="679"/>
      <c r="RKB160" s="679"/>
      <c r="RKC160" s="679"/>
      <c r="RKD160" s="679"/>
      <c r="RKE160" s="679"/>
      <c r="RKF160" s="679"/>
      <c r="RKG160" s="679"/>
      <c r="RKH160" s="679"/>
      <c r="RKI160" s="679"/>
      <c r="RKJ160" s="679"/>
      <c r="RKK160" s="679"/>
      <c r="RKL160" s="679"/>
      <c r="RKM160" s="679"/>
      <c r="RKN160" s="679"/>
      <c r="RKO160" s="679"/>
      <c r="RKP160" s="679"/>
      <c r="RKQ160" s="679"/>
      <c r="RKR160" s="679"/>
      <c r="RKS160" s="679"/>
      <c r="RKT160" s="679"/>
      <c r="RKU160" s="679"/>
      <c r="RKV160" s="679"/>
      <c r="RKW160" s="679"/>
      <c r="RKX160" s="679"/>
      <c r="RKY160" s="679"/>
      <c r="RKZ160" s="679"/>
      <c r="RLA160" s="679"/>
      <c r="RLB160" s="679"/>
      <c r="RLC160" s="679"/>
      <c r="RLD160" s="679"/>
      <c r="RLE160" s="679"/>
      <c r="RLF160" s="679"/>
      <c r="RLG160" s="679"/>
      <c r="RLH160" s="679"/>
      <c r="RLI160" s="679"/>
      <c r="RLJ160" s="679"/>
      <c r="RLK160" s="679"/>
      <c r="RLL160" s="679"/>
      <c r="RLM160" s="679"/>
      <c r="RLN160" s="679"/>
      <c r="RLO160" s="679"/>
      <c r="RLP160" s="679"/>
      <c r="RLQ160" s="679"/>
      <c r="RLR160" s="679"/>
      <c r="RLS160" s="679"/>
      <c r="RLT160" s="679"/>
      <c r="RLU160" s="679"/>
      <c r="RLV160" s="679"/>
      <c r="RLW160" s="679"/>
      <c r="RLX160" s="679"/>
      <c r="RLY160" s="679"/>
      <c r="RLZ160" s="679"/>
      <c r="RMA160" s="679"/>
      <c r="RMB160" s="679"/>
      <c r="RMC160" s="679"/>
      <c r="RMD160" s="679"/>
      <c r="RME160" s="679"/>
      <c r="RMF160" s="679"/>
      <c r="RMG160" s="679"/>
      <c r="RMH160" s="679"/>
      <c r="RMI160" s="679"/>
      <c r="RMJ160" s="679"/>
      <c r="RMK160" s="679"/>
      <c r="RML160" s="679"/>
      <c r="RMM160" s="679"/>
      <c r="RMN160" s="679"/>
      <c r="RMO160" s="679"/>
      <c r="RMP160" s="679"/>
      <c r="RMQ160" s="679"/>
      <c r="RMR160" s="679"/>
      <c r="RMS160" s="679"/>
      <c r="RMT160" s="679"/>
      <c r="RMU160" s="679"/>
      <c r="RMV160" s="679"/>
      <c r="RMW160" s="679"/>
      <c r="RMX160" s="679"/>
      <c r="RMY160" s="679"/>
      <c r="RMZ160" s="679"/>
      <c r="RNA160" s="679"/>
      <c r="RNB160" s="679"/>
      <c r="RNC160" s="679"/>
      <c r="RND160" s="679"/>
      <c r="RNE160" s="679"/>
      <c r="RNF160" s="679"/>
      <c r="RNG160" s="679"/>
      <c r="RNH160" s="679"/>
      <c r="RNI160" s="679"/>
      <c r="RNJ160" s="679"/>
      <c r="RNK160" s="679"/>
      <c r="RNL160" s="679"/>
      <c r="RNM160" s="679"/>
      <c r="RNN160" s="679"/>
      <c r="RNO160" s="679"/>
      <c r="RNP160" s="679"/>
      <c r="RNQ160" s="679"/>
      <c r="RNR160" s="679"/>
      <c r="RNS160" s="679"/>
      <c r="RNT160" s="679"/>
      <c r="RNU160" s="679"/>
      <c r="RNV160" s="679"/>
      <c r="RNW160" s="679"/>
      <c r="RNX160" s="679"/>
      <c r="RNY160" s="679"/>
      <c r="RNZ160" s="679"/>
      <c r="ROA160" s="679"/>
      <c r="ROB160" s="679"/>
      <c r="ROC160" s="679"/>
      <c r="ROD160" s="679"/>
      <c r="ROE160" s="679"/>
      <c r="ROF160" s="679"/>
      <c r="ROG160" s="679"/>
      <c r="ROH160" s="679"/>
      <c r="ROI160" s="679"/>
      <c r="ROJ160" s="679"/>
      <c r="ROK160" s="679"/>
      <c r="ROL160" s="679"/>
      <c r="ROM160" s="679"/>
      <c r="RON160" s="679"/>
      <c r="ROO160" s="679"/>
      <c r="ROP160" s="679"/>
      <c r="ROQ160" s="679"/>
      <c r="ROR160" s="679"/>
      <c r="ROS160" s="679"/>
      <c r="ROT160" s="679"/>
      <c r="ROU160" s="679"/>
      <c r="ROV160" s="679"/>
      <c r="ROW160" s="679"/>
      <c r="ROX160" s="679"/>
      <c r="ROY160" s="679"/>
      <c r="ROZ160" s="679"/>
      <c r="RPA160" s="679"/>
      <c r="RPB160" s="679"/>
      <c r="RPC160" s="679"/>
      <c r="RPD160" s="679"/>
      <c r="RPE160" s="679"/>
      <c r="RPF160" s="679"/>
      <c r="RPG160" s="679"/>
      <c r="RPH160" s="679"/>
      <c r="RPI160" s="679"/>
      <c r="RPJ160" s="679"/>
      <c r="RPK160" s="679"/>
      <c r="RPL160" s="679"/>
      <c r="RPM160" s="679"/>
      <c r="RPN160" s="679"/>
      <c r="RPO160" s="679"/>
      <c r="RPP160" s="679"/>
      <c r="RPQ160" s="679"/>
      <c r="RPR160" s="679"/>
      <c r="RPS160" s="679"/>
      <c r="RPT160" s="679"/>
      <c r="RPU160" s="679"/>
      <c r="RPV160" s="679"/>
      <c r="RPW160" s="679"/>
      <c r="RPX160" s="679"/>
      <c r="RPY160" s="679"/>
      <c r="RPZ160" s="679"/>
      <c r="RQA160" s="679"/>
      <c r="RQB160" s="679"/>
      <c r="RQC160" s="679"/>
      <c r="RQD160" s="679"/>
      <c r="RQE160" s="679"/>
      <c r="RQF160" s="679"/>
      <c r="RQG160" s="679"/>
      <c r="RQH160" s="679"/>
      <c r="RQI160" s="679"/>
      <c r="RQJ160" s="679"/>
      <c r="RQK160" s="679"/>
      <c r="RQL160" s="679"/>
      <c r="RQM160" s="679"/>
      <c r="RQN160" s="679"/>
      <c r="RQO160" s="679"/>
      <c r="RQP160" s="679"/>
      <c r="RQQ160" s="679"/>
      <c r="RQR160" s="679"/>
      <c r="RQS160" s="679"/>
      <c r="RQT160" s="679"/>
      <c r="RQU160" s="679"/>
      <c r="RQV160" s="679"/>
      <c r="RQW160" s="679"/>
      <c r="RQX160" s="679"/>
      <c r="RQY160" s="679"/>
      <c r="RQZ160" s="679"/>
      <c r="RRA160" s="679"/>
      <c r="RRB160" s="679"/>
      <c r="RRC160" s="679"/>
      <c r="RRD160" s="679"/>
      <c r="RRE160" s="679"/>
      <c r="RRF160" s="679"/>
      <c r="RRG160" s="679"/>
      <c r="RRH160" s="679"/>
      <c r="RRI160" s="679"/>
      <c r="RRJ160" s="679"/>
      <c r="RRK160" s="679"/>
      <c r="RRL160" s="679"/>
      <c r="RRM160" s="679"/>
      <c r="RRN160" s="679"/>
      <c r="RRO160" s="679"/>
      <c r="RRP160" s="679"/>
      <c r="RRQ160" s="679"/>
      <c r="RRR160" s="679"/>
      <c r="RRS160" s="679"/>
      <c r="RRT160" s="679"/>
      <c r="RRU160" s="679"/>
      <c r="RRV160" s="679"/>
      <c r="RRW160" s="679"/>
      <c r="RRX160" s="679"/>
      <c r="RRY160" s="679"/>
      <c r="RRZ160" s="679"/>
      <c r="RSA160" s="679"/>
      <c r="RSB160" s="679"/>
      <c r="RSC160" s="679"/>
      <c r="RSD160" s="679"/>
      <c r="RSE160" s="679"/>
      <c r="RSF160" s="679"/>
      <c r="RSG160" s="679"/>
      <c r="RSH160" s="679"/>
      <c r="RSI160" s="679"/>
      <c r="RSJ160" s="679"/>
      <c r="RSK160" s="679"/>
      <c r="RSL160" s="679"/>
      <c r="RSM160" s="679"/>
      <c r="RSN160" s="679"/>
      <c r="RSO160" s="679"/>
      <c r="RSP160" s="679"/>
      <c r="RSQ160" s="679"/>
      <c r="RSR160" s="679"/>
      <c r="RSS160" s="679"/>
      <c r="RST160" s="679"/>
      <c r="RSU160" s="679"/>
      <c r="RSV160" s="679"/>
      <c r="RSW160" s="679"/>
      <c r="RSX160" s="679"/>
      <c r="RSY160" s="679"/>
      <c r="RSZ160" s="679"/>
      <c r="RTA160" s="679"/>
      <c r="RTB160" s="679"/>
      <c r="RTC160" s="679"/>
      <c r="RTD160" s="679"/>
      <c r="RTE160" s="679"/>
      <c r="RTF160" s="679"/>
      <c r="RTG160" s="679"/>
      <c r="RTH160" s="679"/>
      <c r="RTI160" s="679"/>
      <c r="RTJ160" s="679"/>
      <c r="RTK160" s="679"/>
      <c r="RTL160" s="679"/>
      <c r="RTM160" s="679"/>
      <c r="RTN160" s="679"/>
      <c r="RTO160" s="679"/>
      <c r="RTP160" s="679"/>
      <c r="RTQ160" s="679"/>
      <c r="RTR160" s="679"/>
      <c r="RTS160" s="679"/>
      <c r="RTT160" s="679"/>
      <c r="RTU160" s="679"/>
      <c r="RTV160" s="679"/>
      <c r="RTW160" s="679"/>
      <c r="RTX160" s="679"/>
      <c r="RTY160" s="679"/>
      <c r="RTZ160" s="679"/>
      <c r="RUA160" s="679"/>
      <c r="RUB160" s="679"/>
      <c r="RUC160" s="679"/>
      <c r="RUD160" s="679"/>
      <c r="RUE160" s="679"/>
      <c r="RUF160" s="679"/>
      <c r="RUG160" s="679"/>
      <c r="RUH160" s="679"/>
      <c r="RUI160" s="679"/>
      <c r="RUJ160" s="679"/>
      <c r="RUK160" s="679"/>
      <c r="RUL160" s="679"/>
      <c r="RUM160" s="679"/>
      <c r="RUN160" s="679"/>
      <c r="RUO160" s="679"/>
      <c r="RUP160" s="679"/>
      <c r="RUQ160" s="679"/>
      <c r="RUR160" s="679"/>
      <c r="RUS160" s="679"/>
      <c r="RUT160" s="679"/>
      <c r="RUU160" s="679"/>
      <c r="RUV160" s="679"/>
      <c r="RUW160" s="679"/>
      <c r="RUX160" s="679"/>
      <c r="RUY160" s="679"/>
      <c r="RUZ160" s="679"/>
      <c r="RVA160" s="679"/>
      <c r="RVB160" s="679"/>
      <c r="RVC160" s="679"/>
      <c r="RVD160" s="679"/>
      <c r="RVE160" s="679"/>
      <c r="RVF160" s="679"/>
      <c r="RVG160" s="679"/>
      <c r="RVH160" s="679"/>
      <c r="RVI160" s="679"/>
      <c r="RVJ160" s="679"/>
      <c r="RVK160" s="679"/>
      <c r="RVL160" s="679"/>
      <c r="RVM160" s="679"/>
      <c r="RVN160" s="679"/>
      <c r="RVO160" s="679"/>
      <c r="RVP160" s="679"/>
      <c r="RVQ160" s="679"/>
      <c r="RVR160" s="679"/>
      <c r="RVS160" s="679"/>
      <c r="RVT160" s="679"/>
      <c r="RVU160" s="679"/>
      <c r="RVV160" s="679"/>
      <c r="RVW160" s="679"/>
      <c r="RVX160" s="679"/>
      <c r="RVY160" s="679"/>
      <c r="RVZ160" s="679"/>
      <c r="RWA160" s="679"/>
      <c r="RWB160" s="679"/>
      <c r="RWC160" s="679"/>
      <c r="RWD160" s="679"/>
      <c r="RWE160" s="679"/>
      <c r="RWF160" s="679"/>
      <c r="RWG160" s="679"/>
      <c r="RWH160" s="679"/>
      <c r="RWI160" s="679"/>
      <c r="RWJ160" s="679"/>
      <c r="RWK160" s="679"/>
      <c r="RWL160" s="679"/>
      <c r="RWM160" s="679"/>
      <c r="RWN160" s="679"/>
      <c r="RWO160" s="679"/>
      <c r="RWP160" s="679"/>
      <c r="RWQ160" s="679"/>
      <c r="RWR160" s="679"/>
      <c r="RWS160" s="679"/>
      <c r="RWT160" s="679"/>
      <c r="RWU160" s="679"/>
      <c r="RWV160" s="679"/>
      <c r="RWW160" s="679"/>
      <c r="RWX160" s="679"/>
      <c r="RWY160" s="679"/>
      <c r="RWZ160" s="679"/>
      <c r="RXA160" s="679"/>
      <c r="RXB160" s="679"/>
      <c r="RXC160" s="679"/>
      <c r="RXD160" s="679"/>
      <c r="RXE160" s="679"/>
      <c r="RXF160" s="679"/>
      <c r="RXG160" s="679"/>
      <c r="RXH160" s="679"/>
      <c r="RXI160" s="679"/>
      <c r="RXJ160" s="679"/>
      <c r="RXK160" s="679"/>
      <c r="RXL160" s="679"/>
      <c r="RXM160" s="679"/>
      <c r="RXN160" s="679"/>
      <c r="RXO160" s="679"/>
      <c r="RXP160" s="679"/>
      <c r="RXQ160" s="679"/>
      <c r="RXR160" s="679"/>
      <c r="RXS160" s="679"/>
      <c r="RXT160" s="679"/>
      <c r="RXU160" s="679"/>
      <c r="RXV160" s="679"/>
      <c r="RXW160" s="679"/>
      <c r="RXX160" s="679"/>
      <c r="RXY160" s="679"/>
      <c r="RXZ160" s="679"/>
      <c r="RYA160" s="679"/>
      <c r="RYB160" s="679"/>
      <c r="RYC160" s="679"/>
      <c r="RYD160" s="679"/>
      <c r="RYE160" s="679"/>
      <c r="RYF160" s="679"/>
      <c r="RYG160" s="679"/>
      <c r="RYH160" s="679"/>
      <c r="RYI160" s="679"/>
      <c r="RYJ160" s="679"/>
      <c r="RYK160" s="679"/>
      <c r="RYL160" s="679"/>
      <c r="RYM160" s="679"/>
      <c r="RYN160" s="679"/>
      <c r="RYO160" s="679"/>
      <c r="RYP160" s="679"/>
      <c r="RYQ160" s="679"/>
      <c r="RYR160" s="679"/>
      <c r="RYS160" s="679"/>
      <c r="RYT160" s="679"/>
      <c r="RYU160" s="679"/>
      <c r="RYV160" s="679"/>
      <c r="RYW160" s="679"/>
      <c r="RYX160" s="679"/>
      <c r="RYY160" s="679"/>
      <c r="RYZ160" s="679"/>
      <c r="RZA160" s="679"/>
      <c r="RZB160" s="679"/>
      <c r="RZC160" s="679"/>
      <c r="RZD160" s="679"/>
      <c r="RZE160" s="679"/>
      <c r="RZF160" s="679"/>
      <c r="RZG160" s="679"/>
      <c r="RZH160" s="679"/>
      <c r="RZI160" s="679"/>
      <c r="RZJ160" s="679"/>
      <c r="RZK160" s="679"/>
      <c r="RZL160" s="679"/>
      <c r="RZM160" s="679"/>
      <c r="RZN160" s="679"/>
      <c r="RZO160" s="679"/>
      <c r="RZP160" s="679"/>
      <c r="RZQ160" s="679"/>
      <c r="RZR160" s="679"/>
      <c r="RZS160" s="679"/>
      <c r="RZT160" s="679"/>
      <c r="RZU160" s="679"/>
      <c r="RZV160" s="679"/>
      <c r="RZW160" s="679"/>
      <c r="RZX160" s="679"/>
      <c r="RZY160" s="679"/>
      <c r="RZZ160" s="679"/>
      <c r="SAA160" s="679"/>
      <c r="SAB160" s="679"/>
      <c r="SAC160" s="679"/>
      <c r="SAD160" s="679"/>
      <c r="SAE160" s="679"/>
      <c r="SAF160" s="679"/>
      <c r="SAG160" s="679"/>
      <c r="SAH160" s="679"/>
      <c r="SAI160" s="679"/>
      <c r="SAJ160" s="679"/>
      <c r="SAK160" s="679"/>
      <c r="SAL160" s="679"/>
      <c r="SAM160" s="679"/>
      <c r="SAN160" s="679"/>
      <c r="SAO160" s="679"/>
      <c r="SAP160" s="679"/>
      <c r="SAQ160" s="679"/>
      <c r="SAR160" s="679"/>
      <c r="SAS160" s="679"/>
      <c r="SAT160" s="679"/>
      <c r="SAU160" s="679"/>
      <c r="SAV160" s="679"/>
      <c r="SAW160" s="679"/>
      <c r="SAX160" s="679"/>
      <c r="SAY160" s="679"/>
      <c r="SAZ160" s="679"/>
      <c r="SBA160" s="679"/>
      <c r="SBB160" s="679"/>
      <c r="SBC160" s="679"/>
      <c r="SBD160" s="679"/>
      <c r="SBE160" s="679"/>
      <c r="SBF160" s="679"/>
      <c r="SBG160" s="679"/>
      <c r="SBH160" s="679"/>
      <c r="SBI160" s="679"/>
      <c r="SBJ160" s="679"/>
      <c r="SBK160" s="679"/>
      <c r="SBL160" s="679"/>
      <c r="SBM160" s="679"/>
      <c r="SBN160" s="679"/>
      <c r="SBO160" s="679"/>
      <c r="SBP160" s="679"/>
      <c r="SBQ160" s="679"/>
      <c r="SBR160" s="679"/>
      <c r="SBS160" s="679"/>
      <c r="SBT160" s="679"/>
      <c r="SBU160" s="679"/>
      <c r="SBV160" s="679"/>
      <c r="SBW160" s="679"/>
      <c r="SBX160" s="679"/>
      <c r="SBY160" s="679"/>
      <c r="SBZ160" s="679"/>
      <c r="SCA160" s="679"/>
      <c r="SCB160" s="679"/>
      <c r="SCC160" s="679"/>
      <c r="SCD160" s="679"/>
      <c r="SCE160" s="679"/>
      <c r="SCF160" s="679"/>
      <c r="SCG160" s="679"/>
      <c r="SCH160" s="679"/>
      <c r="SCI160" s="679"/>
      <c r="SCJ160" s="679"/>
      <c r="SCK160" s="679"/>
      <c r="SCL160" s="679"/>
      <c r="SCM160" s="679"/>
      <c r="SCN160" s="679"/>
      <c r="SCO160" s="679"/>
      <c r="SCP160" s="679"/>
      <c r="SCQ160" s="679"/>
      <c r="SCR160" s="679"/>
      <c r="SCS160" s="679"/>
      <c r="SCT160" s="679"/>
      <c r="SCU160" s="679"/>
      <c r="SCV160" s="679"/>
      <c r="SCW160" s="679"/>
      <c r="SCX160" s="679"/>
      <c r="SCY160" s="679"/>
      <c r="SCZ160" s="679"/>
      <c r="SDA160" s="679"/>
      <c r="SDB160" s="679"/>
      <c r="SDC160" s="679"/>
      <c r="SDD160" s="679"/>
      <c r="SDE160" s="679"/>
      <c r="SDF160" s="679"/>
      <c r="SDG160" s="679"/>
      <c r="SDH160" s="679"/>
      <c r="SDI160" s="679"/>
      <c r="SDJ160" s="679"/>
      <c r="SDK160" s="679"/>
      <c r="SDL160" s="679"/>
      <c r="SDM160" s="679"/>
      <c r="SDN160" s="679"/>
      <c r="SDO160" s="679"/>
      <c r="SDP160" s="679"/>
      <c r="SDQ160" s="679"/>
      <c r="SDR160" s="679"/>
      <c r="SDS160" s="679"/>
      <c r="SDT160" s="679"/>
      <c r="SDU160" s="679"/>
      <c r="SDV160" s="679"/>
      <c r="SDW160" s="679"/>
      <c r="SDX160" s="679"/>
      <c r="SDY160" s="679"/>
      <c r="SDZ160" s="679"/>
      <c r="SEA160" s="679"/>
      <c r="SEB160" s="679"/>
      <c r="SEC160" s="679"/>
      <c r="SED160" s="679"/>
      <c r="SEE160" s="679"/>
      <c r="SEF160" s="679"/>
      <c r="SEG160" s="679"/>
      <c r="SEH160" s="679"/>
      <c r="SEI160" s="679"/>
      <c r="SEJ160" s="679"/>
      <c r="SEK160" s="679"/>
      <c r="SEL160" s="679"/>
      <c r="SEM160" s="679"/>
      <c r="SEN160" s="679"/>
      <c r="SEO160" s="679"/>
      <c r="SEP160" s="679"/>
      <c r="SEQ160" s="679"/>
      <c r="SER160" s="679"/>
      <c r="SES160" s="679"/>
      <c r="SET160" s="679"/>
      <c r="SEU160" s="679"/>
      <c r="SEV160" s="679"/>
      <c r="SEW160" s="679"/>
      <c r="SEX160" s="679"/>
      <c r="SEY160" s="679"/>
      <c r="SEZ160" s="679"/>
      <c r="SFA160" s="679"/>
      <c r="SFB160" s="679"/>
      <c r="SFC160" s="679"/>
      <c r="SFD160" s="679"/>
      <c r="SFE160" s="679"/>
      <c r="SFF160" s="679"/>
      <c r="SFG160" s="679"/>
      <c r="SFH160" s="679"/>
      <c r="SFI160" s="679"/>
      <c r="SFJ160" s="679"/>
      <c r="SFK160" s="679"/>
      <c r="SFL160" s="679"/>
      <c r="SFM160" s="679"/>
      <c r="SFN160" s="679"/>
      <c r="SFO160" s="679"/>
      <c r="SFP160" s="679"/>
      <c r="SFQ160" s="679"/>
      <c r="SFR160" s="679"/>
      <c r="SFS160" s="679"/>
      <c r="SFT160" s="679"/>
      <c r="SFU160" s="679"/>
      <c r="SFV160" s="679"/>
      <c r="SFW160" s="679"/>
      <c r="SFX160" s="679"/>
      <c r="SFY160" s="679"/>
      <c r="SFZ160" s="679"/>
      <c r="SGA160" s="679"/>
      <c r="SGB160" s="679"/>
      <c r="SGC160" s="679"/>
      <c r="SGD160" s="679"/>
      <c r="SGE160" s="679"/>
      <c r="SGF160" s="679"/>
      <c r="SGG160" s="679"/>
      <c r="SGH160" s="679"/>
      <c r="SGI160" s="679"/>
      <c r="SGJ160" s="679"/>
      <c r="SGK160" s="679"/>
      <c r="SGL160" s="679"/>
      <c r="SGM160" s="679"/>
      <c r="SGN160" s="679"/>
      <c r="SGO160" s="679"/>
      <c r="SGP160" s="679"/>
      <c r="SGQ160" s="679"/>
      <c r="SGR160" s="679"/>
      <c r="SGS160" s="679"/>
      <c r="SGT160" s="679"/>
      <c r="SGU160" s="679"/>
      <c r="SGV160" s="679"/>
      <c r="SGW160" s="679"/>
      <c r="SGX160" s="679"/>
      <c r="SGY160" s="679"/>
      <c r="SGZ160" s="679"/>
      <c r="SHA160" s="679"/>
      <c r="SHB160" s="679"/>
      <c r="SHC160" s="679"/>
      <c r="SHD160" s="679"/>
      <c r="SHE160" s="679"/>
      <c r="SHF160" s="679"/>
      <c r="SHG160" s="679"/>
      <c r="SHH160" s="679"/>
      <c r="SHI160" s="679"/>
      <c r="SHJ160" s="679"/>
      <c r="SHK160" s="679"/>
      <c r="SHL160" s="679"/>
      <c r="SHM160" s="679"/>
      <c r="SHN160" s="679"/>
      <c r="SHO160" s="679"/>
      <c r="SHP160" s="679"/>
      <c r="SHQ160" s="679"/>
      <c r="SHR160" s="679"/>
      <c r="SHS160" s="679"/>
      <c r="SHT160" s="679"/>
      <c r="SHU160" s="679"/>
      <c r="SHV160" s="679"/>
      <c r="SHW160" s="679"/>
      <c r="SHX160" s="679"/>
      <c r="SHY160" s="679"/>
      <c r="SHZ160" s="679"/>
      <c r="SIA160" s="679"/>
      <c r="SIB160" s="679"/>
      <c r="SIC160" s="679"/>
      <c r="SID160" s="679"/>
      <c r="SIE160" s="679"/>
      <c r="SIF160" s="679"/>
      <c r="SIG160" s="679"/>
      <c r="SIH160" s="679"/>
      <c r="SII160" s="679"/>
      <c r="SIJ160" s="679"/>
      <c r="SIK160" s="679"/>
      <c r="SIL160" s="679"/>
      <c r="SIM160" s="679"/>
      <c r="SIN160" s="679"/>
      <c r="SIO160" s="679"/>
      <c r="SIP160" s="679"/>
      <c r="SIQ160" s="679"/>
      <c r="SIR160" s="679"/>
      <c r="SIS160" s="679"/>
      <c r="SIT160" s="679"/>
      <c r="SIU160" s="679"/>
      <c r="SIV160" s="679"/>
      <c r="SIW160" s="679"/>
      <c r="SIX160" s="679"/>
      <c r="SIY160" s="679"/>
      <c r="SIZ160" s="679"/>
      <c r="SJA160" s="679"/>
      <c r="SJB160" s="679"/>
      <c r="SJC160" s="679"/>
      <c r="SJD160" s="679"/>
      <c r="SJE160" s="679"/>
      <c r="SJF160" s="679"/>
      <c r="SJG160" s="679"/>
      <c r="SJH160" s="679"/>
      <c r="SJI160" s="679"/>
      <c r="SJJ160" s="679"/>
      <c r="SJK160" s="679"/>
      <c r="SJL160" s="679"/>
      <c r="SJM160" s="679"/>
      <c r="SJN160" s="679"/>
      <c r="SJO160" s="679"/>
      <c r="SJP160" s="679"/>
      <c r="SJQ160" s="679"/>
      <c r="SJR160" s="679"/>
      <c r="SJS160" s="679"/>
      <c r="SJT160" s="679"/>
      <c r="SJU160" s="679"/>
      <c r="SJV160" s="679"/>
      <c r="SJW160" s="679"/>
      <c r="SJX160" s="679"/>
      <c r="SJY160" s="679"/>
      <c r="SJZ160" s="679"/>
      <c r="SKA160" s="679"/>
      <c r="SKB160" s="679"/>
      <c r="SKC160" s="679"/>
      <c r="SKD160" s="679"/>
      <c r="SKE160" s="679"/>
      <c r="SKF160" s="679"/>
      <c r="SKG160" s="679"/>
      <c r="SKH160" s="679"/>
      <c r="SKI160" s="679"/>
      <c r="SKJ160" s="679"/>
      <c r="SKK160" s="679"/>
      <c r="SKL160" s="679"/>
      <c r="SKM160" s="679"/>
      <c r="SKN160" s="679"/>
      <c r="SKO160" s="679"/>
      <c r="SKP160" s="679"/>
      <c r="SKQ160" s="679"/>
      <c r="SKR160" s="679"/>
      <c r="SKS160" s="679"/>
      <c r="SKT160" s="679"/>
      <c r="SKU160" s="679"/>
      <c r="SKV160" s="679"/>
      <c r="SKW160" s="679"/>
      <c r="SKX160" s="679"/>
      <c r="SKY160" s="679"/>
      <c r="SKZ160" s="679"/>
      <c r="SLA160" s="679"/>
      <c r="SLB160" s="679"/>
      <c r="SLC160" s="679"/>
      <c r="SLD160" s="679"/>
      <c r="SLE160" s="679"/>
      <c r="SLF160" s="679"/>
      <c r="SLG160" s="679"/>
      <c r="SLH160" s="679"/>
      <c r="SLI160" s="679"/>
      <c r="SLJ160" s="679"/>
      <c r="SLK160" s="679"/>
      <c r="SLL160" s="679"/>
      <c r="SLM160" s="679"/>
      <c r="SLN160" s="679"/>
      <c r="SLO160" s="679"/>
      <c r="SLP160" s="679"/>
      <c r="SLQ160" s="679"/>
      <c r="SLR160" s="679"/>
      <c r="SLS160" s="679"/>
      <c r="SLT160" s="679"/>
      <c r="SLU160" s="679"/>
      <c r="SLV160" s="679"/>
      <c r="SLW160" s="679"/>
      <c r="SLX160" s="679"/>
      <c r="SLY160" s="679"/>
      <c r="SLZ160" s="679"/>
      <c r="SMA160" s="679"/>
      <c r="SMB160" s="679"/>
      <c r="SMC160" s="679"/>
      <c r="SMD160" s="679"/>
      <c r="SME160" s="679"/>
      <c r="SMF160" s="679"/>
      <c r="SMG160" s="679"/>
      <c r="SMH160" s="679"/>
      <c r="SMI160" s="679"/>
      <c r="SMJ160" s="679"/>
      <c r="SMK160" s="679"/>
      <c r="SML160" s="679"/>
      <c r="SMM160" s="679"/>
      <c r="SMN160" s="679"/>
      <c r="SMO160" s="679"/>
      <c r="SMP160" s="679"/>
      <c r="SMQ160" s="679"/>
      <c r="SMR160" s="679"/>
      <c r="SMS160" s="679"/>
      <c r="SMT160" s="679"/>
      <c r="SMU160" s="679"/>
      <c r="SMV160" s="679"/>
      <c r="SMW160" s="679"/>
      <c r="SMX160" s="679"/>
      <c r="SMY160" s="679"/>
      <c r="SMZ160" s="679"/>
      <c r="SNA160" s="679"/>
      <c r="SNB160" s="679"/>
      <c r="SNC160" s="679"/>
      <c r="SND160" s="679"/>
      <c r="SNE160" s="679"/>
      <c r="SNF160" s="679"/>
      <c r="SNG160" s="679"/>
      <c r="SNH160" s="679"/>
      <c r="SNI160" s="679"/>
      <c r="SNJ160" s="679"/>
      <c r="SNK160" s="679"/>
      <c r="SNL160" s="679"/>
      <c r="SNM160" s="679"/>
      <c r="SNN160" s="679"/>
      <c r="SNO160" s="679"/>
      <c r="SNP160" s="679"/>
      <c r="SNQ160" s="679"/>
      <c r="SNR160" s="679"/>
      <c r="SNS160" s="679"/>
      <c r="SNT160" s="679"/>
      <c r="SNU160" s="679"/>
      <c r="SNV160" s="679"/>
      <c r="SNW160" s="679"/>
      <c r="SNX160" s="679"/>
      <c r="SNY160" s="679"/>
      <c r="SNZ160" s="679"/>
      <c r="SOA160" s="679"/>
      <c r="SOB160" s="679"/>
      <c r="SOC160" s="679"/>
      <c r="SOD160" s="679"/>
      <c r="SOE160" s="679"/>
      <c r="SOF160" s="679"/>
      <c r="SOG160" s="679"/>
      <c r="SOH160" s="679"/>
      <c r="SOI160" s="679"/>
      <c r="SOJ160" s="679"/>
      <c r="SOK160" s="679"/>
      <c r="SOL160" s="679"/>
      <c r="SOM160" s="679"/>
      <c r="SON160" s="679"/>
      <c r="SOO160" s="679"/>
      <c r="SOP160" s="679"/>
      <c r="SOQ160" s="679"/>
      <c r="SOR160" s="679"/>
      <c r="SOS160" s="679"/>
      <c r="SOT160" s="679"/>
      <c r="SOU160" s="679"/>
      <c r="SOV160" s="679"/>
      <c r="SOW160" s="679"/>
      <c r="SOX160" s="679"/>
      <c r="SOY160" s="679"/>
      <c r="SOZ160" s="679"/>
      <c r="SPA160" s="679"/>
      <c r="SPB160" s="679"/>
      <c r="SPC160" s="679"/>
      <c r="SPD160" s="679"/>
      <c r="SPE160" s="679"/>
      <c r="SPF160" s="679"/>
      <c r="SPG160" s="679"/>
      <c r="SPH160" s="679"/>
      <c r="SPI160" s="679"/>
      <c r="SPJ160" s="679"/>
      <c r="SPK160" s="679"/>
      <c r="SPL160" s="679"/>
      <c r="SPM160" s="679"/>
      <c r="SPN160" s="679"/>
      <c r="SPO160" s="679"/>
      <c r="SPP160" s="679"/>
      <c r="SPQ160" s="679"/>
      <c r="SPR160" s="679"/>
      <c r="SPS160" s="679"/>
      <c r="SPT160" s="679"/>
      <c r="SPU160" s="679"/>
      <c r="SPV160" s="679"/>
      <c r="SPW160" s="679"/>
      <c r="SPX160" s="679"/>
      <c r="SPY160" s="679"/>
      <c r="SPZ160" s="679"/>
      <c r="SQA160" s="679"/>
      <c r="SQB160" s="679"/>
      <c r="SQC160" s="679"/>
      <c r="SQD160" s="679"/>
      <c r="SQE160" s="679"/>
      <c r="SQF160" s="679"/>
      <c r="SQG160" s="679"/>
      <c r="SQH160" s="679"/>
      <c r="SQI160" s="679"/>
      <c r="SQJ160" s="679"/>
      <c r="SQK160" s="679"/>
      <c r="SQL160" s="679"/>
      <c r="SQM160" s="679"/>
      <c r="SQN160" s="679"/>
      <c r="SQO160" s="679"/>
      <c r="SQP160" s="679"/>
      <c r="SQQ160" s="679"/>
      <c r="SQR160" s="679"/>
      <c r="SQS160" s="679"/>
      <c r="SQT160" s="679"/>
      <c r="SQU160" s="679"/>
      <c r="SQV160" s="679"/>
      <c r="SQW160" s="679"/>
      <c r="SQX160" s="679"/>
      <c r="SQY160" s="679"/>
      <c r="SQZ160" s="679"/>
      <c r="SRA160" s="679"/>
      <c r="SRB160" s="679"/>
      <c r="SRC160" s="679"/>
      <c r="SRD160" s="679"/>
      <c r="SRE160" s="679"/>
      <c r="SRF160" s="679"/>
      <c r="SRG160" s="679"/>
      <c r="SRH160" s="679"/>
      <c r="SRI160" s="679"/>
      <c r="SRJ160" s="679"/>
      <c r="SRK160" s="679"/>
      <c r="SRL160" s="679"/>
      <c r="SRM160" s="679"/>
      <c r="SRN160" s="679"/>
      <c r="SRO160" s="679"/>
      <c r="SRP160" s="679"/>
      <c r="SRQ160" s="679"/>
      <c r="SRR160" s="679"/>
      <c r="SRS160" s="679"/>
      <c r="SRT160" s="679"/>
      <c r="SRU160" s="679"/>
      <c r="SRV160" s="679"/>
      <c r="SRW160" s="679"/>
      <c r="SRX160" s="679"/>
      <c r="SRY160" s="679"/>
      <c r="SRZ160" s="679"/>
      <c r="SSA160" s="679"/>
      <c r="SSB160" s="679"/>
      <c r="SSC160" s="679"/>
      <c r="SSD160" s="679"/>
      <c r="SSE160" s="679"/>
      <c r="SSF160" s="679"/>
      <c r="SSG160" s="679"/>
      <c r="SSH160" s="679"/>
      <c r="SSI160" s="679"/>
      <c r="SSJ160" s="679"/>
      <c r="SSK160" s="679"/>
      <c r="SSL160" s="679"/>
      <c r="SSM160" s="679"/>
      <c r="SSN160" s="679"/>
      <c r="SSO160" s="679"/>
      <c r="SSP160" s="679"/>
      <c r="SSQ160" s="679"/>
      <c r="SSR160" s="679"/>
      <c r="SSS160" s="679"/>
      <c r="SST160" s="679"/>
      <c r="SSU160" s="679"/>
      <c r="SSV160" s="679"/>
      <c r="SSW160" s="679"/>
      <c r="SSX160" s="679"/>
      <c r="SSY160" s="679"/>
      <c r="SSZ160" s="679"/>
      <c r="STA160" s="679"/>
      <c r="STB160" s="679"/>
      <c r="STC160" s="679"/>
      <c r="STD160" s="679"/>
      <c r="STE160" s="679"/>
      <c r="STF160" s="679"/>
      <c r="STG160" s="679"/>
      <c r="STH160" s="679"/>
      <c r="STI160" s="679"/>
      <c r="STJ160" s="679"/>
      <c r="STK160" s="679"/>
      <c r="STL160" s="679"/>
      <c r="STM160" s="679"/>
      <c r="STN160" s="679"/>
      <c r="STO160" s="679"/>
      <c r="STP160" s="679"/>
      <c r="STQ160" s="679"/>
      <c r="STR160" s="679"/>
      <c r="STS160" s="679"/>
      <c r="STT160" s="679"/>
      <c r="STU160" s="679"/>
      <c r="STV160" s="679"/>
      <c r="STW160" s="679"/>
      <c r="STX160" s="679"/>
      <c r="STY160" s="679"/>
      <c r="STZ160" s="679"/>
      <c r="SUA160" s="679"/>
      <c r="SUB160" s="679"/>
      <c r="SUC160" s="679"/>
      <c r="SUD160" s="679"/>
      <c r="SUE160" s="679"/>
      <c r="SUF160" s="679"/>
      <c r="SUG160" s="679"/>
      <c r="SUH160" s="679"/>
      <c r="SUI160" s="679"/>
      <c r="SUJ160" s="679"/>
      <c r="SUK160" s="679"/>
      <c r="SUL160" s="679"/>
      <c r="SUM160" s="679"/>
      <c r="SUN160" s="679"/>
      <c r="SUO160" s="679"/>
      <c r="SUP160" s="679"/>
      <c r="SUQ160" s="679"/>
      <c r="SUR160" s="679"/>
      <c r="SUS160" s="679"/>
      <c r="SUT160" s="679"/>
      <c r="SUU160" s="679"/>
      <c r="SUV160" s="679"/>
      <c r="SUW160" s="679"/>
      <c r="SUX160" s="679"/>
      <c r="SUY160" s="679"/>
      <c r="SUZ160" s="679"/>
      <c r="SVA160" s="679"/>
      <c r="SVB160" s="679"/>
      <c r="SVC160" s="679"/>
      <c r="SVD160" s="679"/>
      <c r="SVE160" s="679"/>
      <c r="SVF160" s="679"/>
      <c r="SVG160" s="679"/>
      <c r="SVH160" s="679"/>
      <c r="SVI160" s="679"/>
      <c r="SVJ160" s="679"/>
      <c r="SVK160" s="679"/>
      <c r="SVL160" s="679"/>
      <c r="SVM160" s="679"/>
      <c r="SVN160" s="679"/>
      <c r="SVO160" s="679"/>
      <c r="SVP160" s="679"/>
      <c r="SVQ160" s="679"/>
      <c r="SVR160" s="679"/>
      <c r="SVS160" s="679"/>
      <c r="SVT160" s="679"/>
      <c r="SVU160" s="679"/>
      <c r="SVV160" s="679"/>
      <c r="SVW160" s="679"/>
      <c r="SVX160" s="679"/>
      <c r="SVY160" s="679"/>
      <c r="SVZ160" s="679"/>
      <c r="SWA160" s="679"/>
      <c r="SWB160" s="679"/>
      <c r="SWC160" s="679"/>
      <c r="SWD160" s="679"/>
      <c r="SWE160" s="679"/>
      <c r="SWF160" s="679"/>
      <c r="SWG160" s="679"/>
      <c r="SWH160" s="679"/>
      <c r="SWI160" s="679"/>
      <c r="SWJ160" s="679"/>
      <c r="SWK160" s="679"/>
      <c r="SWL160" s="679"/>
      <c r="SWM160" s="679"/>
      <c r="SWN160" s="679"/>
      <c r="SWO160" s="679"/>
      <c r="SWP160" s="679"/>
      <c r="SWQ160" s="679"/>
      <c r="SWR160" s="679"/>
      <c r="SWS160" s="679"/>
      <c r="SWT160" s="679"/>
      <c r="SWU160" s="679"/>
      <c r="SWV160" s="679"/>
      <c r="SWW160" s="679"/>
      <c r="SWX160" s="679"/>
      <c r="SWY160" s="679"/>
      <c r="SWZ160" s="679"/>
      <c r="SXA160" s="679"/>
      <c r="SXB160" s="679"/>
      <c r="SXC160" s="679"/>
      <c r="SXD160" s="679"/>
      <c r="SXE160" s="679"/>
      <c r="SXF160" s="679"/>
      <c r="SXG160" s="679"/>
      <c r="SXH160" s="679"/>
      <c r="SXI160" s="679"/>
      <c r="SXJ160" s="679"/>
      <c r="SXK160" s="679"/>
      <c r="SXL160" s="679"/>
      <c r="SXM160" s="679"/>
      <c r="SXN160" s="679"/>
      <c r="SXO160" s="679"/>
      <c r="SXP160" s="679"/>
      <c r="SXQ160" s="679"/>
      <c r="SXR160" s="679"/>
      <c r="SXS160" s="679"/>
      <c r="SXT160" s="679"/>
      <c r="SXU160" s="679"/>
      <c r="SXV160" s="679"/>
      <c r="SXW160" s="679"/>
      <c r="SXX160" s="679"/>
      <c r="SXY160" s="679"/>
      <c r="SXZ160" s="679"/>
      <c r="SYA160" s="679"/>
      <c r="SYB160" s="679"/>
      <c r="SYC160" s="679"/>
      <c r="SYD160" s="679"/>
      <c r="SYE160" s="679"/>
      <c r="SYF160" s="679"/>
      <c r="SYG160" s="679"/>
      <c r="SYH160" s="679"/>
      <c r="SYI160" s="679"/>
      <c r="SYJ160" s="679"/>
      <c r="SYK160" s="679"/>
      <c r="SYL160" s="679"/>
      <c r="SYM160" s="679"/>
      <c r="SYN160" s="679"/>
      <c r="SYO160" s="679"/>
      <c r="SYP160" s="679"/>
      <c r="SYQ160" s="679"/>
      <c r="SYR160" s="679"/>
      <c r="SYS160" s="679"/>
      <c r="SYT160" s="679"/>
      <c r="SYU160" s="679"/>
      <c r="SYV160" s="679"/>
      <c r="SYW160" s="679"/>
      <c r="SYX160" s="679"/>
      <c r="SYY160" s="679"/>
      <c r="SYZ160" s="679"/>
      <c r="SZA160" s="679"/>
      <c r="SZB160" s="679"/>
      <c r="SZC160" s="679"/>
      <c r="SZD160" s="679"/>
      <c r="SZE160" s="679"/>
      <c r="SZF160" s="679"/>
      <c r="SZG160" s="679"/>
      <c r="SZH160" s="679"/>
      <c r="SZI160" s="679"/>
      <c r="SZJ160" s="679"/>
      <c r="SZK160" s="679"/>
      <c r="SZL160" s="679"/>
      <c r="SZM160" s="679"/>
      <c r="SZN160" s="679"/>
      <c r="SZO160" s="679"/>
      <c r="SZP160" s="679"/>
      <c r="SZQ160" s="679"/>
      <c r="SZR160" s="679"/>
      <c r="SZS160" s="679"/>
      <c r="SZT160" s="679"/>
      <c r="SZU160" s="679"/>
      <c r="SZV160" s="679"/>
      <c r="SZW160" s="679"/>
      <c r="SZX160" s="679"/>
      <c r="SZY160" s="679"/>
      <c r="SZZ160" s="679"/>
      <c r="TAA160" s="679"/>
      <c r="TAB160" s="679"/>
      <c r="TAC160" s="679"/>
      <c r="TAD160" s="679"/>
      <c r="TAE160" s="679"/>
      <c r="TAF160" s="679"/>
      <c r="TAG160" s="679"/>
      <c r="TAH160" s="679"/>
      <c r="TAI160" s="679"/>
      <c r="TAJ160" s="679"/>
      <c r="TAK160" s="679"/>
      <c r="TAL160" s="679"/>
      <c r="TAM160" s="679"/>
      <c r="TAN160" s="679"/>
      <c r="TAO160" s="679"/>
      <c r="TAP160" s="679"/>
      <c r="TAQ160" s="679"/>
      <c r="TAR160" s="679"/>
      <c r="TAS160" s="679"/>
      <c r="TAT160" s="679"/>
      <c r="TAU160" s="679"/>
      <c r="TAV160" s="679"/>
      <c r="TAW160" s="679"/>
      <c r="TAX160" s="679"/>
      <c r="TAY160" s="679"/>
      <c r="TAZ160" s="679"/>
      <c r="TBA160" s="679"/>
      <c r="TBB160" s="679"/>
      <c r="TBC160" s="679"/>
      <c r="TBD160" s="679"/>
      <c r="TBE160" s="679"/>
      <c r="TBF160" s="679"/>
      <c r="TBG160" s="679"/>
      <c r="TBH160" s="679"/>
      <c r="TBI160" s="679"/>
      <c r="TBJ160" s="679"/>
      <c r="TBK160" s="679"/>
      <c r="TBL160" s="679"/>
      <c r="TBM160" s="679"/>
      <c r="TBN160" s="679"/>
      <c r="TBO160" s="679"/>
      <c r="TBP160" s="679"/>
      <c r="TBQ160" s="679"/>
      <c r="TBR160" s="679"/>
      <c r="TBS160" s="679"/>
      <c r="TBT160" s="679"/>
      <c r="TBU160" s="679"/>
      <c r="TBV160" s="679"/>
      <c r="TBW160" s="679"/>
      <c r="TBX160" s="679"/>
      <c r="TBY160" s="679"/>
      <c r="TBZ160" s="679"/>
      <c r="TCA160" s="679"/>
      <c r="TCB160" s="679"/>
      <c r="TCC160" s="679"/>
      <c r="TCD160" s="679"/>
      <c r="TCE160" s="679"/>
      <c r="TCF160" s="679"/>
      <c r="TCG160" s="679"/>
      <c r="TCH160" s="679"/>
      <c r="TCI160" s="679"/>
      <c r="TCJ160" s="679"/>
      <c r="TCK160" s="679"/>
      <c r="TCL160" s="679"/>
      <c r="TCM160" s="679"/>
      <c r="TCN160" s="679"/>
      <c r="TCO160" s="679"/>
      <c r="TCP160" s="679"/>
      <c r="TCQ160" s="679"/>
      <c r="TCR160" s="679"/>
      <c r="TCS160" s="679"/>
      <c r="TCT160" s="679"/>
      <c r="TCU160" s="679"/>
      <c r="TCV160" s="679"/>
      <c r="TCW160" s="679"/>
      <c r="TCX160" s="679"/>
      <c r="TCY160" s="679"/>
      <c r="TCZ160" s="679"/>
      <c r="TDA160" s="679"/>
      <c r="TDB160" s="679"/>
      <c r="TDC160" s="679"/>
      <c r="TDD160" s="679"/>
      <c r="TDE160" s="679"/>
      <c r="TDF160" s="679"/>
      <c r="TDG160" s="679"/>
      <c r="TDH160" s="679"/>
      <c r="TDI160" s="679"/>
      <c r="TDJ160" s="679"/>
      <c r="TDK160" s="679"/>
      <c r="TDL160" s="679"/>
      <c r="TDM160" s="679"/>
      <c r="TDN160" s="679"/>
      <c r="TDO160" s="679"/>
      <c r="TDP160" s="679"/>
      <c r="TDQ160" s="679"/>
      <c r="TDR160" s="679"/>
      <c r="TDS160" s="679"/>
      <c r="TDT160" s="679"/>
      <c r="TDU160" s="679"/>
      <c r="TDV160" s="679"/>
      <c r="TDW160" s="679"/>
      <c r="TDX160" s="679"/>
      <c r="TDY160" s="679"/>
      <c r="TDZ160" s="679"/>
      <c r="TEA160" s="679"/>
      <c r="TEB160" s="679"/>
      <c r="TEC160" s="679"/>
      <c r="TED160" s="679"/>
      <c r="TEE160" s="679"/>
      <c r="TEF160" s="679"/>
      <c r="TEG160" s="679"/>
      <c r="TEH160" s="679"/>
      <c r="TEI160" s="679"/>
      <c r="TEJ160" s="679"/>
      <c r="TEK160" s="679"/>
      <c r="TEL160" s="679"/>
      <c r="TEM160" s="679"/>
      <c r="TEN160" s="679"/>
      <c r="TEO160" s="679"/>
      <c r="TEP160" s="679"/>
      <c r="TEQ160" s="679"/>
      <c r="TER160" s="679"/>
      <c r="TES160" s="679"/>
      <c r="TET160" s="679"/>
      <c r="TEU160" s="679"/>
      <c r="TEV160" s="679"/>
      <c r="TEW160" s="679"/>
      <c r="TEX160" s="679"/>
      <c r="TEY160" s="679"/>
      <c r="TEZ160" s="679"/>
      <c r="TFA160" s="679"/>
      <c r="TFB160" s="679"/>
      <c r="TFC160" s="679"/>
      <c r="TFD160" s="679"/>
      <c r="TFE160" s="679"/>
      <c r="TFF160" s="679"/>
      <c r="TFG160" s="679"/>
      <c r="TFH160" s="679"/>
      <c r="TFI160" s="679"/>
      <c r="TFJ160" s="679"/>
      <c r="TFK160" s="679"/>
      <c r="TFL160" s="679"/>
      <c r="TFM160" s="679"/>
      <c r="TFN160" s="679"/>
      <c r="TFO160" s="679"/>
      <c r="TFP160" s="679"/>
      <c r="TFQ160" s="679"/>
      <c r="TFR160" s="679"/>
      <c r="TFS160" s="679"/>
      <c r="TFT160" s="679"/>
      <c r="TFU160" s="679"/>
      <c r="TFV160" s="679"/>
      <c r="TFW160" s="679"/>
      <c r="TFX160" s="679"/>
      <c r="TFY160" s="679"/>
      <c r="TFZ160" s="679"/>
      <c r="TGA160" s="679"/>
      <c r="TGB160" s="679"/>
      <c r="TGC160" s="679"/>
      <c r="TGD160" s="679"/>
      <c r="TGE160" s="679"/>
      <c r="TGF160" s="679"/>
      <c r="TGG160" s="679"/>
      <c r="TGH160" s="679"/>
      <c r="TGI160" s="679"/>
      <c r="TGJ160" s="679"/>
      <c r="TGK160" s="679"/>
      <c r="TGL160" s="679"/>
      <c r="TGM160" s="679"/>
      <c r="TGN160" s="679"/>
      <c r="TGO160" s="679"/>
      <c r="TGP160" s="679"/>
      <c r="TGQ160" s="679"/>
      <c r="TGR160" s="679"/>
      <c r="TGS160" s="679"/>
      <c r="TGT160" s="679"/>
      <c r="TGU160" s="679"/>
      <c r="TGV160" s="679"/>
      <c r="TGW160" s="679"/>
      <c r="TGX160" s="679"/>
      <c r="TGY160" s="679"/>
      <c r="TGZ160" s="679"/>
      <c r="THA160" s="679"/>
      <c r="THB160" s="679"/>
      <c r="THC160" s="679"/>
      <c r="THD160" s="679"/>
      <c r="THE160" s="679"/>
      <c r="THF160" s="679"/>
      <c r="THG160" s="679"/>
      <c r="THH160" s="679"/>
      <c r="THI160" s="679"/>
      <c r="THJ160" s="679"/>
      <c r="THK160" s="679"/>
      <c r="THL160" s="679"/>
      <c r="THM160" s="679"/>
      <c r="THN160" s="679"/>
      <c r="THO160" s="679"/>
      <c r="THP160" s="679"/>
      <c r="THQ160" s="679"/>
      <c r="THR160" s="679"/>
      <c r="THS160" s="679"/>
      <c r="THT160" s="679"/>
      <c r="THU160" s="679"/>
      <c r="THV160" s="679"/>
      <c r="THW160" s="679"/>
      <c r="THX160" s="679"/>
      <c r="THY160" s="679"/>
      <c r="THZ160" s="679"/>
      <c r="TIA160" s="679"/>
      <c r="TIB160" s="679"/>
      <c r="TIC160" s="679"/>
      <c r="TID160" s="679"/>
      <c r="TIE160" s="679"/>
      <c r="TIF160" s="679"/>
      <c r="TIG160" s="679"/>
      <c r="TIH160" s="679"/>
      <c r="TII160" s="679"/>
      <c r="TIJ160" s="679"/>
      <c r="TIK160" s="679"/>
      <c r="TIL160" s="679"/>
      <c r="TIM160" s="679"/>
      <c r="TIN160" s="679"/>
      <c r="TIO160" s="679"/>
      <c r="TIP160" s="679"/>
      <c r="TIQ160" s="679"/>
      <c r="TIR160" s="679"/>
      <c r="TIS160" s="679"/>
      <c r="TIT160" s="679"/>
      <c r="TIU160" s="679"/>
      <c r="TIV160" s="679"/>
      <c r="TIW160" s="679"/>
      <c r="TIX160" s="679"/>
      <c r="TIY160" s="679"/>
      <c r="TIZ160" s="679"/>
      <c r="TJA160" s="679"/>
      <c r="TJB160" s="679"/>
      <c r="TJC160" s="679"/>
      <c r="TJD160" s="679"/>
      <c r="TJE160" s="679"/>
      <c r="TJF160" s="679"/>
      <c r="TJG160" s="679"/>
      <c r="TJH160" s="679"/>
      <c r="TJI160" s="679"/>
      <c r="TJJ160" s="679"/>
      <c r="TJK160" s="679"/>
      <c r="TJL160" s="679"/>
      <c r="TJM160" s="679"/>
      <c r="TJN160" s="679"/>
      <c r="TJO160" s="679"/>
      <c r="TJP160" s="679"/>
      <c r="TJQ160" s="679"/>
      <c r="TJR160" s="679"/>
      <c r="TJS160" s="679"/>
      <c r="TJT160" s="679"/>
      <c r="TJU160" s="679"/>
      <c r="TJV160" s="679"/>
      <c r="TJW160" s="679"/>
      <c r="TJX160" s="679"/>
      <c r="TJY160" s="679"/>
      <c r="TJZ160" s="679"/>
      <c r="TKA160" s="679"/>
      <c r="TKB160" s="679"/>
      <c r="TKC160" s="679"/>
      <c r="TKD160" s="679"/>
      <c r="TKE160" s="679"/>
      <c r="TKF160" s="679"/>
      <c r="TKG160" s="679"/>
      <c r="TKH160" s="679"/>
      <c r="TKI160" s="679"/>
      <c r="TKJ160" s="679"/>
      <c r="TKK160" s="679"/>
      <c r="TKL160" s="679"/>
      <c r="TKM160" s="679"/>
      <c r="TKN160" s="679"/>
      <c r="TKO160" s="679"/>
      <c r="TKP160" s="679"/>
      <c r="TKQ160" s="679"/>
      <c r="TKR160" s="679"/>
      <c r="TKS160" s="679"/>
      <c r="TKT160" s="679"/>
      <c r="TKU160" s="679"/>
      <c r="TKV160" s="679"/>
      <c r="TKW160" s="679"/>
      <c r="TKX160" s="679"/>
      <c r="TKY160" s="679"/>
      <c r="TKZ160" s="679"/>
      <c r="TLA160" s="679"/>
      <c r="TLB160" s="679"/>
      <c r="TLC160" s="679"/>
      <c r="TLD160" s="679"/>
      <c r="TLE160" s="679"/>
      <c r="TLF160" s="679"/>
      <c r="TLG160" s="679"/>
      <c r="TLH160" s="679"/>
      <c r="TLI160" s="679"/>
      <c r="TLJ160" s="679"/>
      <c r="TLK160" s="679"/>
      <c r="TLL160" s="679"/>
      <c r="TLM160" s="679"/>
      <c r="TLN160" s="679"/>
      <c r="TLO160" s="679"/>
      <c r="TLP160" s="679"/>
      <c r="TLQ160" s="679"/>
      <c r="TLR160" s="679"/>
      <c r="TLS160" s="679"/>
      <c r="TLT160" s="679"/>
      <c r="TLU160" s="679"/>
      <c r="TLV160" s="679"/>
      <c r="TLW160" s="679"/>
      <c r="TLX160" s="679"/>
      <c r="TLY160" s="679"/>
      <c r="TLZ160" s="679"/>
      <c r="TMA160" s="679"/>
      <c r="TMB160" s="679"/>
      <c r="TMC160" s="679"/>
      <c r="TMD160" s="679"/>
      <c r="TME160" s="679"/>
      <c r="TMF160" s="679"/>
      <c r="TMG160" s="679"/>
      <c r="TMH160" s="679"/>
      <c r="TMI160" s="679"/>
      <c r="TMJ160" s="679"/>
      <c r="TMK160" s="679"/>
      <c r="TML160" s="679"/>
      <c r="TMM160" s="679"/>
      <c r="TMN160" s="679"/>
      <c r="TMO160" s="679"/>
      <c r="TMP160" s="679"/>
      <c r="TMQ160" s="679"/>
      <c r="TMR160" s="679"/>
      <c r="TMS160" s="679"/>
      <c r="TMT160" s="679"/>
      <c r="TMU160" s="679"/>
      <c r="TMV160" s="679"/>
      <c r="TMW160" s="679"/>
      <c r="TMX160" s="679"/>
      <c r="TMY160" s="679"/>
      <c r="TMZ160" s="679"/>
      <c r="TNA160" s="679"/>
      <c r="TNB160" s="679"/>
      <c r="TNC160" s="679"/>
      <c r="TND160" s="679"/>
      <c r="TNE160" s="679"/>
      <c r="TNF160" s="679"/>
      <c r="TNG160" s="679"/>
      <c r="TNH160" s="679"/>
      <c r="TNI160" s="679"/>
      <c r="TNJ160" s="679"/>
      <c r="TNK160" s="679"/>
      <c r="TNL160" s="679"/>
      <c r="TNM160" s="679"/>
      <c r="TNN160" s="679"/>
      <c r="TNO160" s="679"/>
      <c r="TNP160" s="679"/>
      <c r="TNQ160" s="679"/>
      <c r="TNR160" s="679"/>
      <c r="TNS160" s="679"/>
      <c r="TNT160" s="679"/>
      <c r="TNU160" s="679"/>
      <c r="TNV160" s="679"/>
      <c r="TNW160" s="679"/>
      <c r="TNX160" s="679"/>
      <c r="TNY160" s="679"/>
      <c r="TNZ160" s="679"/>
      <c r="TOA160" s="679"/>
      <c r="TOB160" s="679"/>
      <c r="TOC160" s="679"/>
      <c r="TOD160" s="679"/>
      <c r="TOE160" s="679"/>
      <c r="TOF160" s="679"/>
      <c r="TOG160" s="679"/>
      <c r="TOH160" s="679"/>
      <c r="TOI160" s="679"/>
      <c r="TOJ160" s="679"/>
      <c r="TOK160" s="679"/>
      <c r="TOL160" s="679"/>
      <c r="TOM160" s="679"/>
      <c r="TON160" s="679"/>
      <c r="TOO160" s="679"/>
      <c r="TOP160" s="679"/>
      <c r="TOQ160" s="679"/>
      <c r="TOR160" s="679"/>
      <c r="TOS160" s="679"/>
      <c r="TOT160" s="679"/>
      <c r="TOU160" s="679"/>
      <c r="TOV160" s="679"/>
      <c r="TOW160" s="679"/>
      <c r="TOX160" s="679"/>
      <c r="TOY160" s="679"/>
      <c r="TOZ160" s="679"/>
      <c r="TPA160" s="679"/>
      <c r="TPB160" s="679"/>
      <c r="TPC160" s="679"/>
      <c r="TPD160" s="679"/>
      <c r="TPE160" s="679"/>
      <c r="TPF160" s="679"/>
      <c r="TPG160" s="679"/>
      <c r="TPH160" s="679"/>
      <c r="TPI160" s="679"/>
      <c r="TPJ160" s="679"/>
      <c r="TPK160" s="679"/>
      <c r="TPL160" s="679"/>
      <c r="TPM160" s="679"/>
      <c r="TPN160" s="679"/>
      <c r="TPO160" s="679"/>
      <c r="TPP160" s="679"/>
      <c r="TPQ160" s="679"/>
      <c r="TPR160" s="679"/>
      <c r="TPS160" s="679"/>
      <c r="TPT160" s="679"/>
      <c r="TPU160" s="679"/>
      <c r="TPV160" s="679"/>
      <c r="TPW160" s="679"/>
      <c r="TPX160" s="679"/>
      <c r="TPY160" s="679"/>
      <c r="TPZ160" s="679"/>
      <c r="TQA160" s="679"/>
      <c r="TQB160" s="679"/>
      <c r="TQC160" s="679"/>
      <c r="TQD160" s="679"/>
      <c r="TQE160" s="679"/>
      <c r="TQF160" s="679"/>
      <c r="TQG160" s="679"/>
      <c r="TQH160" s="679"/>
      <c r="TQI160" s="679"/>
      <c r="TQJ160" s="679"/>
      <c r="TQK160" s="679"/>
      <c r="TQL160" s="679"/>
      <c r="TQM160" s="679"/>
      <c r="TQN160" s="679"/>
      <c r="TQO160" s="679"/>
      <c r="TQP160" s="679"/>
      <c r="TQQ160" s="679"/>
      <c r="TQR160" s="679"/>
      <c r="TQS160" s="679"/>
      <c r="TQT160" s="679"/>
      <c r="TQU160" s="679"/>
      <c r="TQV160" s="679"/>
      <c r="TQW160" s="679"/>
      <c r="TQX160" s="679"/>
      <c r="TQY160" s="679"/>
      <c r="TQZ160" s="679"/>
      <c r="TRA160" s="679"/>
      <c r="TRB160" s="679"/>
      <c r="TRC160" s="679"/>
      <c r="TRD160" s="679"/>
      <c r="TRE160" s="679"/>
      <c r="TRF160" s="679"/>
      <c r="TRG160" s="679"/>
      <c r="TRH160" s="679"/>
      <c r="TRI160" s="679"/>
      <c r="TRJ160" s="679"/>
      <c r="TRK160" s="679"/>
      <c r="TRL160" s="679"/>
      <c r="TRM160" s="679"/>
      <c r="TRN160" s="679"/>
      <c r="TRO160" s="679"/>
      <c r="TRP160" s="679"/>
      <c r="TRQ160" s="679"/>
      <c r="TRR160" s="679"/>
      <c r="TRS160" s="679"/>
      <c r="TRT160" s="679"/>
      <c r="TRU160" s="679"/>
      <c r="TRV160" s="679"/>
      <c r="TRW160" s="679"/>
      <c r="TRX160" s="679"/>
      <c r="TRY160" s="679"/>
      <c r="TRZ160" s="679"/>
      <c r="TSA160" s="679"/>
      <c r="TSB160" s="679"/>
      <c r="TSC160" s="679"/>
      <c r="TSD160" s="679"/>
      <c r="TSE160" s="679"/>
      <c r="TSF160" s="679"/>
      <c r="TSG160" s="679"/>
      <c r="TSH160" s="679"/>
      <c r="TSI160" s="679"/>
      <c r="TSJ160" s="679"/>
      <c r="TSK160" s="679"/>
      <c r="TSL160" s="679"/>
      <c r="TSM160" s="679"/>
      <c r="TSN160" s="679"/>
      <c r="TSO160" s="679"/>
      <c r="TSP160" s="679"/>
      <c r="TSQ160" s="679"/>
      <c r="TSR160" s="679"/>
      <c r="TSS160" s="679"/>
      <c r="TST160" s="679"/>
      <c r="TSU160" s="679"/>
      <c r="TSV160" s="679"/>
      <c r="TSW160" s="679"/>
      <c r="TSX160" s="679"/>
      <c r="TSY160" s="679"/>
      <c r="TSZ160" s="679"/>
      <c r="TTA160" s="679"/>
      <c r="TTB160" s="679"/>
      <c r="TTC160" s="679"/>
      <c r="TTD160" s="679"/>
      <c r="TTE160" s="679"/>
      <c r="TTF160" s="679"/>
      <c r="TTG160" s="679"/>
      <c r="TTH160" s="679"/>
      <c r="TTI160" s="679"/>
      <c r="TTJ160" s="679"/>
      <c r="TTK160" s="679"/>
      <c r="TTL160" s="679"/>
      <c r="TTM160" s="679"/>
      <c r="TTN160" s="679"/>
      <c r="TTO160" s="679"/>
      <c r="TTP160" s="679"/>
      <c r="TTQ160" s="679"/>
      <c r="TTR160" s="679"/>
      <c r="TTS160" s="679"/>
      <c r="TTT160" s="679"/>
      <c r="TTU160" s="679"/>
      <c r="TTV160" s="679"/>
      <c r="TTW160" s="679"/>
      <c r="TTX160" s="679"/>
      <c r="TTY160" s="679"/>
      <c r="TTZ160" s="679"/>
      <c r="TUA160" s="679"/>
      <c r="TUB160" s="679"/>
      <c r="TUC160" s="679"/>
      <c r="TUD160" s="679"/>
      <c r="TUE160" s="679"/>
      <c r="TUF160" s="679"/>
      <c r="TUG160" s="679"/>
      <c r="TUH160" s="679"/>
      <c r="TUI160" s="679"/>
      <c r="TUJ160" s="679"/>
      <c r="TUK160" s="679"/>
      <c r="TUL160" s="679"/>
      <c r="TUM160" s="679"/>
      <c r="TUN160" s="679"/>
      <c r="TUO160" s="679"/>
      <c r="TUP160" s="679"/>
      <c r="TUQ160" s="679"/>
      <c r="TUR160" s="679"/>
      <c r="TUS160" s="679"/>
      <c r="TUT160" s="679"/>
      <c r="TUU160" s="679"/>
      <c r="TUV160" s="679"/>
      <c r="TUW160" s="679"/>
      <c r="TUX160" s="679"/>
      <c r="TUY160" s="679"/>
      <c r="TUZ160" s="679"/>
      <c r="TVA160" s="679"/>
      <c r="TVB160" s="679"/>
      <c r="TVC160" s="679"/>
      <c r="TVD160" s="679"/>
      <c r="TVE160" s="679"/>
      <c r="TVF160" s="679"/>
      <c r="TVG160" s="679"/>
      <c r="TVH160" s="679"/>
      <c r="TVI160" s="679"/>
      <c r="TVJ160" s="679"/>
      <c r="TVK160" s="679"/>
      <c r="TVL160" s="679"/>
      <c r="TVM160" s="679"/>
      <c r="TVN160" s="679"/>
      <c r="TVO160" s="679"/>
      <c r="TVP160" s="679"/>
      <c r="TVQ160" s="679"/>
      <c r="TVR160" s="679"/>
      <c r="TVS160" s="679"/>
      <c r="TVT160" s="679"/>
      <c r="TVU160" s="679"/>
      <c r="TVV160" s="679"/>
      <c r="TVW160" s="679"/>
      <c r="TVX160" s="679"/>
      <c r="TVY160" s="679"/>
      <c r="TVZ160" s="679"/>
      <c r="TWA160" s="679"/>
      <c r="TWB160" s="679"/>
      <c r="TWC160" s="679"/>
      <c r="TWD160" s="679"/>
      <c r="TWE160" s="679"/>
      <c r="TWF160" s="679"/>
      <c r="TWG160" s="679"/>
      <c r="TWH160" s="679"/>
      <c r="TWI160" s="679"/>
      <c r="TWJ160" s="679"/>
      <c r="TWK160" s="679"/>
      <c r="TWL160" s="679"/>
      <c r="TWM160" s="679"/>
      <c r="TWN160" s="679"/>
      <c r="TWO160" s="679"/>
      <c r="TWP160" s="679"/>
      <c r="TWQ160" s="679"/>
      <c r="TWR160" s="679"/>
      <c r="TWS160" s="679"/>
      <c r="TWT160" s="679"/>
      <c r="TWU160" s="679"/>
      <c r="TWV160" s="679"/>
      <c r="TWW160" s="679"/>
      <c r="TWX160" s="679"/>
      <c r="TWY160" s="679"/>
      <c r="TWZ160" s="679"/>
      <c r="TXA160" s="679"/>
      <c r="TXB160" s="679"/>
      <c r="TXC160" s="679"/>
      <c r="TXD160" s="679"/>
      <c r="TXE160" s="679"/>
      <c r="TXF160" s="679"/>
      <c r="TXG160" s="679"/>
      <c r="TXH160" s="679"/>
      <c r="TXI160" s="679"/>
      <c r="TXJ160" s="679"/>
      <c r="TXK160" s="679"/>
      <c r="TXL160" s="679"/>
      <c r="TXM160" s="679"/>
      <c r="TXN160" s="679"/>
      <c r="TXO160" s="679"/>
      <c r="TXP160" s="679"/>
      <c r="TXQ160" s="679"/>
      <c r="TXR160" s="679"/>
      <c r="TXS160" s="679"/>
      <c r="TXT160" s="679"/>
      <c r="TXU160" s="679"/>
      <c r="TXV160" s="679"/>
      <c r="TXW160" s="679"/>
      <c r="TXX160" s="679"/>
      <c r="TXY160" s="679"/>
      <c r="TXZ160" s="679"/>
      <c r="TYA160" s="679"/>
      <c r="TYB160" s="679"/>
      <c r="TYC160" s="679"/>
      <c r="TYD160" s="679"/>
      <c r="TYE160" s="679"/>
      <c r="TYF160" s="679"/>
      <c r="TYG160" s="679"/>
      <c r="TYH160" s="679"/>
      <c r="TYI160" s="679"/>
      <c r="TYJ160" s="679"/>
      <c r="TYK160" s="679"/>
      <c r="TYL160" s="679"/>
      <c r="TYM160" s="679"/>
      <c r="TYN160" s="679"/>
      <c r="TYO160" s="679"/>
      <c r="TYP160" s="679"/>
      <c r="TYQ160" s="679"/>
      <c r="TYR160" s="679"/>
      <c r="TYS160" s="679"/>
      <c r="TYT160" s="679"/>
      <c r="TYU160" s="679"/>
      <c r="TYV160" s="679"/>
      <c r="TYW160" s="679"/>
      <c r="TYX160" s="679"/>
      <c r="TYY160" s="679"/>
      <c r="TYZ160" s="679"/>
      <c r="TZA160" s="679"/>
      <c r="TZB160" s="679"/>
      <c r="TZC160" s="679"/>
      <c r="TZD160" s="679"/>
      <c r="TZE160" s="679"/>
      <c r="TZF160" s="679"/>
      <c r="TZG160" s="679"/>
      <c r="TZH160" s="679"/>
      <c r="TZI160" s="679"/>
      <c r="TZJ160" s="679"/>
      <c r="TZK160" s="679"/>
      <c r="TZL160" s="679"/>
      <c r="TZM160" s="679"/>
      <c r="TZN160" s="679"/>
      <c r="TZO160" s="679"/>
      <c r="TZP160" s="679"/>
      <c r="TZQ160" s="679"/>
      <c r="TZR160" s="679"/>
      <c r="TZS160" s="679"/>
      <c r="TZT160" s="679"/>
      <c r="TZU160" s="679"/>
      <c r="TZV160" s="679"/>
      <c r="TZW160" s="679"/>
      <c r="TZX160" s="679"/>
      <c r="TZY160" s="679"/>
      <c r="TZZ160" s="679"/>
      <c r="UAA160" s="679"/>
      <c r="UAB160" s="679"/>
      <c r="UAC160" s="679"/>
      <c r="UAD160" s="679"/>
      <c r="UAE160" s="679"/>
      <c r="UAF160" s="679"/>
      <c r="UAG160" s="679"/>
      <c r="UAH160" s="679"/>
      <c r="UAI160" s="679"/>
      <c r="UAJ160" s="679"/>
      <c r="UAK160" s="679"/>
      <c r="UAL160" s="679"/>
      <c r="UAM160" s="679"/>
      <c r="UAN160" s="679"/>
      <c r="UAO160" s="679"/>
      <c r="UAP160" s="679"/>
      <c r="UAQ160" s="679"/>
      <c r="UAR160" s="679"/>
      <c r="UAS160" s="679"/>
      <c r="UAT160" s="679"/>
      <c r="UAU160" s="679"/>
      <c r="UAV160" s="679"/>
      <c r="UAW160" s="679"/>
      <c r="UAX160" s="679"/>
      <c r="UAY160" s="679"/>
      <c r="UAZ160" s="679"/>
      <c r="UBA160" s="679"/>
      <c r="UBB160" s="679"/>
      <c r="UBC160" s="679"/>
      <c r="UBD160" s="679"/>
      <c r="UBE160" s="679"/>
      <c r="UBF160" s="679"/>
      <c r="UBG160" s="679"/>
      <c r="UBH160" s="679"/>
      <c r="UBI160" s="679"/>
      <c r="UBJ160" s="679"/>
      <c r="UBK160" s="679"/>
      <c r="UBL160" s="679"/>
      <c r="UBM160" s="679"/>
      <c r="UBN160" s="679"/>
      <c r="UBO160" s="679"/>
      <c r="UBP160" s="679"/>
      <c r="UBQ160" s="679"/>
      <c r="UBR160" s="679"/>
      <c r="UBS160" s="679"/>
      <c r="UBT160" s="679"/>
      <c r="UBU160" s="679"/>
      <c r="UBV160" s="679"/>
      <c r="UBW160" s="679"/>
      <c r="UBX160" s="679"/>
      <c r="UBY160" s="679"/>
      <c r="UBZ160" s="679"/>
      <c r="UCA160" s="679"/>
      <c r="UCB160" s="679"/>
      <c r="UCC160" s="679"/>
      <c r="UCD160" s="679"/>
      <c r="UCE160" s="679"/>
      <c r="UCF160" s="679"/>
      <c r="UCG160" s="679"/>
      <c r="UCH160" s="679"/>
      <c r="UCI160" s="679"/>
      <c r="UCJ160" s="679"/>
      <c r="UCK160" s="679"/>
      <c r="UCL160" s="679"/>
      <c r="UCM160" s="679"/>
      <c r="UCN160" s="679"/>
      <c r="UCO160" s="679"/>
      <c r="UCP160" s="679"/>
      <c r="UCQ160" s="679"/>
      <c r="UCR160" s="679"/>
      <c r="UCS160" s="679"/>
      <c r="UCT160" s="679"/>
      <c r="UCU160" s="679"/>
      <c r="UCV160" s="679"/>
      <c r="UCW160" s="679"/>
      <c r="UCX160" s="679"/>
      <c r="UCY160" s="679"/>
      <c r="UCZ160" s="679"/>
      <c r="UDA160" s="679"/>
      <c r="UDB160" s="679"/>
      <c r="UDC160" s="679"/>
      <c r="UDD160" s="679"/>
      <c r="UDE160" s="679"/>
      <c r="UDF160" s="679"/>
      <c r="UDG160" s="679"/>
      <c r="UDH160" s="679"/>
      <c r="UDI160" s="679"/>
      <c r="UDJ160" s="679"/>
      <c r="UDK160" s="679"/>
      <c r="UDL160" s="679"/>
      <c r="UDM160" s="679"/>
      <c r="UDN160" s="679"/>
      <c r="UDO160" s="679"/>
      <c r="UDP160" s="679"/>
      <c r="UDQ160" s="679"/>
      <c r="UDR160" s="679"/>
      <c r="UDS160" s="679"/>
      <c r="UDT160" s="679"/>
      <c r="UDU160" s="679"/>
      <c r="UDV160" s="679"/>
      <c r="UDW160" s="679"/>
      <c r="UDX160" s="679"/>
      <c r="UDY160" s="679"/>
      <c r="UDZ160" s="679"/>
      <c r="UEA160" s="679"/>
      <c r="UEB160" s="679"/>
      <c r="UEC160" s="679"/>
      <c r="UED160" s="679"/>
      <c r="UEE160" s="679"/>
      <c r="UEF160" s="679"/>
      <c r="UEG160" s="679"/>
      <c r="UEH160" s="679"/>
      <c r="UEI160" s="679"/>
      <c r="UEJ160" s="679"/>
      <c r="UEK160" s="679"/>
      <c r="UEL160" s="679"/>
      <c r="UEM160" s="679"/>
      <c r="UEN160" s="679"/>
      <c r="UEO160" s="679"/>
      <c r="UEP160" s="679"/>
      <c r="UEQ160" s="679"/>
      <c r="UER160" s="679"/>
      <c r="UES160" s="679"/>
      <c r="UET160" s="679"/>
      <c r="UEU160" s="679"/>
      <c r="UEV160" s="679"/>
      <c r="UEW160" s="679"/>
      <c r="UEX160" s="679"/>
      <c r="UEY160" s="679"/>
      <c r="UEZ160" s="679"/>
      <c r="UFA160" s="679"/>
      <c r="UFB160" s="679"/>
      <c r="UFC160" s="679"/>
      <c r="UFD160" s="679"/>
      <c r="UFE160" s="679"/>
      <c r="UFF160" s="679"/>
      <c r="UFG160" s="679"/>
      <c r="UFH160" s="679"/>
      <c r="UFI160" s="679"/>
      <c r="UFJ160" s="679"/>
      <c r="UFK160" s="679"/>
      <c r="UFL160" s="679"/>
      <c r="UFM160" s="679"/>
      <c r="UFN160" s="679"/>
      <c r="UFO160" s="679"/>
      <c r="UFP160" s="679"/>
      <c r="UFQ160" s="679"/>
      <c r="UFR160" s="679"/>
      <c r="UFS160" s="679"/>
      <c r="UFT160" s="679"/>
      <c r="UFU160" s="679"/>
      <c r="UFV160" s="679"/>
      <c r="UFW160" s="679"/>
      <c r="UFX160" s="679"/>
      <c r="UFY160" s="679"/>
      <c r="UFZ160" s="679"/>
      <c r="UGA160" s="679"/>
      <c r="UGB160" s="679"/>
      <c r="UGC160" s="679"/>
      <c r="UGD160" s="679"/>
      <c r="UGE160" s="679"/>
      <c r="UGF160" s="679"/>
      <c r="UGG160" s="679"/>
      <c r="UGH160" s="679"/>
      <c r="UGI160" s="679"/>
      <c r="UGJ160" s="679"/>
      <c r="UGK160" s="679"/>
      <c r="UGL160" s="679"/>
      <c r="UGM160" s="679"/>
      <c r="UGN160" s="679"/>
      <c r="UGO160" s="679"/>
      <c r="UGP160" s="679"/>
      <c r="UGQ160" s="679"/>
      <c r="UGR160" s="679"/>
      <c r="UGS160" s="679"/>
      <c r="UGT160" s="679"/>
      <c r="UGU160" s="679"/>
      <c r="UGV160" s="679"/>
      <c r="UGW160" s="679"/>
      <c r="UGX160" s="679"/>
      <c r="UGY160" s="679"/>
      <c r="UGZ160" s="679"/>
      <c r="UHA160" s="679"/>
      <c r="UHB160" s="679"/>
      <c r="UHC160" s="679"/>
      <c r="UHD160" s="679"/>
      <c r="UHE160" s="679"/>
      <c r="UHF160" s="679"/>
      <c r="UHG160" s="679"/>
      <c r="UHH160" s="679"/>
      <c r="UHI160" s="679"/>
      <c r="UHJ160" s="679"/>
      <c r="UHK160" s="679"/>
      <c r="UHL160" s="679"/>
      <c r="UHM160" s="679"/>
      <c r="UHN160" s="679"/>
      <c r="UHO160" s="679"/>
      <c r="UHP160" s="679"/>
      <c r="UHQ160" s="679"/>
      <c r="UHR160" s="679"/>
      <c r="UHS160" s="679"/>
      <c r="UHT160" s="679"/>
      <c r="UHU160" s="679"/>
      <c r="UHV160" s="679"/>
      <c r="UHW160" s="679"/>
      <c r="UHX160" s="679"/>
      <c r="UHY160" s="679"/>
      <c r="UHZ160" s="679"/>
      <c r="UIA160" s="679"/>
      <c r="UIB160" s="679"/>
      <c r="UIC160" s="679"/>
      <c r="UID160" s="679"/>
      <c r="UIE160" s="679"/>
      <c r="UIF160" s="679"/>
      <c r="UIG160" s="679"/>
      <c r="UIH160" s="679"/>
      <c r="UII160" s="679"/>
      <c r="UIJ160" s="679"/>
      <c r="UIK160" s="679"/>
      <c r="UIL160" s="679"/>
      <c r="UIM160" s="679"/>
      <c r="UIN160" s="679"/>
      <c r="UIO160" s="679"/>
      <c r="UIP160" s="679"/>
      <c r="UIQ160" s="679"/>
      <c r="UIR160" s="679"/>
      <c r="UIS160" s="679"/>
      <c r="UIT160" s="679"/>
      <c r="UIU160" s="679"/>
      <c r="UIV160" s="679"/>
      <c r="UIW160" s="679"/>
      <c r="UIX160" s="679"/>
      <c r="UIY160" s="679"/>
      <c r="UIZ160" s="679"/>
      <c r="UJA160" s="679"/>
      <c r="UJB160" s="679"/>
      <c r="UJC160" s="679"/>
      <c r="UJD160" s="679"/>
      <c r="UJE160" s="679"/>
      <c r="UJF160" s="679"/>
      <c r="UJG160" s="679"/>
      <c r="UJH160" s="679"/>
      <c r="UJI160" s="679"/>
      <c r="UJJ160" s="679"/>
      <c r="UJK160" s="679"/>
      <c r="UJL160" s="679"/>
      <c r="UJM160" s="679"/>
      <c r="UJN160" s="679"/>
      <c r="UJO160" s="679"/>
      <c r="UJP160" s="679"/>
      <c r="UJQ160" s="679"/>
      <c r="UJR160" s="679"/>
      <c r="UJS160" s="679"/>
      <c r="UJT160" s="679"/>
      <c r="UJU160" s="679"/>
      <c r="UJV160" s="679"/>
      <c r="UJW160" s="679"/>
      <c r="UJX160" s="679"/>
      <c r="UJY160" s="679"/>
      <c r="UJZ160" s="679"/>
      <c r="UKA160" s="679"/>
      <c r="UKB160" s="679"/>
      <c r="UKC160" s="679"/>
      <c r="UKD160" s="679"/>
      <c r="UKE160" s="679"/>
      <c r="UKF160" s="679"/>
      <c r="UKG160" s="679"/>
      <c r="UKH160" s="679"/>
      <c r="UKI160" s="679"/>
      <c r="UKJ160" s="679"/>
      <c r="UKK160" s="679"/>
      <c r="UKL160" s="679"/>
      <c r="UKM160" s="679"/>
      <c r="UKN160" s="679"/>
      <c r="UKO160" s="679"/>
      <c r="UKP160" s="679"/>
      <c r="UKQ160" s="679"/>
      <c r="UKR160" s="679"/>
      <c r="UKS160" s="679"/>
      <c r="UKT160" s="679"/>
      <c r="UKU160" s="679"/>
      <c r="UKV160" s="679"/>
      <c r="UKW160" s="679"/>
      <c r="UKX160" s="679"/>
      <c r="UKY160" s="679"/>
      <c r="UKZ160" s="679"/>
      <c r="ULA160" s="679"/>
      <c r="ULB160" s="679"/>
      <c r="ULC160" s="679"/>
      <c r="ULD160" s="679"/>
      <c r="ULE160" s="679"/>
      <c r="ULF160" s="679"/>
      <c r="ULG160" s="679"/>
      <c r="ULH160" s="679"/>
      <c r="ULI160" s="679"/>
      <c r="ULJ160" s="679"/>
      <c r="ULK160" s="679"/>
      <c r="ULL160" s="679"/>
      <c r="ULM160" s="679"/>
      <c r="ULN160" s="679"/>
      <c r="ULO160" s="679"/>
      <c r="ULP160" s="679"/>
      <c r="ULQ160" s="679"/>
      <c r="ULR160" s="679"/>
      <c r="ULS160" s="679"/>
      <c r="ULT160" s="679"/>
      <c r="ULU160" s="679"/>
      <c r="ULV160" s="679"/>
      <c r="ULW160" s="679"/>
      <c r="ULX160" s="679"/>
      <c r="ULY160" s="679"/>
      <c r="ULZ160" s="679"/>
      <c r="UMA160" s="679"/>
      <c r="UMB160" s="679"/>
      <c r="UMC160" s="679"/>
      <c r="UMD160" s="679"/>
      <c r="UME160" s="679"/>
      <c r="UMF160" s="679"/>
      <c r="UMG160" s="679"/>
      <c r="UMH160" s="679"/>
      <c r="UMI160" s="679"/>
      <c r="UMJ160" s="679"/>
      <c r="UMK160" s="679"/>
      <c r="UML160" s="679"/>
      <c r="UMM160" s="679"/>
      <c r="UMN160" s="679"/>
      <c r="UMO160" s="679"/>
      <c r="UMP160" s="679"/>
      <c r="UMQ160" s="679"/>
      <c r="UMR160" s="679"/>
      <c r="UMS160" s="679"/>
      <c r="UMT160" s="679"/>
      <c r="UMU160" s="679"/>
      <c r="UMV160" s="679"/>
      <c r="UMW160" s="679"/>
      <c r="UMX160" s="679"/>
      <c r="UMY160" s="679"/>
      <c r="UMZ160" s="679"/>
      <c r="UNA160" s="679"/>
      <c r="UNB160" s="679"/>
      <c r="UNC160" s="679"/>
      <c r="UND160" s="679"/>
      <c r="UNE160" s="679"/>
      <c r="UNF160" s="679"/>
      <c r="UNG160" s="679"/>
      <c r="UNH160" s="679"/>
      <c r="UNI160" s="679"/>
      <c r="UNJ160" s="679"/>
      <c r="UNK160" s="679"/>
      <c r="UNL160" s="679"/>
      <c r="UNM160" s="679"/>
      <c r="UNN160" s="679"/>
      <c r="UNO160" s="679"/>
      <c r="UNP160" s="679"/>
      <c r="UNQ160" s="679"/>
      <c r="UNR160" s="679"/>
      <c r="UNS160" s="679"/>
      <c r="UNT160" s="679"/>
      <c r="UNU160" s="679"/>
      <c r="UNV160" s="679"/>
      <c r="UNW160" s="679"/>
      <c r="UNX160" s="679"/>
      <c r="UNY160" s="679"/>
      <c r="UNZ160" s="679"/>
      <c r="UOA160" s="679"/>
      <c r="UOB160" s="679"/>
      <c r="UOC160" s="679"/>
      <c r="UOD160" s="679"/>
      <c r="UOE160" s="679"/>
      <c r="UOF160" s="679"/>
      <c r="UOG160" s="679"/>
      <c r="UOH160" s="679"/>
      <c r="UOI160" s="679"/>
      <c r="UOJ160" s="679"/>
      <c r="UOK160" s="679"/>
      <c r="UOL160" s="679"/>
      <c r="UOM160" s="679"/>
      <c r="UON160" s="679"/>
      <c r="UOO160" s="679"/>
      <c r="UOP160" s="679"/>
      <c r="UOQ160" s="679"/>
      <c r="UOR160" s="679"/>
      <c r="UOS160" s="679"/>
      <c r="UOT160" s="679"/>
      <c r="UOU160" s="679"/>
      <c r="UOV160" s="679"/>
      <c r="UOW160" s="679"/>
      <c r="UOX160" s="679"/>
      <c r="UOY160" s="679"/>
      <c r="UOZ160" s="679"/>
      <c r="UPA160" s="679"/>
      <c r="UPB160" s="679"/>
      <c r="UPC160" s="679"/>
      <c r="UPD160" s="679"/>
      <c r="UPE160" s="679"/>
      <c r="UPF160" s="679"/>
      <c r="UPG160" s="679"/>
      <c r="UPH160" s="679"/>
      <c r="UPI160" s="679"/>
      <c r="UPJ160" s="679"/>
      <c r="UPK160" s="679"/>
      <c r="UPL160" s="679"/>
      <c r="UPM160" s="679"/>
      <c r="UPN160" s="679"/>
      <c r="UPO160" s="679"/>
      <c r="UPP160" s="679"/>
      <c r="UPQ160" s="679"/>
      <c r="UPR160" s="679"/>
      <c r="UPS160" s="679"/>
      <c r="UPT160" s="679"/>
      <c r="UPU160" s="679"/>
      <c r="UPV160" s="679"/>
      <c r="UPW160" s="679"/>
      <c r="UPX160" s="679"/>
      <c r="UPY160" s="679"/>
      <c r="UPZ160" s="679"/>
      <c r="UQA160" s="679"/>
      <c r="UQB160" s="679"/>
      <c r="UQC160" s="679"/>
      <c r="UQD160" s="679"/>
      <c r="UQE160" s="679"/>
      <c r="UQF160" s="679"/>
      <c r="UQG160" s="679"/>
      <c r="UQH160" s="679"/>
      <c r="UQI160" s="679"/>
      <c r="UQJ160" s="679"/>
      <c r="UQK160" s="679"/>
      <c r="UQL160" s="679"/>
      <c r="UQM160" s="679"/>
      <c r="UQN160" s="679"/>
      <c r="UQO160" s="679"/>
      <c r="UQP160" s="679"/>
      <c r="UQQ160" s="679"/>
      <c r="UQR160" s="679"/>
      <c r="UQS160" s="679"/>
      <c r="UQT160" s="679"/>
      <c r="UQU160" s="679"/>
      <c r="UQV160" s="679"/>
      <c r="UQW160" s="679"/>
      <c r="UQX160" s="679"/>
      <c r="UQY160" s="679"/>
      <c r="UQZ160" s="679"/>
      <c r="URA160" s="679"/>
      <c r="URB160" s="679"/>
      <c r="URC160" s="679"/>
      <c r="URD160" s="679"/>
      <c r="URE160" s="679"/>
      <c r="URF160" s="679"/>
      <c r="URG160" s="679"/>
      <c r="URH160" s="679"/>
      <c r="URI160" s="679"/>
      <c r="URJ160" s="679"/>
      <c r="URK160" s="679"/>
      <c r="URL160" s="679"/>
      <c r="URM160" s="679"/>
      <c r="URN160" s="679"/>
      <c r="URO160" s="679"/>
      <c r="URP160" s="679"/>
      <c r="URQ160" s="679"/>
      <c r="URR160" s="679"/>
      <c r="URS160" s="679"/>
      <c r="URT160" s="679"/>
      <c r="URU160" s="679"/>
      <c r="URV160" s="679"/>
      <c r="URW160" s="679"/>
      <c r="URX160" s="679"/>
      <c r="URY160" s="679"/>
      <c r="URZ160" s="679"/>
      <c r="USA160" s="679"/>
      <c r="USB160" s="679"/>
      <c r="USC160" s="679"/>
      <c r="USD160" s="679"/>
      <c r="USE160" s="679"/>
      <c r="USF160" s="679"/>
      <c r="USG160" s="679"/>
      <c r="USH160" s="679"/>
      <c r="USI160" s="679"/>
      <c r="USJ160" s="679"/>
      <c r="USK160" s="679"/>
      <c r="USL160" s="679"/>
      <c r="USM160" s="679"/>
      <c r="USN160" s="679"/>
      <c r="USO160" s="679"/>
      <c r="USP160" s="679"/>
      <c r="USQ160" s="679"/>
      <c r="USR160" s="679"/>
      <c r="USS160" s="679"/>
      <c r="UST160" s="679"/>
      <c r="USU160" s="679"/>
      <c r="USV160" s="679"/>
      <c r="USW160" s="679"/>
      <c r="USX160" s="679"/>
      <c r="USY160" s="679"/>
      <c r="USZ160" s="679"/>
      <c r="UTA160" s="679"/>
      <c r="UTB160" s="679"/>
      <c r="UTC160" s="679"/>
      <c r="UTD160" s="679"/>
      <c r="UTE160" s="679"/>
      <c r="UTF160" s="679"/>
      <c r="UTG160" s="679"/>
      <c r="UTH160" s="679"/>
      <c r="UTI160" s="679"/>
      <c r="UTJ160" s="679"/>
      <c r="UTK160" s="679"/>
      <c r="UTL160" s="679"/>
      <c r="UTM160" s="679"/>
      <c r="UTN160" s="679"/>
      <c r="UTO160" s="679"/>
      <c r="UTP160" s="679"/>
      <c r="UTQ160" s="679"/>
      <c r="UTR160" s="679"/>
      <c r="UTS160" s="679"/>
      <c r="UTT160" s="679"/>
      <c r="UTU160" s="679"/>
      <c r="UTV160" s="679"/>
      <c r="UTW160" s="679"/>
      <c r="UTX160" s="679"/>
      <c r="UTY160" s="679"/>
      <c r="UTZ160" s="679"/>
      <c r="UUA160" s="679"/>
      <c r="UUB160" s="679"/>
      <c r="UUC160" s="679"/>
      <c r="UUD160" s="679"/>
      <c r="UUE160" s="679"/>
      <c r="UUF160" s="679"/>
      <c r="UUG160" s="679"/>
      <c r="UUH160" s="679"/>
      <c r="UUI160" s="679"/>
      <c r="UUJ160" s="679"/>
      <c r="UUK160" s="679"/>
      <c r="UUL160" s="679"/>
      <c r="UUM160" s="679"/>
      <c r="UUN160" s="679"/>
      <c r="UUO160" s="679"/>
      <c r="UUP160" s="679"/>
      <c r="UUQ160" s="679"/>
      <c r="UUR160" s="679"/>
      <c r="UUS160" s="679"/>
      <c r="UUT160" s="679"/>
      <c r="UUU160" s="679"/>
      <c r="UUV160" s="679"/>
      <c r="UUW160" s="679"/>
      <c r="UUX160" s="679"/>
      <c r="UUY160" s="679"/>
      <c r="UUZ160" s="679"/>
      <c r="UVA160" s="679"/>
      <c r="UVB160" s="679"/>
      <c r="UVC160" s="679"/>
      <c r="UVD160" s="679"/>
      <c r="UVE160" s="679"/>
      <c r="UVF160" s="679"/>
      <c r="UVG160" s="679"/>
      <c r="UVH160" s="679"/>
      <c r="UVI160" s="679"/>
      <c r="UVJ160" s="679"/>
      <c r="UVK160" s="679"/>
      <c r="UVL160" s="679"/>
      <c r="UVM160" s="679"/>
      <c r="UVN160" s="679"/>
      <c r="UVO160" s="679"/>
      <c r="UVP160" s="679"/>
      <c r="UVQ160" s="679"/>
      <c r="UVR160" s="679"/>
      <c r="UVS160" s="679"/>
      <c r="UVT160" s="679"/>
      <c r="UVU160" s="679"/>
      <c r="UVV160" s="679"/>
      <c r="UVW160" s="679"/>
      <c r="UVX160" s="679"/>
      <c r="UVY160" s="679"/>
      <c r="UVZ160" s="679"/>
      <c r="UWA160" s="679"/>
      <c r="UWB160" s="679"/>
      <c r="UWC160" s="679"/>
      <c r="UWD160" s="679"/>
      <c r="UWE160" s="679"/>
      <c r="UWF160" s="679"/>
      <c r="UWG160" s="679"/>
      <c r="UWH160" s="679"/>
      <c r="UWI160" s="679"/>
      <c r="UWJ160" s="679"/>
      <c r="UWK160" s="679"/>
      <c r="UWL160" s="679"/>
      <c r="UWM160" s="679"/>
      <c r="UWN160" s="679"/>
      <c r="UWO160" s="679"/>
      <c r="UWP160" s="679"/>
      <c r="UWQ160" s="679"/>
      <c r="UWR160" s="679"/>
      <c r="UWS160" s="679"/>
      <c r="UWT160" s="679"/>
      <c r="UWU160" s="679"/>
      <c r="UWV160" s="679"/>
      <c r="UWW160" s="679"/>
      <c r="UWX160" s="679"/>
      <c r="UWY160" s="679"/>
      <c r="UWZ160" s="679"/>
      <c r="UXA160" s="679"/>
      <c r="UXB160" s="679"/>
      <c r="UXC160" s="679"/>
      <c r="UXD160" s="679"/>
      <c r="UXE160" s="679"/>
      <c r="UXF160" s="679"/>
      <c r="UXG160" s="679"/>
      <c r="UXH160" s="679"/>
      <c r="UXI160" s="679"/>
      <c r="UXJ160" s="679"/>
      <c r="UXK160" s="679"/>
      <c r="UXL160" s="679"/>
      <c r="UXM160" s="679"/>
      <c r="UXN160" s="679"/>
      <c r="UXO160" s="679"/>
      <c r="UXP160" s="679"/>
      <c r="UXQ160" s="679"/>
      <c r="UXR160" s="679"/>
      <c r="UXS160" s="679"/>
      <c r="UXT160" s="679"/>
      <c r="UXU160" s="679"/>
      <c r="UXV160" s="679"/>
      <c r="UXW160" s="679"/>
      <c r="UXX160" s="679"/>
      <c r="UXY160" s="679"/>
      <c r="UXZ160" s="679"/>
      <c r="UYA160" s="679"/>
      <c r="UYB160" s="679"/>
      <c r="UYC160" s="679"/>
      <c r="UYD160" s="679"/>
      <c r="UYE160" s="679"/>
      <c r="UYF160" s="679"/>
      <c r="UYG160" s="679"/>
      <c r="UYH160" s="679"/>
      <c r="UYI160" s="679"/>
      <c r="UYJ160" s="679"/>
      <c r="UYK160" s="679"/>
      <c r="UYL160" s="679"/>
      <c r="UYM160" s="679"/>
      <c r="UYN160" s="679"/>
      <c r="UYO160" s="679"/>
      <c r="UYP160" s="679"/>
      <c r="UYQ160" s="679"/>
      <c r="UYR160" s="679"/>
      <c r="UYS160" s="679"/>
      <c r="UYT160" s="679"/>
      <c r="UYU160" s="679"/>
      <c r="UYV160" s="679"/>
      <c r="UYW160" s="679"/>
      <c r="UYX160" s="679"/>
      <c r="UYY160" s="679"/>
      <c r="UYZ160" s="679"/>
      <c r="UZA160" s="679"/>
      <c r="UZB160" s="679"/>
      <c r="UZC160" s="679"/>
      <c r="UZD160" s="679"/>
      <c r="UZE160" s="679"/>
      <c r="UZF160" s="679"/>
      <c r="UZG160" s="679"/>
      <c r="UZH160" s="679"/>
      <c r="UZI160" s="679"/>
      <c r="UZJ160" s="679"/>
      <c r="UZK160" s="679"/>
      <c r="UZL160" s="679"/>
      <c r="UZM160" s="679"/>
      <c r="UZN160" s="679"/>
      <c r="UZO160" s="679"/>
      <c r="UZP160" s="679"/>
      <c r="UZQ160" s="679"/>
      <c r="UZR160" s="679"/>
      <c r="UZS160" s="679"/>
      <c r="UZT160" s="679"/>
      <c r="UZU160" s="679"/>
      <c r="UZV160" s="679"/>
      <c r="UZW160" s="679"/>
      <c r="UZX160" s="679"/>
      <c r="UZY160" s="679"/>
      <c r="UZZ160" s="679"/>
      <c r="VAA160" s="679"/>
      <c r="VAB160" s="679"/>
      <c r="VAC160" s="679"/>
      <c r="VAD160" s="679"/>
      <c r="VAE160" s="679"/>
      <c r="VAF160" s="679"/>
      <c r="VAG160" s="679"/>
      <c r="VAH160" s="679"/>
      <c r="VAI160" s="679"/>
      <c r="VAJ160" s="679"/>
      <c r="VAK160" s="679"/>
      <c r="VAL160" s="679"/>
      <c r="VAM160" s="679"/>
      <c r="VAN160" s="679"/>
      <c r="VAO160" s="679"/>
      <c r="VAP160" s="679"/>
      <c r="VAQ160" s="679"/>
      <c r="VAR160" s="679"/>
      <c r="VAS160" s="679"/>
      <c r="VAT160" s="679"/>
      <c r="VAU160" s="679"/>
      <c r="VAV160" s="679"/>
      <c r="VAW160" s="679"/>
      <c r="VAX160" s="679"/>
      <c r="VAY160" s="679"/>
      <c r="VAZ160" s="679"/>
      <c r="VBA160" s="679"/>
      <c r="VBB160" s="679"/>
      <c r="VBC160" s="679"/>
      <c r="VBD160" s="679"/>
      <c r="VBE160" s="679"/>
      <c r="VBF160" s="679"/>
      <c r="VBG160" s="679"/>
      <c r="VBH160" s="679"/>
      <c r="VBI160" s="679"/>
      <c r="VBJ160" s="679"/>
      <c r="VBK160" s="679"/>
      <c r="VBL160" s="679"/>
      <c r="VBM160" s="679"/>
      <c r="VBN160" s="679"/>
      <c r="VBO160" s="679"/>
      <c r="VBP160" s="679"/>
      <c r="VBQ160" s="679"/>
      <c r="VBR160" s="679"/>
      <c r="VBS160" s="679"/>
      <c r="VBT160" s="679"/>
      <c r="VBU160" s="679"/>
      <c r="VBV160" s="679"/>
      <c r="VBW160" s="679"/>
      <c r="VBX160" s="679"/>
      <c r="VBY160" s="679"/>
      <c r="VBZ160" s="679"/>
      <c r="VCA160" s="679"/>
      <c r="VCB160" s="679"/>
      <c r="VCC160" s="679"/>
      <c r="VCD160" s="679"/>
      <c r="VCE160" s="679"/>
      <c r="VCF160" s="679"/>
      <c r="VCG160" s="679"/>
      <c r="VCH160" s="679"/>
      <c r="VCI160" s="679"/>
      <c r="VCJ160" s="679"/>
      <c r="VCK160" s="679"/>
      <c r="VCL160" s="679"/>
      <c r="VCM160" s="679"/>
      <c r="VCN160" s="679"/>
      <c r="VCO160" s="679"/>
      <c r="VCP160" s="679"/>
      <c r="VCQ160" s="679"/>
      <c r="VCR160" s="679"/>
      <c r="VCS160" s="679"/>
      <c r="VCT160" s="679"/>
      <c r="VCU160" s="679"/>
      <c r="VCV160" s="679"/>
      <c r="VCW160" s="679"/>
      <c r="VCX160" s="679"/>
      <c r="VCY160" s="679"/>
      <c r="VCZ160" s="679"/>
      <c r="VDA160" s="679"/>
      <c r="VDB160" s="679"/>
      <c r="VDC160" s="679"/>
      <c r="VDD160" s="679"/>
      <c r="VDE160" s="679"/>
      <c r="VDF160" s="679"/>
      <c r="VDG160" s="679"/>
      <c r="VDH160" s="679"/>
      <c r="VDI160" s="679"/>
      <c r="VDJ160" s="679"/>
      <c r="VDK160" s="679"/>
      <c r="VDL160" s="679"/>
      <c r="VDM160" s="679"/>
      <c r="VDN160" s="679"/>
      <c r="VDO160" s="679"/>
      <c r="VDP160" s="679"/>
      <c r="VDQ160" s="679"/>
      <c r="VDR160" s="679"/>
      <c r="VDS160" s="679"/>
      <c r="VDT160" s="679"/>
      <c r="VDU160" s="679"/>
      <c r="VDV160" s="679"/>
      <c r="VDW160" s="679"/>
      <c r="VDX160" s="679"/>
      <c r="VDY160" s="679"/>
      <c r="VDZ160" s="679"/>
      <c r="VEA160" s="679"/>
      <c r="VEB160" s="679"/>
      <c r="VEC160" s="679"/>
      <c r="VED160" s="679"/>
      <c r="VEE160" s="679"/>
      <c r="VEF160" s="679"/>
      <c r="VEG160" s="679"/>
      <c r="VEH160" s="679"/>
      <c r="VEI160" s="679"/>
      <c r="VEJ160" s="679"/>
      <c r="VEK160" s="679"/>
      <c r="VEL160" s="679"/>
      <c r="VEM160" s="679"/>
      <c r="VEN160" s="679"/>
      <c r="VEO160" s="679"/>
      <c r="VEP160" s="679"/>
      <c r="VEQ160" s="679"/>
      <c r="VER160" s="679"/>
      <c r="VES160" s="679"/>
      <c r="VET160" s="679"/>
      <c r="VEU160" s="679"/>
      <c r="VEV160" s="679"/>
      <c r="VEW160" s="679"/>
      <c r="VEX160" s="679"/>
      <c r="VEY160" s="679"/>
      <c r="VEZ160" s="679"/>
      <c r="VFA160" s="679"/>
      <c r="VFB160" s="679"/>
      <c r="VFC160" s="679"/>
      <c r="VFD160" s="679"/>
      <c r="VFE160" s="679"/>
      <c r="VFF160" s="679"/>
      <c r="VFG160" s="679"/>
      <c r="VFH160" s="679"/>
      <c r="VFI160" s="679"/>
      <c r="VFJ160" s="679"/>
      <c r="VFK160" s="679"/>
      <c r="VFL160" s="679"/>
      <c r="VFM160" s="679"/>
      <c r="VFN160" s="679"/>
      <c r="VFO160" s="679"/>
      <c r="VFP160" s="679"/>
      <c r="VFQ160" s="679"/>
      <c r="VFR160" s="679"/>
      <c r="VFS160" s="679"/>
      <c r="VFT160" s="679"/>
      <c r="VFU160" s="679"/>
      <c r="VFV160" s="679"/>
      <c r="VFW160" s="679"/>
      <c r="VFX160" s="679"/>
      <c r="VFY160" s="679"/>
      <c r="VFZ160" s="679"/>
      <c r="VGA160" s="679"/>
      <c r="VGB160" s="679"/>
      <c r="VGC160" s="679"/>
      <c r="VGD160" s="679"/>
      <c r="VGE160" s="679"/>
      <c r="VGF160" s="679"/>
      <c r="VGG160" s="679"/>
      <c r="VGH160" s="679"/>
      <c r="VGI160" s="679"/>
      <c r="VGJ160" s="679"/>
      <c r="VGK160" s="679"/>
      <c r="VGL160" s="679"/>
      <c r="VGM160" s="679"/>
      <c r="VGN160" s="679"/>
      <c r="VGO160" s="679"/>
      <c r="VGP160" s="679"/>
      <c r="VGQ160" s="679"/>
      <c r="VGR160" s="679"/>
      <c r="VGS160" s="679"/>
      <c r="VGT160" s="679"/>
      <c r="VGU160" s="679"/>
      <c r="VGV160" s="679"/>
      <c r="VGW160" s="679"/>
      <c r="VGX160" s="679"/>
      <c r="VGY160" s="679"/>
      <c r="VGZ160" s="679"/>
      <c r="VHA160" s="679"/>
      <c r="VHB160" s="679"/>
      <c r="VHC160" s="679"/>
      <c r="VHD160" s="679"/>
      <c r="VHE160" s="679"/>
      <c r="VHF160" s="679"/>
      <c r="VHG160" s="679"/>
      <c r="VHH160" s="679"/>
      <c r="VHI160" s="679"/>
      <c r="VHJ160" s="679"/>
      <c r="VHK160" s="679"/>
      <c r="VHL160" s="679"/>
      <c r="VHM160" s="679"/>
      <c r="VHN160" s="679"/>
      <c r="VHO160" s="679"/>
      <c r="VHP160" s="679"/>
      <c r="VHQ160" s="679"/>
      <c r="VHR160" s="679"/>
      <c r="VHS160" s="679"/>
      <c r="VHT160" s="679"/>
      <c r="VHU160" s="679"/>
      <c r="VHV160" s="679"/>
      <c r="VHW160" s="679"/>
      <c r="VHX160" s="679"/>
      <c r="VHY160" s="679"/>
      <c r="VHZ160" s="679"/>
      <c r="VIA160" s="679"/>
      <c r="VIB160" s="679"/>
      <c r="VIC160" s="679"/>
      <c r="VID160" s="679"/>
      <c r="VIE160" s="679"/>
      <c r="VIF160" s="679"/>
      <c r="VIG160" s="679"/>
      <c r="VIH160" s="679"/>
      <c r="VII160" s="679"/>
      <c r="VIJ160" s="679"/>
      <c r="VIK160" s="679"/>
      <c r="VIL160" s="679"/>
      <c r="VIM160" s="679"/>
      <c r="VIN160" s="679"/>
      <c r="VIO160" s="679"/>
      <c r="VIP160" s="679"/>
      <c r="VIQ160" s="679"/>
      <c r="VIR160" s="679"/>
      <c r="VIS160" s="679"/>
      <c r="VIT160" s="679"/>
      <c r="VIU160" s="679"/>
      <c r="VIV160" s="679"/>
      <c r="VIW160" s="679"/>
      <c r="VIX160" s="679"/>
      <c r="VIY160" s="679"/>
      <c r="VIZ160" s="679"/>
      <c r="VJA160" s="679"/>
      <c r="VJB160" s="679"/>
      <c r="VJC160" s="679"/>
      <c r="VJD160" s="679"/>
      <c r="VJE160" s="679"/>
      <c r="VJF160" s="679"/>
      <c r="VJG160" s="679"/>
      <c r="VJH160" s="679"/>
      <c r="VJI160" s="679"/>
      <c r="VJJ160" s="679"/>
      <c r="VJK160" s="679"/>
      <c r="VJL160" s="679"/>
      <c r="VJM160" s="679"/>
      <c r="VJN160" s="679"/>
      <c r="VJO160" s="679"/>
      <c r="VJP160" s="679"/>
      <c r="VJQ160" s="679"/>
      <c r="VJR160" s="679"/>
      <c r="VJS160" s="679"/>
      <c r="VJT160" s="679"/>
      <c r="VJU160" s="679"/>
      <c r="VJV160" s="679"/>
      <c r="VJW160" s="679"/>
      <c r="VJX160" s="679"/>
      <c r="VJY160" s="679"/>
      <c r="VJZ160" s="679"/>
      <c r="VKA160" s="679"/>
      <c r="VKB160" s="679"/>
      <c r="VKC160" s="679"/>
      <c r="VKD160" s="679"/>
      <c r="VKE160" s="679"/>
      <c r="VKF160" s="679"/>
      <c r="VKG160" s="679"/>
      <c r="VKH160" s="679"/>
      <c r="VKI160" s="679"/>
      <c r="VKJ160" s="679"/>
      <c r="VKK160" s="679"/>
      <c r="VKL160" s="679"/>
      <c r="VKM160" s="679"/>
      <c r="VKN160" s="679"/>
      <c r="VKO160" s="679"/>
      <c r="VKP160" s="679"/>
      <c r="VKQ160" s="679"/>
      <c r="VKR160" s="679"/>
      <c r="VKS160" s="679"/>
      <c r="VKT160" s="679"/>
      <c r="VKU160" s="679"/>
      <c r="VKV160" s="679"/>
      <c r="VKW160" s="679"/>
      <c r="VKX160" s="679"/>
      <c r="VKY160" s="679"/>
      <c r="VKZ160" s="679"/>
      <c r="VLA160" s="679"/>
      <c r="VLB160" s="679"/>
      <c r="VLC160" s="679"/>
      <c r="VLD160" s="679"/>
      <c r="VLE160" s="679"/>
      <c r="VLF160" s="679"/>
      <c r="VLG160" s="679"/>
      <c r="VLH160" s="679"/>
      <c r="VLI160" s="679"/>
      <c r="VLJ160" s="679"/>
      <c r="VLK160" s="679"/>
      <c r="VLL160" s="679"/>
      <c r="VLM160" s="679"/>
      <c r="VLN160" s="679"/>
      <c r="VLO160" s="679"/>
      <c r="VLP160" s="679"/>
      <c r="VLQ160" s="679"/>
      <c r="VLR160" s="679"/>
      <c r="VLS160" s="679"/>
      <c r="VLT160" s="679"/>
      <c r="VLU160" s="679"/>
      <c r="VLV160" s="679"/>
      <c r="VLW160" s="679"/>
      <c r="VLX160" s="679"/>
      <c r="VLY160" s="679"/>
      <c r="VLZ160" s="679"/>
      <c r="VMA160" s="679"/>
      <c r="VMB160" s="679"/>
      <c r="VMC160" s="679"/>
      <c r="VMD160" s="679"/>
      <c r="VME160" s="679"/>
      <c r="VMF160" s="679"/>
      <c r="VMG160" s="679"/>
      <c r="VMH160" s="679"/>
      <c r="VMI160" s="679"/>
      <c r="VMJ160" s="679"/>
      <c r="VMK160" s="679"/>
      <c r="VML160" s="679"/>
      <c r="VMM160" s="679"/>
      <c r="VMN160" s="679"/>
      <c r="VMO160" s="679"/>
      <c r="VMP160" s="679"/>
      <c r="VMQ160" s="679"/>
      <c r="VMR160" s="679"/>
      <c r="VMS160" s="679"/>
      <c r="VMT160" s="679"/>
      <c r="VMU160" s="679"/>
      <c r="VMV160" s="679"/>
      <c r="VMW160" s="679"/>
      <c r="VMX160" s="679"/>
      <c r="VMY160" s="679"/>
      <c r="VMZ160" s="679"/>
      <c r="VNA160" s="679"/>
      <c r="VNB160" s="679"/>
      <c r="VNC160" s="679"/>
      <c r="VND160" s="679"/>
      <c r="VNE160" s="679"/>
      <c r="VNF160" s="679"/>
      <c r="VNG160" s="679"/>
      <c r="VNH160" s="679"/>
      <c r="VNI160" s="679"/>
      <c r="VNJ160" s="679"/>
      <c r="VNK160" s="679"/>
      <c r="VNL160" s="679"/>
      <c r="VNM160" s="679"/>
      <c r="VNN160" s="679"/>
      <c r="VNO160" s="679"/>
      <c r="VNP160" s="679"/>
      <c r="VNQ160" s="679"/>
      <c r="VNR160" s="679"/>
      <c r="VNS160" s="679"/>
      <c r="VNT160" s="679"/>
      <c r="VNU160" s="679"/>
      <c r="VNV160" s="679"/>
      <c r="VNW160" s="679"/>
      <c r="VNX160" s="679"/>
      <c r="VNY160" s="679"/>
      <c r="VNZ160" s="679"/>
      <c r="VOA160" s="679"/>
      <c r="VOB160" s="679"/>
      <c r="VOC160" s="679"/>
      <c r="VOD160" s="679"/>
      <c r="VOE160" s="679"/>
      <c r="VOF160" s="679"/>
      <c r="VOG160" s="679"/>
      <c r="VOH160" s="679"/>
      <c r="VOI160" s="679"/>
      <c r="VOJ160" s="679"/>
      <c r="VOK160" s="679"/>
      <c r="VOL160" s="679"/>
      <c r="VOM160" s="679"/>
      <c r="VON160" s="679"/>
      <c r="VOO160" s="679"/>
      <c r="VOP160" s="679"/>
      <c r="VOQ160" s="679"/>
      <c r="VOR160" s="679"/>
      <c r="VOS160" s="679"/>
      <c r="VOT160" s="679"/>
      <c r="VOU160" s="679"/>
      <c r="VOV160" s="679"/>
      <c r="VOW160" s="679"/>
      <c r="VOX160" s="679"/>
      <c r="VOY160" s="679"/>
      <c r="VOZ160" s="679"/>
      <c r="VPA160" s="679"/>
      <c r="VPB160" s="679"/>
      <c r="VPC160" s="679"/>
      <c r="VPD160" s="679"/>
      <c r="VPE160" s="679"/>
      <c r="VPF160" s="679"/>
      <c r="VPG160" s="679"/>
      <c r="VPH160" s="679"/>
      <c r="VPI160" s="679"/>
      <c r="VPJ160" s="679"/>
      <c r="VPK160" s="679"/>
      <c r="VPL160" s="679"/>
      <c r="VPM160" s="679"/>
      <c r="VPN160" s="679"/>
      <c r="VPO160" s="679"/>
      <c r="VPP160" s="679"/>
      <c r="VPQ160" s="679"/>
      <c r="VPR160" s="679"/>
      <c r="VPS160" s="679"/>
      <c r="VPT160" s="679"/>
      <c r="VPU160" s="679"/>
      <c r="VPV160" s="679"/>
      <c r="VPW160" s="679"/>
      <c r="VPX160" s="679"/>
      <c r="VPY160" s="679"/>
      <c r="VPZ160" s="679"/>
      <c r="VQA160" s="679"/>
      <c r="VQB160" s="679"/>
      <c r="VQC160" s="679"/>
      <c r="VQD160" s="679"/>
      <c r="VQE160" s="679"/>
      <c r="VQF160" s="679"/>
      <c r="VQG160" s="679"/>
      <c r="VQH160" s="679"/>
      <c r="VQI160" s="679"/>
      <c r="VQJ160" s="679"/>
      <c r="VQK160" s="679"/>
      <c r="VQL160" s="679"/>
      <c r="VQM160" s="679"/>
      <c r="VQN160" s="679"/>
      <c r="VQO160" s="679"/>
      <c r="VQP160" s="679"/>
      <c r="VQQ160" s="679"/>
      <c r="VQR160" s="679"/>
      <c r="VQS160" s="679"/>
      <c r="VQT160" s="679"/>
      <c r="VQU160" s="679"/>
      <c r="VQV160" s="679"/>
      <c r="VQW160" s="679"/>
      <c r="VQX160" s="679"/>
      <c r="VQY160" s="679"/>
      <c r="VQZ160" s="679"/>
      <c r="VRA160" s="679"/>
      <c r="VRB160" s="679"/>
      <c r="VRC160" s="679"/>
      <c r="VRD160" s="679"/>
      <c r="VRE160" s="679"/>
      <c r="VRF160" s="679"/>
      <c r="VRG160" s="679"/>
      <c r="VRH160" s="679"/>
      <c r="VRI160" s="679"/>
      <c r="VRJ160" s="679"/>
      <c r="VRK160" s="679"/>
      <c r="VRL160" s="679"/>
      <c r="VRM160" s="679"/>
      <c r="VRN160" s="679"/>
      <c r="VRO160" s="679"/>
      <c r="VRP160" s="679"/>
      <c r="VRQ160" s="679"/>
      <c r="VRR160" s="679"/>
      <c r="VRS160" s="679"/>
      <c r="VRT160" s="679"/>
      <c r="VRU160" s="679"/>
      <c r="VRV160" s="679"/>
      <c r="VRW160" s="679"/>
      <c r="VRX160" s="679"/>
      <c r="VRY160" s="679"/>
      <c r="VRZ160" s="679"/>
      <c r="VSA160" s="679"/>
      <c r="VSB160" s="679"/>
      <c r="VSC160" s="679"/>
      <c r="VSD160" s="679"/>
      <c r="VSE160" s="679"/>
      <c r="VSF160" s="679"/>
      <c r="VSG160" s="679"/>
      <c r="VSH160" s="679"/>
      <c r="VSI160" s="679"/>
      <c r="VSJ160" s="679"/>
      <c r="VSK160" s="679"/>
      <c r="VSL160" s="679"/>
      <c r="VSM160" s="679"/>
      <c r="VSN160" s="679"/>
      <c r="VSO160" s="679"/>
      <c r="VSP160" s="679"/>
      <c r="VSQ160" s="679"/>
      <c r="VSR160" s="679"/>
      <c r="VSS160" s="679"/>
      <c r="VST160" s="679"/>
      <c r="VSU160" s="679"/>
      <c r="VSV160" s="679"/>
      <c r="VSW160" s="679"/>
      <c r="VSX160" s="679"/>
      <c r="VSY160" s="679"/>
      <c r="VSZ160" s="679"/>
      <c r="VTA160" s="679"/>
      <c r="VTB160" s="679"/>
      <c r="VTC160" s="679"/>
      <c r="VTD160" s="679"/>
      <c r="VTE160" s="679"/>
      <c r="VTF160" s="679"/>
      <c r="VTG160" s="679"/>
      <c r="VTH160" s="679"/>
      <c r="VTI160" s="679"/>
      <c r="VTJ160" s="679"/>
      <c r="VTK160" s="679"/>
      <c r="VTL160" s="679"/>
      <c r="VTM160" s="679"/>
      <c r="VTN160" s="679"/>
      <c r="VTO160" s="679"/>
      <c r="VTP160" s="679"/>
      <c r="VTQ160" s="679"/>
      <c r="VTR160" s="679"/>
      <c r="VTS160" s="679"/>
      <c r="VTT160" s="679"/>
      <c r="VTU160" s="679"/>
      <c r="VTV160" s="679"/>
      <c r="VTW160" s="679"/>
      <c r="VTX160" s="679"/>
      <c r="VTY160" s="679"/>
      <c r="VTZ160" s="679"/>
      <c r="VUA160" s="679"/>
      <c r="VUB160" s="679"/>
      <c r="VUC160" s="679"/>
      <c r="VUD160" s="679"/>
      <c r="VUE160" s="679"/>
      <c r="VUF160" s="679"/>
      <c r="VUG160" s="679"/>
      <c r="VUH160" s="679"/>
      <c r="VUI160" s="679"/>
      <c r="VUJ160" s="679"/>
      <c r="VUK160" s="679"/>
      <c r="VUL160" s="679"/>
      <c r="VUM160" s="679"/>
      <c r="VUN160" s="679"/>
      <c r="VUO160" s="679"/>
      <c r="VUP160" s="679"/>
      <c r="VUQ160" s="679"/>
      <c r="VUR160" s="679"/>
      <c r="VUS160" s="679"/>
      <c r="VUT160" s="679"/>
      <c r="VUU160" s="679"/>
      <c r="VUV160" s="679"/>
      <c r="VUW160" s="679"/>
      <c r="VUX160" s="679"/>
      <c r="VUY160" s="679"/>
      <c r="VUZ160" s="679"/>
      <c r="VVA160" s="679"/>
      <c r="VVB160" s="679"/>
      <c r="VVC160" s="679"/>
      <c r="VVD160" s="679"/>
      <c r="VVE160" s="679"/>
      <c r="VVF160" s="679"/>
      <c r="VVG160" s="679"/>
      <c r="VVH160" s="679"/>
      <c r="VVI160" s="679"/>
      <c r="VVJ160" s="679"/>
      <c r="VVK160" s="679"/>
      <c r="VVL160" s="679"/>
      <c r="VVM160" s="679"/>
      <c r="VVN160" s="679"/>
      <c r="VVO160" s="679"/>
      <c r="VVP160" s="679"/>
      <c r="VVQ160" s="679"/>
      <c r="VVR160" s="679"/>
      <c r="VVS160" s="679"/>
      <c r="VVT160" s="679"/>
      <c r="VVU160" s="679"/>
      <c r="VVV160" s="679"/>
      <c r="VVW160" s="679"/>
      <c r="VVX160" s="679"/>
      <c r="VVY160" s="679"/>
      <c r="VVZ160" s="679"/>
      <c r="VWA160" s="679"/>
      <c r="VWB160" s="679"/>
      <c r="VWC160" s="679"/>
      <c r="VWD160" s="679"/>
      <c r="VWE160" s="679"/>
      <c r="VWF160" s="679"/>
      <c r="VWG160" s="679"/>
      <c r="VWH160" s="679"/>
      <c r="VWI160" s="679"/>
      <c r="VWJ160" s="679"/>
      <c r="VWK160" s="679"/>
      <c r="VWL160" s="679"/>
      <c r="VWM160" s="679"/>
      <c r="VWN160" s="679"/>
      <c r="VWO160" s="679"/>
      <c r="VWP160" s="679"/>
      <c r="VWQ160" s="679"/>
      <c r="VWR160" s="679"/>
      <c r="VWS160" s="679"/>
      <c r="VWT160" s="679"/>
      <c r="VWU160" s="679"/>
      <c r="VWV160" s="679"/>
      <c r="VWW160" s="679"/>
      <c r="VWX160" s="679"/>
      <c r="VWY160" s="679"/>
      <c r="VWZ160" s="679"/>
      <c r="VXA160" s="679"/>
      <c r="VXB160" s="679"/>
      <c r="VXC160" s="679"/>
      <c r="VXD160" s="679"/>
      <c r="VXE160" s="679"/>
      <c r="VXF160" s="679"/>
      <c r="VXG160" s="679"/>
      <c r="VXH160" s="679"/>
      <c r="VXI160" s="679"/>
      <c r="VXJ160" s="679"/>
      <c r="VXK160" s="679"/>
      <c r="VXL160" s="679"/>
      <c r="VXM160" s="679"/>
      <c r="VXN160" s="679"/>
      <c r="VXO160" s="679"/>
      <c r="VXP160" s="679"/>
      <c r="VXQ160" s="679"/>
      <c r="VXR160" s="679"/>
      <c r="VXS160" s="679"/>
      <c r="VXT160" s="679"/>
      <c r="VXU160" s="679"/>
      <c r="VXV160" s="679"/>
      <c r="VXW160" s="679"/>
      <c r="VXX160" s="679"/>
      <c r="VXY160" s="679"/>
      <c r="VXZ160" s="679"/>
      <c r="VYA160" s="679"/>
      <c r="VYB160" s="679"/>
      <c r="VYC160" s="679"/>
      <c r="VYD160" s="679"/>
      <c r="VYE160" s="679"/>
      <c r="VYF160" s="679"/>
      <c r="VYG160" s="679"/>
      <c r="VYH160" s="679"/>
      <c r="VYI160" s="679"/>
      <c r="VYJ160" s="679"/>
      <c r="VYK160" s="679"/>
      <c r="VYL160" s="679"/>
      <c r="VYM160" s="679"/>
      <c r="VYN160" s="679"/>
      <c r="VYO160" s="679"/>
      <c r="VYP160" s="679"/>
      <c r="VYQ160" s="679"/>
      <c r="VYR160" s="679"/>
      <c r="VYS160" s="679"/>
      <c r="VYT160" s="679"/>
      <c r="VYU160" s="679"/>
      <c r="VYV160" s="679"/>
      <c r="VYW160" s="679"/>
      <c r="VYX160" s="679"/>
      <c r="VYY160" s="679"/>
      <c r="VYZ160" s="679"/>
      <c r="VZA160" s="679"/>
      <c r="VZB160" s="679"/>
      <c r="VZC160" s="679"/>
      <c r="VZD160" s="679"/>
      <c r="VZE160" s="679"/>
      <c r="VZF160" s="679"/>
      <c r="VZG160" s="679"/>
      <c r="VZH160" s="679"/>
      <c r="VZI160" s="679"/>
      <c r="VZJ160" s="679"/>
      <c r="VZK160" s="679"/>
      <c r="VZL160" s="679"/>
      <c r="VZM160" s="679"/>
      <c r="VZN160" s="679"/>
      <c r="VZO160" s="679"/>
      <c r="VZP160" s="679"/>
      <c r="VZQ160" s="679"/>
      <c r="VZR160" s="679"/>
      <c r="VZS160" s="679"/>
      <c r="VZT160" s="679"/>
      <c r="VZU160" s="679"/>
      <c r="VZV160" s="679"/>
      <c r="VZW160" s="679"/>
      <c r="VZX160" s="679"/>
      <c r="VZY160" s="679"/>
      <c r="VZZ160" s="679"/>
      <c r="WAA160" s="679"/>
      <c r="WAB160" s="679"/>
      <c r="WAC160" s="679"/>
      <c r="WAD160" s="679"/>
      <c r="WAE160" s="679"/>
      <c r="WAF160" s="679"/>
      <c r="WAG160" s="679"/>
      <c r="WAH160" s="679"/>
      <c r="WAI160" s="679"/>
      <c r="WAJ160" s="679"/>
      <c r="WAK160" s="679"/>
      <c r="WAL160" s="679"/>
      <c r="WAM160" s="679"/>
      <c r="WAN160" s="679"/>
      <c r="WAO160" s="679"/>
      <c r="WAP160" s="679"/>
      <c r="WAQ160" s="679"/>
      <c r="WAR160" s="679"/>
      <c r="WAS160" s="679"/>
      <c r="WAT160" s="679"/>
      <c r="WAU160" s="679"/>
      <c r="WAV160" s="679"/>
      <c r="WAW160" s="679"/>
      <c r="WAX160" s="679"/>
      <c r="WAY160" s="679"/>
      <c r="WAZ160" s="679"/>
      <c r="WBA160" s="679"/>
      <c r="WBB160" s="679"/>
      <c r="WBC160" s="679"/>
      <c r="WBD160" s="679"/>
      <c r="WBE160" s="679"/>
      <c r="WBF160" s="679"/>
      <c r="WBG160" s="679"/>
      <c r="WBH160" s="679"/>
      <c r="WBI160" s="679"/>
      <c r="WBJ160" s="679"/>
      <c r="WBK160" s="679"/>
      <c r="WBL160" s="679"/>
      <c r="WBM160" s="679"/>
      <c r="WBN160" s="679"/>
      <c r="WBO160" s="679"/>
      <c r="WBP160" s="679"/>
      <c r="WBQ160" s="679"/>
      <c r="WBR160" s="679"/>
      <c r="WBS160" s="679"/>
      <c r="WBT160" s="679"/>
      <c r="WBU160" s="679"/>
      <c r="WBV160" s="679"/>
      <c r="WBW160" s="679"/>
      <c r="WBX160" s="679"/>
      <c r="WBY160" s="679"/>
      <c r="WBZ160" s="679"/>
      <c r="WCA160" s="679"/>
      <c r="WCB160" s="679"/>
      <c r="WCC160" s="679"/>
      <c r="WCD160" s="679"/>
      <c r="WCE160" s="679"/>
      <c r="WCF160" s="679"/>
      <c r="WCG160" s="679"/>
      <c r="WCH160" s="679"/>
      <c r="WCI160" s="679"/>
      <c r="WCJ160" s="679"/>
      <c r="WCK160" s="679"/>
      <c r="WCL160" s="679"/>
      <c r="WCM160" s="679"/>
      <c r="WCN160" s="679"/>
      <c r="WCO160" s="679"/>
      <c r="WCP160" s="679"/>
      <c r="WCQ160" s="679"/>
      <c r="WCR160" s="679"/>
      <c r="WCS160" s="679"/>
      <c r="WCT160" s="679"/>
      <c r="WCU160" s="679"/>
      <c r="WCV160" s="679"/>
      <c r="WCW160" s="679"/>
      <c r="WCX160" s="679"/>
      <c r="WCY160" s="679"/>
      <c r="WCZ160" s="679"/>
      <c r="WDA160" s="679"/>
      <c r="WDB160" s="679"/>
      <c r="WDC160" s="679"/>
      <c r="WDD160" s="679"/>
      <c r="WDE160" s="679"/>
      <c r="WDF160" s="679"/>
      <c r="WDG160" s="679"/>
      <c r="WDH160" s="679"/>
      <c r="WDI160" s="679"/>
      <c r="WDJ160" s="679"/>
      <c r="WDK160" s="679"/>
      <c r="WDL160" s="679"/>
      <c r="WDM160" s="679"/>
      <c r="WDN160" s="679"/>
      <c r="WDO160" s="679"/>
      <c r="WDP160" s="679"/>
      <c r="WDQ160" s="679"/>
      <c r="WDR160" s="679"/>
      <c r="WDS160" s="679"/>
      <c r="WDT160" s="679"/>
      <c r="WDU160" s="679"/>
      <c r="WDV160" s="679"/>
      <c r="WDW160" s="679"/>
      <c r="WDX160" s="679"/>
      <c r="WDY160" s="679"/>
      <c r="WDZ160" s="679"/>
      <c r="WEA160" s="679"/>
      <c r="WEB160" s="679"/>
      <c r="WEC160" s="679"/>
      <c r="WED160" s="679"/>
      <c r="WEE160" s="679"/>
      <c r="WEF160" s="679"/>
      <c r="WEG160" s="679"/>
      <c r="WEH160" s="679"/>
      <c r="WEI160" s="679"/>
      <c r="WEJ160" s="679"/>
      <c r="WEK160" s="679"/>
      <c r="WEL160" s="679"/>
      <c r="WEM160" s="679"/>
      <c r="WEN160" s="679"/>
      <c r="WEO160" s="679"/>
      <c r="WEP160" s="679"/>
      <c r="WEQ160" s="679"/>
      <c r="WER160" s="679"/>
      <c r="WES160" s="679"/>
      <c r="WET160" s="679"/>
      <c r="WEU160" s="679"/>
      <c r="WEV160" s="679"/>
      <c r="WEW160" s="679"/>
      <c r="WEX160" s="679"/>
      <c r="WEY160" s="679"/>
      <c r="WEZ160" s="679"/>
      <c r="WFA160" s="679"/>
      <c r="WFB160" s="679"/>
      <c r="WFC160" s="679"/>
      <c r="WFD160" s="679"/>
      <c r="WFE160" s="679"/>
      <c r="WFF160" s="679"/>
      <c r="WFG160" s="679"/>
      <c r="WFH160" s="679"/>
      <c r="WFI160" s="679"/>
      <c r="WFJ160" s="679"/>
      <c r="WFK160" s="679"/>
      <c r="WFL160" s="679"/>
      <c r="WFM160" s="679"/>
      <c r="WFN160" s="679"/>
      <c r="WFO160" s="679"/>
      <c r="WFP160" s="679"/>
      <c r="WFQ160" s="679"/>
      <c r="WFR160" s="679"/>
      <c r="WFS160" s="679"/>
      <c r="WFT160" s="679"/>
      <c r="WFU160" s="679"/>
      <c r="WFV160" s="679"/>
      <c r="WFW160" s="679"/>
      <c r="WFX160" s="679"/>
      <c r="WFY160" s="679"/>
      <c r="WFZ160" s="679"/>
      <c r="WGA160" s="679"/>
      <c r="WGB160" s="679"/>
      <c r="WGC160" s="679"/>
      <c r="WGD160" s="679"/>
      <c r="WGE160" s="679"/>
      <c r="WGF160" s="679"/>
      <c r="WGG160" s="679"/>
      <c r="WGH160" s="679"/>
      <c r="WGI160" s="679"/>
      <c r="WGJ160" s="679"/>
      <c r="WGK160" s="679"/>
      <c r="WGL160" s="679"/>
      <c r="WGM160" s="679"/>
      <c r="WGN160" s="679"/>
      <c r="WGO160" s="679"/>
      <c r="WGP160" s="679"/>
      <c r="WGQ160" s="679"/>
      <c r="WGR160" s="679"/>
      <c r="WGS160" s="679"/>
      <c r="WGT160" s="679"/>
      <c r="WGU160" s="679"/>
      <c r="WGV160" s="679"/>
      <c r="WGW160" s="679"/>
      <c r="WGX160" s="679"/>
      <c r="WGY160" s="679"/>
      <c r="WGZ160" s="679"/>
      <c r="WHA160" s="679"/>
      <c r="WHB160" s="679"/>
      <c r="WHC160" s="679"/>
      <c r="WHD160" s="679"/>
      <c r="WHE160" s="679"/>
      <c r="WHF160" s="679"/>
      <c r="WHG160" s="679"/>
      <c r="WHH160" s="679"/>
      <c r="WHI160" s="679"/>
      <c r="WHJ160" s="679"/>
      <c r="WHK160" s="679"/>
      <c r="WHL160" s="679"/>
      <c r="WHM160" s="679"/>
      <c r="WHN160" s="679"/>
      <c r="WHO160" s="679"/>
      <c r="WHP160" s="679"/>
      <c r="WHQ160" s="679"/>
      <c r="WHR160" s="679"/>
      <c r="WHS160" s="679"/>
      <c r="WHT160" s="679"/>
      <c r="WHU160" s="679"/>
      <c r="WHV160" s="679"/>
      <c r="WHW160" s="679"/>
      <c r="WHX160" s="679"/>
      <c r="WHY160" s="679"/>
      <c r="WHZ160" s="679"/>
      <c r="WIA160" s="679"/>
      <c r="WIB160" s="679"/>
      <c r="WIC160" s="679"/>
      <c r="WID160" s="679"/>
      <c r="WIE160" s="679"/>
      <c r="WIF160" s="679"/>
      <c r="WIG160" s="679"/>
      <c r="WIH160" s="679"/>
      <c r="WII160" s="679"/>
      <c r="WIJ160" s="679"/>
      <c r="WIK160" s="679"/>
      <c r="WIL160" s="679"/>
      <c r="WIM160" s="679"/>
      <c r="WIN160" s="679"/>
      <c r="WIO160" s="679"/>
      <c r="WIP160" s="679"/>
      <c r="WIQ160" s="679"/>
      <c r="WIR160" s="679"/>
      <c r="WIS160" s="679"/>
      <c r="WIT160" s="679"/>
      <c r="WIU160" s="679"/>
      <c r="WIV160" s="679"/>
      <c r="WIW160" s="679"/>
      <c r="WIX160" s="679"/>
      <c r="WIY160" s="679"/>
      <c r="WIZ160" s="679"/>
      <c r="WJA160" s="679"/>
      <c r="WJB160" s="679"/>
      <c r="WJC160" s="679"/>
      <c r="WJD160" s="679"/>
      <c r="WJE160" s="679"/>
      <c r="WJF160" s="679"/>
      <c r="WJG160" s="679"/>
      <c r="WJH160" s="679"/>
      <c r="WJI160" s="679"/>
      <c r="WJJ160" s="679"/>
      <c r="WJK160" s="679"/>
      <c r="WJL160" s="679"/>
      <c r="WJM160" s="679"/>
      <c r="WJN160" s="679"/>
      <c r="WJO160" s="679"/>
      <c r="WJP160" s="679"/>
      <c r="WJQ160" s="679"/>
      <c r="WJR160" s="679"/>
      <c r="WJS160" s="679"/>
      <c r="WJT160" s="679"/>
      <c r="WJU160" s="679"/>
      <c r="WJV160" s="679"/>
      <c r="WJW160" s="679"/>
      <c r="WJX160" s="679"/>
      <c r="WJY160" s="679"/>
      <c r="WJZ160" s="679"/>
      <c r="WKA160" s="679"/>
      <c r="WKB160" s="679"/>
      <c r="WKC160" s="679"/>
      <c r="WKD160" s="679"/>
      <c r="WKE160" s="679"/>
      <c r="WKF160" s="679"/>
      <c r="WKG160" s="679"/>
      <c r="WKH160" s="679"/>
      <c r="WKI160" s="679"/>
      <c r="WKJ160" s="679"/>
      <c r="WKK160" s="679"/>
      <c r="WKL160" s="679"/>
      <c r="WKM160" s="679"/>
      <c r="WKN160" s="679"/>
      <c r="WKO160" s="679"/>
      <c r="WKP160" s="679"/>
      <c r="WKQ160" s="679"/>
      <c r="WKR160" s="679"/>
      <c r="WKS160" s="679"/>
      <c r="WKT160" s="679"/>
      <c r="WKU160" s="679"/>
      <c r="WKV160" s="679"/>
      <c r="WKW160" s="679"/>
      <c r="WKX160" s="679"/>
      <c r="WKY160" s="679"/>
      <c r="WKZ160" s="679"/>
      <c r="WLA160" s="679"/>
      <c r="WLB160" s="679"/>
      <c r="WLC160" s="679"/>
      <c r="WLD160" s="679"/>
      <c r="WLE160" s="679"/>
      <c r="WLF160" s="679"/>
      <c r="WLG160" s="679"/>
      <c r="WLH160" s="679"/>
      <c r="WLI160" s="679"/>
      <c r="WLJ160" s="679"/>
      <c r="WLK160" s="679"/>
      <c r="WLL160" s="679"/>
      <c r="WLM160" s="679"/>
      <c r="WLN160" s="679"/>
      <c r="WLO160" s="679"/>
      <c r="WLP160" s="679"/>
      <c r="WLQ160" s="679"/>
      <c r="WLR160" s="679"/>
      <c r="WLS160" s="679"/>
      <c r="WLT160" s="679"/>
      <c r="WLU160" s="679"/>
      <c r="WLV160" s="679"/>
      <c r="WLW160" s="679"/>
      <c r="WLX160" s="679"/>
      <c r="WLY160" s="679"/>
      <c r="WLZ160" s="679"/>
      <c r="WMA160" s="679"/>
      <c r="WMB160" s="679"/>
      <c r="WMC160" s="679"/>
      <c r="WMD160" s="679"/>
      <c r="WME160" s="679"/>
      <c r="WMF160" s="679"/>
      <c r="WMG160" s="679"/>
      <c r="WMH160" s="679"/>
      <c r="WMI160" s="679"/>
      <c r="WMJ160" s="679"/>
      <c r="WMK160" s="679"/>
      <c r="WML160" s="679"/>
      <c r="WMM160" s="679"/>
      <c r="WMN160" s="679"/>
      <c r="WMO160" s="679"/>
      <c r="WMP160" s="679"/>
      <c r="WMQ160" s="679"/>
      <c r="WMR160" s="679"/>
      <c r="WMS160" s="679"/>
      <c r="WMT160" s="679"/>
      <c r="WMU160" s="679"/>
      <c r="WMV160" s="679"/>
      <c r="WMW160" s="679"/>
      <c r="WMX160" s="679"/>
      <c r="WMY160" s="679"/>
      <c r="WMZ160" s="679"/>
      <c r="WNA160" s="679"/>
      <c r="WNB160" s="679"/>
      <c r="WNC160" s="679"/>
      <c r="WND160" s="679"/>
      <c r="WNE160" s="679"/>
      <c r="WNF160" s="679"/>
      <c r="WNG160" s="679"/>
      <c r="WNH160" s="679"/>
      <c r="WNI160" s="679"/>
      <c r="WNJ160" s="679"/>
      <c r="WNK160" s="679"/>
      <c r="WNL160" s="679"/>
      <c r="WNM160" s="679"/>
      <c r="WNN160" s="679"/>
      <c r="WNO160" s="679"/>
      <c r="WNP160" s="679"/>
      <c r="WNQ160" s="679"/>
      <c r="WNR160" s="679"/>
      <c r="WNS160" s="679"/>
      <c r="WNT160" s="679"/>
      <c r="WNU160" s="679"/>
      <c r="WNV160" s="679"/>
      <c r="WNW160" s="679"/>
      <c r="WNX160" s="679"/>
      <c r="WNY160" s="679"/>
      <c r="WNZ160" s="679"/>
      <c r="WOA160" s="679"/>
      <c r="WOB160" s="679"/>
      <c r="WOC160" s="679"/>
      <c r="WOD160" s="679"/>
      <c r="WOE160" s="679"/>
      <c r="WOF160" s="679"/>
      <c r="WOG160" s="679"/>
      <c r="WOH160" s="679"/>
      <c r="WOI160" s="679"/>
      <c r="WOJ160" s="679"/>
      <c r="WOK160" s="679"/>
      <c r="WOL160" s="679"/>
      <c r="WOM160" s="679"/>
      <c r="WON160" s="679"/>
      <c r="WOO160" s="679"/>
      <c r="WOP160" s="679"/>
      <c r="WOQ160" s="679"/>
      <c r="WOR160" s="679"/>
      <c r="WOS160" s="679"/>
      <c r="WOT160" s="679"/>
      <c r="WOU160" s="679"/>
      <c r="WOV160" s="679"/>
      <c r="WOW160" s="679"/>
      <c r="WOX160" s="679"/>
      <c r="WOY160" s="679"/>
      <c r="WOZ160" s="679"/>
      <c r="WPA160" s="679"/>
      <c r="WPB160" s="679"/>
      <c r="WPC160" s="679"/>
      <c r="WPD160" s="679"/>
      <c r="WPE160" s="679"/>
      <c r="WPF160" s="679"/>
      <c r="WPG160" s="679"/>
      <c r="WPH160" s="679"/>
      <c r="WPI160" s="679"/>
      <c r="WPJ160" s="679"/>
      <c r="WPK160" s="679"/>
      <c r="WPL160" s="679"/>
      <c r="WPM160" s="679"/>
      <c r="WPN160" s="679"/>
      <c r="WPO160" s="679"/>
      <c r="WPP160" s="679"/>
      <c r="WPQ160" s="679"/>
      <c r="WPR160" s="679"/>
      <c r="WPS160" s="679"/>
      <c r="WPT160" s="679"/>
      <c r="WPU160" s="679"/>
      <c r="WPV160" s="679"/>
      <c r="WPW160" s="679"/>
      <c r="WPX160" s="679"/>
      <c r="WPY160" s="679"/>
      <c r="WPZ160" s="679"/>
      <c r="WQA160" s="679"/>
      <c r="WQB160" s="679"/>
      <c r="WQC160" s="679"/>
      <c r="WQD160" s="679"/>
      <c r="WQE160" s="679"/>
      <c r="WQF160" s="679"/>
      <c r="WQG160" s="679"/>
      <c r="WQH160" s="679"/>
      <c r="WQI160" s="679"/>
      <c r="WQJ160" s="679"/>
      <c r="WQK160" s="679"/>
      <c r="WQL160" s="679"/>
      <c r="WQM160" s="679"/>
      <c r="WQN160" s="679"/>
      <c r="WQO160" s="679"/>
      <c r="WQP160" s="679"/>
      <c r="WQQ160" s="679"/>
      <c r="WQR160" s="679"/>
      <c r="WQS160" s="679"/>
      <c r="WQT160" s="679"/>
      <c r="WQU160" s="679"/>
      <c r="WQV160" s="679"/>
      <c r="WQW160" s="679"/>
      <c r="WQX160" s="679"/>
      <c r="WQY160" s="679"/>
      <c r="WQZ160" s="679"/>
      <c r="WRA160" s="679"/>
      <c r="WRB160" s="679"/>
      <c r="WRC160" s="679"/>
      <c r="WRD160" s="679"/>
      <c r="WRE160" s="679"/>
      <c r="WRF160" s="679"/>
      <c r="WRG160" s="679"/>
      <c r="WRH160" s="679"/>
      <c r="WRI160" s="679"/>
      <c r="WRJ160" s="679"/>
      <c r="WRK160" s="679"/>
      <c r="WRL160" s="679"/>
      <c r="WRM160" s="679"/>
      <c r="WRN160" s="679"/>
      <c r="WRO160" s="679"/>
      <c r="WRP160" s="679"/>
      <c r="WRQ160" s="679"/>
      <c r="WRR160" s="679"/>
      <c r="WRS160" s="679"/>
      <c r="WRT160" s="679"/>
      <c r="WRU160" s="679"/>
      <c r="WRV160" s="679"/>
      <c r="WRW160" s="679"/>
      <c r="WRX160" s="679"/>
      <c r="WRY160" s="679"/>
      <c r="WRZ160" s="679"/>
      <c r="WSA160" s="679"/>
      <c r="WSB160" s="679"/>
      <c r="WSC160" s="679"/>
      <c r="WSD160" s="679"/>
      <c r="WSE160" s="679"/>
      <c r="WSF160" s="679"/>
      <c r="WSG160" s="679"/>
      <c r="WSH160" s="679"/>
      <c r="WSI160" s="679"/>
      <c r="WSJ160" s="679"/>
      <c r="WSK160" s="679"/>
      <c r="WSL160" s="679"/>
      <c r="WSM160" s="679"/>
      <c r="WSN160" s="679"/>
      <c r="WSO160" s="679"/>
      <c r="WSP160" s="679"/>
      <c r="WSQ160" s="679"/>
      <c r="WSR160" s="679"/>
      <c r="WSS160" s="679"/>
      <c r="WST160" s="679"/>
      <c r="WSU160" s="679"/>
      <c r="WSV160" s="679"/>
      <c r="WSW160" s="679"/>
      <c r="WSX160" s="679"/>
      <c r="WSY160" s="679"/>
      <c r="WSZ160" s="679"/>
      <c r="WTA160" s="679"/>
      <c r="WTB160" s="679"/>
      <c r="WTC160" s="679"/>
      <c r="WTD160" s="679"/>
      <c r="WTE160" s="679"/>
      <c r="WTF160" s="679"/>
      <c r="WTG160" s="679"/>
      <c r="WTH160" s="679"/>
      <c r="WTI160" s="679"/>
      <c r="WTJ160" s="679"/>
      <c r="WTK160" s="679"/>
      <c r="WTL160" s="679"/>
      <c r="WTM160" s="679"/>
      <c r="WTN160" s="679"/>
      <c r="WTO160" s="679"/>
      <c r="WTP160" s="679"/>
      <c r="WTQ160" s="679"/>
      <c r="WTR160" s="679"/>
      <c r="WTS160" s="679"/>
      <c r="WTT160" s="679"/>
      <c r="WTU160" s="679"/>
      <c r="WTV160" s="679"/>
      <c r="WTW160" s="679"/>
      <c r="WTX160" s="679"/>
      <c r="WTY160" s="679"/>
      <c r="WTZ160" s="679"/>
      <c r="WUA160" s="679"/>
      <c r="WUB160" s="679"/>
      <c r="WUC160" s="679"/>
      <c r="WUD160" s="679"/>
      <c r="WUE160" s="679"/>
      <c r="WUF160" s="679"/>
      <c r="WUG160" s="679"/>
      <c r="WUH160" s="679"/>
      <c r="WUI160" s="679"/>
      <c r="WUJ160" s="679"/>
      <c r="WUK160" s="679"/>
      <c r="WUL160" s="679"/>
      <c r="WUM160" s="679"/>
      <c r="WUN160" s="679"/>
      <c r="WUO160" s="679"/>
      <c r="WUP160" s="679"/>
      <c r="WUQ160" s="679"/>
      <c r="WUR160" s="679"/>
      <c r="WUS160" s="679"/>
      <c r="WUT160" s="679"/>
      <c r="WUU160" s="679"/>
      <c r="WUV160" s="679"/>
      <c r="WUW160" s="679"/>
      <c r="WUX160" s="679"/>
      <c r="WUY160" s="679"/>
      <c r="WUZ160" s="679"/>
      <c r="WVA160" s="679"/>
      <c r="WVB160" s="679"/>
      <c r="WVC160" s="679"/>
      <c r="WVD160" s="679"/>
      <c r="WVE160" s="679"/>
      <c r="WVF160" s="679"/>
      <c r="WVG160" s="679"/>
      <c r="WVH160" s="679"/>
      <c r="WVI160" s="679"/>
      <c r="WVJ160" s="679"/>
      <c r="WVK160" s="679"/>
      <c r="WVL160" s="679"/>
      <c r="WVM160" s="679"/>
      <c r="WVN160" s="679"/>
      <c r="WVO160" s="679"/>
      <c r="WVP160" s="679"/>
      <c r="WVQ160" s="679"/>
      <c r="WVR160" s="679"/>
      <c r="WVS160" s="679"/>
    </row>
    <row r="161" spans="1:16139" s="751" customFormat="1">
      <c r="A161" s="679" t="s">
        <v>970</v>
      </c>
      <c r="B161" s="679" t="s">
        <v>1151</v>
      </c>
      <c r="C161" s="679" t="s">
        <v>1152</v>
      </c>
      <c r="D161" s="679" t="s">
        <v>1147</v>
      </c>
      <c r="E161" s="679" t="s">
        <v>792</v>
      </c>
      <c r="F161" s="679" t="s">
        <v>818</v>
      </c>
      <c r="G161" s="679" t="s">
        <v>1136</v>
      </c>
      <c r="H161" s="679">
        <v>60091</v>
      </c>
      <c r="I161" s="679" t="s">
        <v>1148</v>
      </c>
      <c r="J161" s="679">
        <v>78</v>
      </c>
      <c r="K161" s="679"/>
      <c r="L161" s="679"/>
      <c r="M161" s="679"/>
      <c r="N161" s="679"/>
      <c r="O161" s="679"/>
      <c r="P161" s="679"/>
      <c r="Q161" s="679"/>
      <c r="R161" s="679"/>
      <c r="S161" s="679"/>
      <c r="T161" s="679"/>
      <c r="U161" s="679"/>
      <c r="V161" s="679"/>
      <c r="W161" s="679"/>
      <c r="X161" s="679"/>
      <c r="Y161" s="679"/>
      <c r="Z161" s="679"/>
      <c r="AA161" s="679"/>
      <c r="AB161" s="679"/>
      <c r="AC161" s="679"/>
      <c r="AD161" s="679"/>
      <c r="AE161" s="679"/>
      <c r="AF161" s="679"/>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E161" s="679"/>
      <c r="BF161" s="679"/>
      <c r="BG161" s="679"/>
      <c r="BH161" s="679"/>
      <c r="BI161" s="679"/>
      <c r="BJ161" s="679"/>
      <c r="BK161" s="679"/>
      <c r="BL161" s="679"/>
      <c r="BM161" s="679"/>
      <c r="BN161" s="679"/>
      <c r="BO161" s="679"/>
      <c r="BP161" s="679"/>
      <c r="BQ161" s="679"/>
      <c r="BR161" s="679"/>
      <c r="BS161" s="679"/>
      <c r="BT161" s="679"/>
      <c r="BU161" s="679"/>
      <c r="BV161" s="679"/>
      <c r="BW161" s="679"/>
      <c r="BX161" s="679"/>
      <c r="BY161" s="679"/>
      <c r="BZ161" s="679"/>
      <c r="CA161" s="679"/>
      <c r="CB161" s="679"/>
      <c r="CC161" s="679"/>
      <c r="CD161" s="679"/>
      <c r="CE161" s="679"/>
      <c r="CF161" s="679"/>
      <c r="CG161" s="679"/>
      <c r="CH161" s="679"/>
      <c r="CI161" s="679"/>
      <c r="CJ161" s="679"/>
      <c r="CK161" s="679"/>
      <c r="CL161" s="679"/>
      <c r="CM161" s="679"/>
      <c r="CN161" s="679"/>
      <c r="CO161" s="679"/>
      <c r="CP161" s="679"/>
      <c r="CQ161" s="679"/>
      <c r="CR161" s="679"/>
      <c r="CS161" s="679"/>
      <c r="CT161" s="679"/>
      <c r="CU161" s="679"/>
      <c r="CV161" s="679"/>
      <c r="CW161" s="679"/>
      <c r="CX161" s="679"/>
      <c r="CY161" s="679"/>
      <c r="CZ161" s="679"/>
      <c r="DA161" s="679"/>
      <c r="DB161" s="679"/>
      <c r="DC161" s="679"/>
      <c r="DD161" s="679"/>
      <c r="DE161" s="679"/>
      <c r="DF161" s="679"/>
      <c r="DG161" s="679"/>
      <c r="DH161" s="679"/>
      <c r="DI161" s="679"/>
      <c r="DJ161" s="679"/>
      <c r="DK161" s="679"/>
      <c r="DL161" s="679"/>
      <c r="DM161" s="679"/>
      <c r="DN161" s="679"/>
      <c r="DO161" s="679"/>
      <c r="DP161" s="679"/>
      <c r="DQ161" s="679"/>
      <c r="DR161" s="679"/>
      <c r="DS161" s="679"/>
      <c r="DT161" s="679"/>
      <c r="DU161" s="679"/>
      <c r="DV161" s="679"/>
      <c r="DW161" s="679"/>
      <c r="DX161" s="679"/>
      <c r="DY161" s="679"/>
      <c r="DZ161" s="679"/>
      <c r="EA161" s="679"/>
      <c r="EB161" s="679"/>
      <c r="EC161" s="679"/>
      <c r="ED161" s="679"/>
      <c r="EE161" s="679"/>
      <c r="EF161" s="679"/>
      <c r="EG161" s="679"/>
      <c r="EH161" s="679"/>
      <c r="EI161" s="679"/>
      <c r="EJ161" s="679"/>
      <c r="EK161" s="679"/>
      <c r="EL161" s="679"/>
      <c r="EM161" s="679"/>
      <c r="EN161" s="679"/>
      <c r="EO161" s="679"/>
      <c r="EP161" s="679"/>
      <c r="EQ161" s="679"/>
      <c r="ER161" s="679"/>
      <c r="ES161" s="679"/>
      <c r="ET161" s="679"/>
      <c r="EU161" s="679"/>
      <c r="EV161" s="679"/>
      <c r="EW161" s="679"/>
      <c r="EX161" s="679"/>
      <c r="EY161" s="679"/>
      <c r="EZ161" s="679"/>
      <c r="FA161" s="679"/>
      <c r="FB161" s="679"/>
      <c r="FC161" s="679"/>
      <c r="FD161" s="679"/>
      <c r="FE161" s="679"/>
      <c r="FF161" s="679"/>
      <c r="FG161" s="679"/>
      <c r="FH161" s="679"/>
      <c r="FI161" s="679"/>
      <c r="FJ161" s="679"/>
      <c r="FK161" s="679"/>
      <c r="FL161" s="679"/>
      <c r="FM161" s="679"/>
      <c r="FN161" s="679"/>
      <c r="FO161" s="679"/>
      <c r="FP161" s="679"/>
      <c r="FQ161" s="679"/>
      <c r="FR161" s="679"/>
      <c r="FS161" s="679"/>
      <c r="FT161" s="679"/>
      <c r="FU161" s="679"/>
      <c r="FV161" s="679"/>
      <c r="FW161" s="679"/>
      <c r="FX161" s="679"/>
      <c r="FY161" s="679"/>
      <c r="FZ161" s="679"/>
      <c r="GA161" s="679"/>
      <c r="GB161" s="679"/>
      <c r="GC161" s="679"/>
      <c r="GD161" s="679"/>
      <c r="GE161" s="679"/>
      <c r="GF161" s="679"/>
      <c r="GG161" s="679"/>
      <c r="GH161" s="679"/>
      <c r="GI161" s="679"/>
      <c r="GJ161" s="679"/>
      <c r="GK161" s="679"/>
      <c r="GL161" s="679"/>
      <c r="GM161" s="679"/>
      <c r="GN161" s="679"/>
      <c r="GO161" s="679"/>
      <c r="GP161" s="679"/>
      <c r="GQ161" s="679"/>
      <c r="GR161" s="679"/>
      <c r="GS161" s="679"/>
      <c r="GT161" s="679"/>
      <c r="GU161" s="679"/>
      <c r="GV161" s="679"/>
      <c r="GW161" s="679"/>
      <c r="GX161" s="679"/>
      <c r="GY161" s="679"/>
      <c r="GZ161" s="679"/>
      <c r="HA161" s="679"/>
      <c r="HB161" s="679"/>
      <c r="HC161" s="679"/>
      <c r="HD161" s="679"/>
      <c r="HE161" s="679"/>
      <c r="HF161" s="679"/>
      <c r="HG161" s="679"/>
      <c r="HH161" s="679"/>
      <c r="HI161" s="679"/>
      <c r="HJ161" s="679"/>
      <c r="HK161" s="679"/>
      <c r="HL161" s="679"/>
      <c r="HM161" s="679"/>
      <c r="HN161" s="679"/>
      <c r="HO161" s="679"/>
      <c r="HP161" s="679"/>
      <c r="HQ161" s="679"/>
      <c r="HR161" s="679"/>
      <c r="HS161" s="679"/>
      <c r="HT161" s="679"/>
      <c r="HU161" s="679"/>
      <c r="HV161" s="679"/>
      <c r="HW161" s="679"/>
      <c r="HX161" s="679"/>
      <c r="HY161" s="679"/>
      <c r="HZ161" s="679"/>
      <c r="IA161" s="679"/>
      <c r="IB161" s="679"/>
      <c r="IC161" s="679"/>
      <c r="ID161" s="679"/>
      <c r="IE161" s="679"/>
      <c r="IF161" s="679"/>
      <c r="IG161" s="679"/>
      <c r="IH161" s="679"/>
      <c r="II161" s="679"/>
      <c r="IJ161" s="679"/>
      <c r="IK161" s="679"/>
      <c r="IL161" s="679"/>
      <c r="IM161" s="679"/>
      <c r="IN161" s="679"/>
      <c r="IO161" s="679"/>
      <c r="IP161" s="679"/>
      <c r="IQ161" s="679"/>
      <c r="IR161" s="679"/>
      <c r="IS161" s="679"/>
      <c r="IT161" s="679"/>
      <c r="IU161" s="679"/>
      <c r="IV161" s="679"/>
      <c r="IW161" s="679"/>
      <c r="IX161" s="679"/>
      <c r="IY161" s="679"/>
      <c r="IZ161" s="679"/>
      <c r="JA161" s="679"/>
      <c r="JB161" s="679"/>
      <c r="JC161" s="679"/>
      <c r="JD161" s="679"/>
      <c r="JE161" s="679"/>
      <c r="JF161" s="679"/>
      <c r="JG161" s="679"/>
      <c r="JH161" s="679"/>
      <c r="JI161" s="679"/>
      <c r="JJ161" s="679"/>
      <c r="JK161" s="679"/>
      <c r="JL161" s="679"/>
      <c r="JM161" s="679"/>
      <c r="JN161" s="679"/>
      <c r="JO161" s="679"/>
      <c r="JP161" s="679"/>
      <c r="JQ161" s="679"/>
      <c r="JR161" s="679"/>
      <c r="JS161" s="679"/>
      <c r="JT161" s="679"/>
      <c r="JU161" s="679"/>
      <c r="JV161" s="679"/>
      <c r="JW161" s="679"/>
      <c r="JX161" s="679"/>
      <c r="JY161" s="679"/>
      <c r="JZ161" s="679"/>
      <c r="KA161" s="679"/>
      <c r="KB161" s="679"/>
      <c r="KC161" s="679"/>
      <c r="KD161" s="679"/>
      <c r="KE161" s="679"/>
      <c r="KF161" s="679"/>
      <c r="KG161" s="679"/>
      <c r="KH161" s="679"/>
      <c r="KI161" s="679"/>
      <c r="KJ161" s="679"/>
      <c r="KK161" s="679"/>
      <c r="KL161" s="679"/>
      <c r="KM161" s="679"/>
      <c r="KN161" s="679"/>
      <c r="KO161" s="679"/>
      <c r="KP161" s="679"/>
      <c r="KQ161" s="679"/>
      <c r="KR161" s="679"/>
      <c r="KS161" s="679"/>
      <c r="KT161" s="679"/>
      <c r="KU161" s="679"/>
      <c r="KV161" s="679"/>
      <c r="KW161" s="679"/>
      <c r="KX161" s="679"/>
      <c r="KY161" s="679"/>
      <c r="KZ161" s="679"/>
      <c r="LA161" s="679"/>
      <c r="LB161" s="679"/>
      <c r="LC161" s="679"/>
      <c r="LD161" s="679"/>
      <c r="LE161" s="679"/>
      <c r="LF161" s="679"/>
      <c r="LG161" s="679"/>
      <c r="LH161" s="679"/>
      <c r="LI161" s="679"/>
      <c r="LJ161" s="679"/>
      <c r="LK161" s="679"/>
      <c r="LL161" s="679"/>
      <c r="LM161" s="679"/>
      <c r="LN161" s="679"/>
      <c r="LO161" s="679"/>
      <c r="LP161" s="679"/>
      <c r="LQ161" s="679"/>
      <c r="LR161" s="679"/>
      <c r="LS161" s="679"/>
      <c r="LT161" s="679"/>
      <c r="LU161" s="679"/>
      <c r="LV161" s="679"/>
      <c r="LW161" s="679"/>
      <c r="LX161" s="679"/>
      <c r="LY161" s="679"/>
      <c r="LZ161" s="679"/>
      <c r="MA161" s="679"/>
      <c r="MB161" s="679"/>
      <c r="MC161" s="679"/>
      <c r="MD161" s="679"/>
      <c r="ME161" s="679"/>
      <c r="MF161" s="679"/>
      <c r="MG161" s="679"/>
      <c r="MH161" s="679"/>
      <c r="MI161" s="679"/>
      <c r="MJ161" s="679"/>
      <c r="MK161" s="679"/>
      <c r="ML161" s="679"/>
      <c r="MM161" s="679"/>
      <c r="MN161" s="679"/>
      <c r="MO161" s="679"/>
      <c r="MP161" s="679"/>
      <c r="MQ161" s="679"/>
      <c r="MR161" s="679"/>
      <c r="MS161" s="679"/>
      <c r="MT161" s="679"/>
      <c r="MU161" s="679"/>
      <c r="MV161" s="679"/>
      <c r="MW161" s="679"/>
      <c r="MX161" s="679"/>
      <c r="MY161" s="679"/>
      <c r="MZ161" s="679"/>
      <c r="NA161" s="679"/>
      <c r="NB161" s="679"/>
      <c r="NC161" s="679"/>
      <c r="ND161" s="679"/>
      <c r="NE161" s="679"/>
      <c r="NF161" s="679"/>
      <c r="NG161" s="679"/>
      <c r="NH161" s="679"/>
      <c r="NI161" s="679"/>
      <c r="NJ161" s="679"/>
      <c r="NK161" s="679"/>
      <c r="NL161" s="679"/>
      <c r="NM161" s="679"/>
      <c r="NN161" s="679"/>
      <c r="NO161" s="679"/>
      <c r="NP161" s="679"/>
      <c r="NQ161" s="679"/>
      <c r="NR161" s="679"/>
      <c r="NS161" s="679"/>
      <c r="NT161" s="679"/>
      <c r="NU161" s="679"/>
      <c r="NV161" s="679"/>
      <c r="NW161" s="679"/>
      <c r="NX161" s="679"/>
      <c r="NY161" s="679"/>
      <c r="NZ161" s="679"/>
      <c r="OA161" s="679"/>
      <c r="OB161" s="679"/>
      <c r="OC161" s="679"/>
      <c r="OD161" s="679"/>
      <c r="OE161" s="679"/>
      <c r="OF161" s="679"/>
      <c r="OG161" s="679"/>
      <c r="OH161" s="679"/>
      <c r="OI161" s="679"/>
      <c r="OJ161" s="679"/>
      <c r="OK161" s="679"/>
      <c r="OL161" s="679"/>
      <c r="OM161" s="679"/>
      <c r="ON161" s="679"/>
      <c r="OO161" s="679"/>
      <c r="OP161" s="679"/>
      <c r="OQ161" s="679"/>
      <c r="OR161" s="679"/>
      <c r="OS161" s="679"/>
      <c r="OT161" s="679"/>
      <c r="OU161" s="679"/>
      <c r="OV161" s="679"/>
      <c r="OW161" s="679"/>
      <c r="OX161" s="679"/>
      <c r="OY161" s="679"/>
      <c r="OZ161" s="679"/>
      <c r="PA161" s="679"/>
      <c r="PB161" s="679"/>
      <c r="PC161" s="679"/>
      <c r="PD161" s="679"/>
      <c r="PE161" s="679"/>
      <c r="PF161" s="679"/>
      <c r="PG161" s="679"/>
      <c r="PH161" s="679"/>
      <c r="PI161" s="679"/>
      <c r="PJ161" s="679"/>
      <c r="PK161" s="679"/>
      <c r="PL161" s="679"/>
      <c r="PM161" s="679"/>
      <c r="PN161" s="679"/>
      <c r="PO161" s="679"/>
      <c r="PP161" s="679"/>
      <c r="PQ161" s="679"/>
      <c r="PR161" s="679"/>
      <c r="PS161" s="679"/>
      <c r="PT161" s="679"/>
      <c r="PU161" s="679"/>
      <c r="PV161" s="679"/>
      <c r="PW161" s="679"/>
      <c r="PX161" s="679"/>
      <c r="PY161" s="679"/>
      <c r="PZ161" s="679"/>
      <c r="QA161" s="679"/>
      <c r="QB161" s="679"/>
      <c r="QC161" s="679"/>
      <c r="QD161" s="679"/>
      <c r="QE161" s="679"/>
      <c r="QF161" s="679"/>
      <c r="QG161" s="679"/>
      <c r="QH161" s="679"/>
      <c r="QI161" s="679"/>
      <c r="QJ161" s="679"/>
      <c r="QK161" s="679"/>
      <c r="QL161" s="679"/>
      <c r="QM161" s="679"/>
      <c r="QN161" s="679"/>
      <c r="QO161" s="679"/>
      <c r="QP161" s="679"/>
      <c r="QQ161" s="679"/>
      <c r="QR161" s="679"/>
      <c r="QS161" s="679"/>
      <c r="QT161" s="679"/>
      <c r="QU161" s="679"/>
      <c r="QV161" s="679"/>
      <c r="QW161" s="679"/>
      <c r="QX161" s="679"/>
      <c r="QY161" s="679"/>
      <c r="QZ161" s="679"/>
      <c r="RA161" s="679"/>
      <c r="RB161" s="679"/>
      <c r="RC161" s="679"/>
      <c r="RD161" s="679"/>
      <c r="RE161" s="679"/>
      <c r="RF161" s="679"/>
      <c r="RG161" s="679"/>
      <c r="RH161" s="679"/>
      <c r="RI161" s="679"/>
      <c r="RJ161" s="679"/>
      <c r="RK161" s="679"/>
      <c r="RL161" s="679"/>
      <c r="RM161" s="679"/>
      <c r="RN161" s="679"/>
      <c r="RO161" s="679"/>
      <c r="RP161" s="679"/>
      <c r="RQ161" s="679"/>
      <c r="RR161" s="679"/>
      <c r="RS161" s="679"/>
      <c r="RT161" s="679"/>
      <c r="RU161" s="679"/>
      <c r="RV161" s="679"/>
      <c r="RW161" s="679"/>
      <c r="RX161" s="679"/>
      <c r="RY161" s="679"/>
      <c r="RZ161" s="679"/>
      <c r="SA161" s="679"/>
      <c r="SB161" s="679"/>
      <c r="SC161" s="679"/>
      <c r="SD161" s="679"/>
      <c r="SE161" s="679"/>
      <c r="SF161" s="679"/>
      <c r="SG161" s="679"/>
      <c r="SH161" s="679"/>
      <c r="SI161" s="679"/>
      <c r="SJ161" s="679"/>
      <c r="SK161" s="679"/>
      <c r="SL161" s="679"/>
      <c r="SM161" s="679"/>
      <c r="SN161" s="679"/>
      <c r="SO161" s="679"/>
      <c r="SP161" s="679"/>
      <c r="SQ161" s="679"/>
      <c r="SR161" s="679"/>
      <c r="SS161" s="679"/>
      <c r="ST161" s="679"/>
      <c r="SU161" s="679"/>
      <c r="SV161" s="679"/>
      <c r="SW161" s="679"/>
      <c r="SX161" s="679"/>
      <c r="SY161" s="679"/>
      <c r="SZ161" s="679"/>
      <c r="TA161" s="679"/>
      <c r="TB161" s="679"/>
      <c r="TC161" s="679"/>
      <c r="TD161" s="679"/>
      <c r="TE161" s="679"/>
      <c r="TF161" s="679"/>
      <c r="TG161" s="679"/>
      <c r="TH161" s="679"/>
      <c r="TI161" s="679"/>
      <c r="TJ161" s="679"/>
      <c r="TK161" s="679"/>
      <c r="TL161" s="679"/>
      <c r="TM161" s="679"/>
      <c r="TN161" s="679"/>
      <c r="TO161" s="679"/>
      <c r="TP161" s="679"/>
      <c r="TQ161" s="679"/>
      <c r="TR161" s="679"/>
      <c r="TS161" s="679"/>
      <c r="TT161" s="679"/>
      <c r="TU161" s="679"/>
      <c r="TV161" s="679"/>
      <c r="TW161" s="679"/>
      <c r="TX161" s="679"/>
      <c r="TY161" s="679"/>
      <c r="TZ161" s="679"/>
      <c r="UA161" s="679"/>
      <c r="UB161" s="679"/>
      <c r="UC161" s="679"/>
      <c r="UD161" s="679"/>
      <c r="UE161" s="679"/>
      <c r="UF161" s="679"/>
      <c r="UG161" s="679"/>
      <c r="UH161" s="679"/>
      <c r="UI161" s="679"/>
      <c r="UJ161" s="679"/>
      <c r="UK161" s="679"/>
      <c r="UL161" s="679"/>
      <c r="UM161" s="679"/>
      <c r="UN161" s="679"/>
      <c r="UO161" s="679"/>
      <c r="UP161" s="679"/>
      <c r="UQ161" s="679"/>
      <c r="UR161" s="679"/>
      <c r="US161" s="679"/>
      <c r="UT161" s="679"/>
      <c r="UU161" s="679"/>
      <c r="UV161" s="679"/>
      <c r="UW161" s="679"/>
      <c r="UX161" s="679"/>
      <c r="UY161" s="679"/>
      <c r="UZ161" s="679"/>
      <c r="VA161" s="679"/>
      <c r="VB161" s="679"/>
      <c r="VC161" s="679"/>
      <c r="VD161" s="679"/>
      <c r="VE161" s="679"/>
      <c r="VF161" s="679"/>
      <c r="VG161" s="679"/>
      <c r="VH161" s="679"/>
      <c r="VI161" s="679"/>
      <c r="VJ161" s="679"/>
      <c r="VK161" s="679"/>
      <c r="VL161" s="679"/>
      <c r="VM161" s="679"/>
      <c r="VN161" s="679"/>
      <c r="VO161" s="679"/>
      <c r="VP161" s="679"/>
      <c r="VQ161" s="679"/>
      <c r="VR161" s="679"/>
      <c r="VS161" s="679"/>
      <c r="VT161" s="679"/>
      <c r="VU161" s="679"/>
      <c r="VV161" s="679"/>
      <c r="VW161" s="679"/>
      <c r="VX161" s="679"/>
      <c r="VY161" s="679"/>
      <c r="VZ161" s="679"/>
      <c r="WA161" s="679"/>
      <c r="WB161" s="679"/>
      <c r="WC161" s="679"/>
      <c r="WD161" s="679"/>
      <c r="WE161" s="679"/>
      <c r="WF161" s="679"/>
      <c r="WG161" s="679"/>
      <c r="WH161" s="679"/>
      <c r="WI161" s="679"/>
      <c r="WJ161" s="679"/>
      <c r="WK161" s="679"/>
      <c r="WL161" s="679"/>
      <c r="WM161" s="679"/>
      <c r="WN161" s="679"/>
      <c r="WO161" s="679"/>
      <c r="WP161" s="679"/>
      <c r="WQ161" s="679"/>
      <c r="WR161" s="679"/>
      <c r="WS161" s="679"/>
      <c r="WT161" s="679"/>
      <c r="WU161" s="679"/>
      <c r="WV161" s="679"/>
      <c r="WW161" s="679"/>
      <c r="WX161" s="679"/>
      <c r="WY161" s="679"/>
      <c r="WZ161" s="679"/>
      <c r="XA161" s="679"/>
      <c r="XB161" s="679"/>
      <c r="XC161" s="679"/>
      <c r="XD161" s="679"/>
      <c r="XE161" s="679"/>
      <c r="XF161" s="679"/>
      <c r="XG161" s="679"/>
      <c r="XH161" s="679"/>
      <c r="XI161" s="679"/>
      <c r="XJ161" s="679"/>
      <c r="XK161" s="679"/>
      <c r="XL161" s="679"/>
      <c r="XM161" s="679"/>
      <c r="XN161" s="679"/>
      <c r="XO161" s="679"/>
      <c r="XP161" s="679"/>
      <c r="XQ161" s="679"/>
      <c r="XR161" s="679"/>
      <c r="XS161" s="679"/>
      <c r="XT161" s="679"/>
      <c r="XU161" s="679"/>
      <c r="XV161" s="679"/>
      <c r="XW161" s="679"/>
      <c r="XX161" s="679"/>
      <c r="XY161" s="679"/>
      <c r="XZ161" s="679"/>
      <c r="YA161" s="679"/>
      <c r="YB161" s="679"/>
      <c r="YC161" s="679"/>
      <c r="YD161" s="679"/>
      <c r="YE161" s="679"/>
      <c r="YF161" s="679"/>
      <c r="YG161" s="679"/>
      <c r="YH161" s="679"/>
      <c r="YI161" s="679"/>
      <c r="YJ161" s="679"/>
      <c r="YK161" s="679"/>
      <c r="YL161" s="679"/>
      <c r="YM161" s="679"/>
      <c r="YN161" s="679"/>
      <c r="YO161" s="679"/>
      <c r="YP161" s="679"/>
      <c r="YQ161" s="679"/>
      <c r="YR161" s="679"/>
      <c r="YS161" s="679"/>
      <c r="YT161" s="679"/>
      <c r="YU161" s="679"/>
      <c r="YV161" s="679"/>
      <c r="YW161" s="679"/>
      <c r="YX161" s="679"/>
      <c r="YY161" s="679"/>
      <c r="YZ161" s="679"/>
      <c r="ZA161" s="679"/>
      <c r="ZB161" s="679"/>
      <c r="ZC161" s="679"/>
      <c r="ZD161" s="679"/>
      <c r="ZE161" s="679"/>
      <c r="ZF161" s="679"/>
      <c r="ZG161" s="679"/>
      <c r="ZH161" s="679"/>
      <c r="ZI161" s="679"/>
      <c r="ZJ161" s="679"/>
      <c r="ZK161" s="679"/>
      <c r="ZL161" s="679"/>
      <c r="ZM161" s="679"/>
      <c r="ZN161" s="679"/>
      <c r="ZO161" s="679"/>
      <c r="ZP161" s="679"/>
      <c r="ZQ161" s="679"/>
      <c r="ZR161" s="679"/>
      <c r="ZS161" s="679"/>
      <c r="ZT161" s="679"/>
      <c r="ZU161" s="679"/>
      <c r="ZV161" s="679"/>
      <c r="ZW161" s="679"/>
      <c r="ZX161" s="679"/>
      <c r="ZY161" s="679"/>
      <c r="ZZ161" s="679"/>
      <c r="AAA161" s="679"/>
      <c r="AAB161" s="679"/>
      <c r="AAC161" s="679"/>
      <c r="AAD161" s="679"/>
      <c r="AAE161" s="679"/>
      <c r="AAF161" s="679"/>
      <c r="AAG161" s="679"/>
      <c r="AAH161" s="679"/>
      <c r="AAI161" s="679"/>
      <c r="AAJ161" s="679"/>
      <c r="AAK161" s="679"/>
      <c r="AAL161" s="679"/>
      <c r="AAM161" s="679"/>
      <c r="AAN161" s="679"/>
      <c r="AAO161" s="679"/>
      <c r="AAP161" s="679"/>
      <c r="AAQ161" s="679"/>
      <c r="AAR161" s="679"/>
      <c r="AAS161" s="679"/>
      <c r="AAT161" s="679"/>
      <c r="AAU161" s="679"/>
      <c r="AAV161" s="679"/>
      <c r="AAW161" s="679"/>
      <c r="AAX161" s="679"/>
      <c r="AAY161" s="679"/>
      <c r="AAZ161" s="679"/>
      <c r="ABA161" s="679"/>
      <c r="ABB161" s="679"/>
      <c r="ABC161" s="679"/>
      <c r="ABD161" s="679"/>
      <c r="ABE161" s="679"/>
      <c r="ABF161" s="679"/>
      <c r="ABG161" s="679"/>
      <c r="ABH161" s="679"/>
      <c r="ABI161" s="679"/>
      <c r="ABJ161" s="679"/>
      <c r="ABK161" s="679"/>
      <c r="ABL161" s="679"/>
      <c r="ABM161" s="679"/>
      <c r="ABN161" s="679"/>
      <c r="ABO161" s="679"/>
      <c r="ABP161" s="679"/>
      <c r="ABQ161" s="679"/>
      <c r="ABR161" s="679"/>
      <c r="ABS161" s="679"/>
      <c r="ABT161" s="679"/>
      <c r="ABU161" s="679"/>
      <c r="ABV161" s="679"/>
      <c r="ABW161" s="679"/>
      <c r="ABX161" s="679"/>
      <c r="ABY161" s="679"/>
      <c r="ABZ161" s="679"/>
      <c r="ACA161" s="679"/>
      <c r="ACB161" s="679"/>
      <c r="ACC161" s="679"/>
      <c r="ACD161" s="679"/>
      <c r="ACE161" s="679"/>
      <c r="ACF161" s="679"/>
      <c r="ACG161" s="679"/>
      <c r="ACH161" s="679"/>
      <c r="ACI161" s="679"/>
      <c r="ACJ161" s="679"/>
      <c r="ACK161" s="679"/>
      <c r="ACL161" s="679"/>
      <c r="ACM161" s="679"/>
      <c r="ACN161" s="679"/>
      <c r="ACO161" s="679"/>
      <c r="ACP161" s="679"/>
      <c r="ACQ161" s="679"/>
      <c r="ACR161" s="679"/>
      <c r="ACS161" s="679"/>
      <c r="ACT161" s="679"/>
      <c r="ACU161" s="679"/>
      <c r="ACV161" s="679"/>
      <c r="ACW161" s="679"/>
      <c r="ACX161" s="679"/>
      <c r="ACY161" s="679"/>
      <c r="ACZ161" s="679"/>
      <c r="ADA161" s="679"/>
      <c r="ADB161" s="679"/>
      <c r="ADC161" s="679"/>
      <c r="ADD161" s="679"/>
      <c r="ADE161" s="679"/>
      <c r="ADF161" s="679"/>
      <c r="ADG161" s="679"/>
      <c r="ADH161" s="679"/>
      <c r="ADI161" s="679"/>
      <c r="ADJ161" s="679"/>
      <c r="ADK161" s="679"/>
      <c r="ADL161" s="679"/>
      <c r="ADM161" s="679"/>
      <c r="ADN161" s="679"/>
      <c r="ADO161" s="679"/>
      <c r="ADP161" s="679"/>
      <c r="ADQ161" s="679"/>
      <c r="ADR161" s="679"/>
      <c r="ADS161" s="679"/>
      <c r="ADT161" s="679"/>
      <c r="ADU161" s="679"/>
      <c r="ADV161" s="679"/>
      <c r="ADW161" s="679"/>
      <c r="ADX161" s="679"/>
      <c r="ADY161" s="679"/>
      <c r="ADZ161" s="679"/>
      <c r="AEA161" s="679"/>
      <c r="AEB161" s="679"/>
      <c r="AEC161" s="679"/>
      <c r="AED161" s="679"/>
      <c r="AEE161" s="679"/>
      <c r="AEF161" s="679"/>
      <c r="AEG161" s="679"/>
      <c r="AEH161" s="679"/>
      <c r="AEI161" s="679"/>
      <c r="AEJ161" s="679"/>
      <c r="AEK161" s="679"/>
      <c r="AEL161" s="679"/>
      <c r="AEM161" s="679"/>
      <c r="AEN161" s="679"/>
      <c r="AEO161" s="679"/>
      <c r="AEP161" s="679"/>
      <c r="AEQ161" s="679"/>
      <c r="AER161" s="679"/>
      <c r="AES161" s="679"/>
      <c r="AET161" s="679"/>
      <c r="AEU161" s="679"/>
      <c r="AEV161" s="679"/>
      <c r="AEW161" s="679"/>
      <c r="AEX161" s="679"/>
      <c r="AEY161" s="679"/>
      <c r="AEZ161" s="679"/>
      <c r="AFA161" s="679"/>
      <c r="AFB161" s="679"/>
      <c r="AFC161" s="679"/>
      <c r="AFD161" s="679"/>
      <c r="AFE161" s="679"/>
      <c r="AFF161" s="679"/>
      <c r="AFG161" s="679"/>
      <c r="AFH161" s="679"/>
      <c r="AFI161" s="679"/>
      <c r="AFJ161" s="679"/>
      <c r="AFK161" s="679"/>
      <c r="AFL161" s="679"/>
      <c r="AFM161" s="679"/>
      <c r="AFN161" s="679"/>
      <c r="AFO161" s="679"/>
      <c r="AFP161" s="679"/>
      <c r="AFQ161" s="679"/>
      <c r="AFR161" s="679"/>
      <c r="AFS161" s="679"/>
      <c r="AFT161" s="679"/>
      <c r="AFU161" s="679"/>
      <c r="AFV161" s="679"/>
      <c r="AFW161" s="679"/>
      <c r="AFX161" s="679"/>
      <c r="AFY161" s="679"/>
      <c r="AFZ161" s="679"/>
      <c r="AGA161" s="679"/>
      <c r="AGB161" s="679"/>
      <c r="AGC161" s="679"/>
      <c r="AGD161" s="679"/>
      <c r="AGE161" s="679"/>
      <c r="AGF161" s="679"/>
      <c r="AGG161" s="679"/>
      <c r="AGH161" s="679"/>
      <c r="AGI161" s="679"/>
      <c r="AGJ161" s="679"/>
      <c r="AGK161" s="679"/>
      <c r="AGL161" s="679"/>
      <c r="AGM161" s="679"/>
      <c r="AGN161" s="679"/>
      <c r="AGO161" s="679"/>
      <c r="AGP161" s="679"/>
      <c r="AGQ161" s="679"/>
      <c r="AGR161" s="679"/>
      <c r="AGS161" s="679"/>
      <c r="AGT161" s="679"/>
      <c r="AGU161" s="679"/>
      <c r="AGV161" s="679"/>
      <c r="AGW161" s="679"/>
      <c r="AGX161" s="679"/>
      <c r="AGY161" s="679"/>
      <c r="AGZ161" s="679"/>
      <c r="AHA161" s="679"/>
      <c r="AHB161" s="679"/>
      <c r="AHC161" s="679"/>
      <c r="AHD161" s="679"/>
      <c r="AHE161" s="679"/>
      <c r="AHF161" s="679"/>
      <c r="AHG161" s="679"/>
      <c r="AHH161" s="679"/>
      <c r="AHI161" s="679"/>
      <c r="AHJ161" s="679"/>
      <c r="AHK161" s="679"/>
      <c r="AHL161" s="679"/>
      <c r="AHM161" s="679"/>
      <c r="AHN161" s="679"/>
      <c r="AHO161" s="679"/>
      <c r="AHP161" s="679"/>
      <c r="AHQ161" s="679"/>
      <c r="AHR161" s="679"/>
      <c r="AHS161" s="679"/>
      <c r="AHT161" s="679"/>
      <c r="AHU161" s="679"/>
      <c r="AHV161" s="679"/>
      <c r="AHW161" s="679"/>
      <c r="AHX161" s="679"/>
      <c r="AHY161" s="679"/>
      <c r="AHZ161" s="679"/>
      <c r="AIA161" s="679"/>
      <c r="AIB161" s="679"/>
      <c r="AIC161" s="679"/>
      <c r="AID161" s="679"/>
      <c r="AIE161" s="679"/>
      <c r="AIF161" s="679"/>
      <c r="AIG161" s="679"/>
      <c r="AIH161" s="679"/>
      <c r="AII161" s="679"/>
      <c r="AIJ161" s="679"/>
      <c r="AIK161" s="679"/>
      <c r="AIL161" s="679"/>
      <c r="AIM161" s="679"/>
      <c r="AIN161" s="679"/>
      <c r="AIO161" s="679"/>
      <c r="AIP161" s="679"/>
      <c r="AIQ161" s="679"/>
      <c r="AIR161" s="679"/>
      <c r="AIS161" s="679"/>
      <c r="AIT161" s="679"/>
      <c r="AIU161" s="679"/>
      <c r="AIV161" s="679"/>
      <c r="AIW161" s="679"/>
      <c r="AIX161" s="679"/>
      <c r="AIY161" s="679"/>
      <c r="AIZ161" s="679"/>
      <c r="AJA161" s="679"/>
      <c r="AJB161" s="679"/>
      <c r="AJC161" s="679"/>
      <c r="AJD161" s="679"/>
      <c r="AJE161" s="679"/>
      <c r="AJF161" s="679"/>
      <c r="AJG161" s="679"/>
      <c r="AJH161" s="679"/>
      <c r="AJI161" s="679"/>
      <c r="AJJ161" s="679"/>
      <c r="AJK161" s="679"/>
      <c r="AJL161" s="679"/>
      <c r="AJM161" s="679"/>
      <c r="AJN161" s="679"/>
      <c r="AJO161" s="679"/>
      <c r="AJP161" s="679"/>
      <c r="AJQ161" s="679"/>
      <c r="AJR161" s="679"/>
      <c r="AJS161" s="679"/>
      <c r="AJT161" s="679"/>
      <c r="AJU161" s="679"/>
      <c r="AJV161" s="679"/>
      <c r="AJW161" s="679"/>
      <c r="AJX161" s="679"/>
      <c r="AJY161" s="679"/>
      <c r="AJZ161" s="679"/>
      <c r="AKA161" s="679"/>
      <c r="AKB161" s="679"/>
      <c r="AKC161" s="679"/>
      <c r="AKD161" s="679"/>
      <c r="AKE161" s="679"/>
      <c r="AKF161" s="679"/>
      <c r="AKG161" s="679"/>
      <c r="AKH161" s="679"/>
      <c r="AKI161" s="679"/>
      <c r="AKJ161" s="679"/>
      <c r="AKK161" s="679"/>
      <c r="AKL161" s="679"/>
      <c r="AKM161" s="679"/>
      <c r="AKN161" s="679"/>
      <c r="AKO161" s="679"/>
      <c r="AKP161" s="679"/>
      <c r="AKQ161" s="679"/>
      <c r="AKR161" s="679"/>
      <c r="AKS161" s="679"/>
      <c r="AKT161" s="679"/>
      <c r="AKU161" s="679"/>
      <c r="AKV161" s="679"/>
      <c r="AKW161" s="679"/>
      <c r="AKX161" s="679"/>
      <c r="AKY161" s="679"/>
      <c r="AKZ161" s="679"/>
      <c r="ALA161" s="679"/>
      <c r="ALB161" s="679"/>
      <c r="ALC161" s="679"/>
      <c r="ALD161" s="679"/>
      <c r="ALE161" s="679"/>
      <c r="ALF161" s="679"/>
      <c r="ALG161" s="679"/>
      <c r="ALH161" s="679"/>
      <c r="ALI161" s="679"/>
      <c r="ALJ161" s="679"/>
      <c r="ALK161" s="679"/>
      <c r="ALL161" s="679"/>
      <c r="ALM161" s="679"/>
      <c r="ALN161" s="679"/>
      <c r="ALO161" s="679"/>
      <c r="ALP161" s="679"/>
      <c r="ALQ161" s="679"/>
      <c r="ALR161" s="679"/>
      <c r="ALS161" s="679"/>
      <c r="ALT161" s="679"/>
      <c r="ALU161" s="679"/>
      <c r="ALV161" s="679"/>
      <c r="ALW161" s="679"/>
      <c r="ALX161" s="679"/>
      <c r="ALY161" s="679"/>
      <c r="ALZ161" s="679"/>
      <c r="AMA161" s="679"/>
      <c r="AMB161" s="679"/>
      <c r="AMC161" s="679"/>
      <c r="AMD161" s="679"/>
      <c r="AME161" s="679"/>
      <c r="AMF161" s="679"/>
      <c r="AMG161" s="679"/>
      <c r="AMH161" s="679"/>
      <c r="AMI161" s="679"/>
      <c r="AMJ161" s="679"/>
      <c r="AMK161" s="679"/>
      <c r="AML161" s="679"/>
      <c r="AMM161" s="679"/>
      <c r="AMN161" s="679"/>
      <c r="AMO161" s="679"/>
      <c r="AMP161" s="679"/>
      <c r="AMQ161" s="679"/>
      <c r="AMR161" s="679"/>
      <c r="AMS161" s="679"/>
      <c r="AMT161" s="679"/>
      <c r="AMU161" s="679"/>
      <c r="AMV161" s="679"/>
      <c r="AMW161" s="679"/>
      <c r="AMX161" s="679"/>
      <c r="AMY161" s="679"/>
      <c r="AMZ161" s="679"/>
      <c r="ANA161" s="679"/>
      <c r="ANB161" s="679"/>
      <c r="ANC161" s="679"/>
      <c r="AND161" s="679"/>
      <c r="ANE161" s="679"/>
      <c r="ANF161" s="679"/>
      <c r="ANG161" s="679"/>
      <c r="ANH161" s="679"/>
      <c r="ANI161" s="679"/>
      <c r="ANJ161" s="679"/>
      <c r="ANK161" s="679"/>
      <c r="ANL161" s="679"/>
      <c r="ANM161" s="679"/>
      <c r="ANN161" s="679"/>
      <c r="ANO161" s="679"/>
      <c r="ANP161" s="679"/>
      <c r="ANQ161" s="679"/>
      <c r="ANR161" s="679"/>
      <c r="ANS161" s="679"/>
      <c r="ANT161" s="679"/>
      <c r="ANU161" s="679"/>
      <c r="ANV161" s="679"/>
      <c r="ANW161" s="679"/>
      <c r="ANX161" s="679"/>
      <c r="ANY161" s="679"/>
      <c r="ANZ161" s="679"/>
      <c r="AOA161" s="679"/>
      <c r="AOB161" s="679"/>
      <c r="AOC161" s="679"/>
      <c r="AOD161" s="679"/>
      <c r="AOE161" s="679"/>
      <c r="AOF161" s="679"/>
      <c r="AOG161" s="679"/>
      <c r="AOH161" s="679"/>
      <c r="AOI161" s="679"/>
      <c r="AOJ161" s="679"/>
      <c r="AOK161" s="679"/>
      <c r="AOL161" s="679"/>
      <c r="AOM161" s="679"/>
      <c r="AON161" s="679"/>
      <c r="AOO161" s="679"/>
      <c r="AOP161" s="679"/>
      <c r="AOQ161" s="679"/>
      <c r="AOR161" s="679"/>
      <c r="AOS161" s="679"/>
      <c r="AOT161" s="679"/>
      <c r="AOU161" s="679"/>
      <c r="AOV161" s="679"/>
      <c r="AOW161" s="679"/>
      <c r="AOX161" s="679"/>
      <c r="AOY161" s="679"/>
      <c r="AOZ161" s="679"/>
      <c r="APA161" s="679"/>
      <c r="APB161" s="679"/>
      <c r="APC161" s="679"/>
      <c r="APD161" s="679"/>
      <c r="APE161" s="679"/>
      <c r="APF161" s="679"/>
      <c r="APG161" s="679"/>
      <c r="APH161" s="679"/>
      <c r="API161" s="679"/>
      <c r="APJ161" s="679"/>
      <c r="APK161" s="679"/>
      <c r="APL161" s="679"/>
      <c r="APM161" s="679"/>
      <c r="APN161" s="679"/>
      <c r="APO161" s="679"/>
      <c r="APP161" s="679"/>
      <c r="APQ161" s="679"/>
      <c r="APR161" s="679"/>
      <c r="APS161" s="679"/>
      <c r="APT161" s="679"/>
      <c r="APU161" s="679"/>
      <c r="APV161" s="679"/>
      <c r="APW161" s="679"/>
      <c r="APX161" s="679"/>
      <c r="APY161" s="679"/>
      <c r="APZ161" s="679"/>
      <c r="AQA161" s="679"/>
      <c r="AQB161" s="679"/>
      <c r="AQC161" s="679"/>
      <c r="AQD161" s="679"/>
      <c r="AQE161" s="679"/>
      <c r="AQF161" s="679"/>
      <c r="AQG161" s="679"/>
      <c r="AQH161" s="679"/>
      <c r="AQI161" s="679"/>
      <c r="AQJ161" s="679"/>
      <c r="AQK161" s="679"/>
      <c r="AQL161" s="679"/>
      <c r="AQM161" s="679"/>
      <c r="AQN161" s="679"/>
      <c r="AQO161" s="679"/>
      <c r="AQP161" s="679"/>
      <c r="AQQ161" s="679"/>
      <c r="AQR161" s="679"/>
      <c r="AQS161" s="679"/>
      <c r="AQT161" s="679"/>
      <c r="AQU161" s="679"/>
      <c r="AQV161" s="679"/>
      <c r="AQW161" s="679"/>
      <c r="AQX161" s="679"/>
      <c r="AQY161" s="679"/>
      <c r="AQZ161" s="679"/>
      <c r="ARA161" s="679"/>
      <c r="ARB161" s="679"/>
      <c r="ARC161" s="679"/>
      <c r="ARD161" s="679"/>
      <c r="ARE161" s="679"/>
      <c r="ARF161" s="679"/>
      <c r="ARG161" s="679"/>
      <c r="ARH161" s="679"/>
      <c r="ARI161" s="679"/>
      <c r="ARJ161" s="679"/>
      <c r="ARK161" s="679"/>
      <c r="ARL161" s="679"/>
      <c r="ARM161" s="679"/>
      <c r="ARN161" s="679"/>
      <c r="ARO161" s="679"/>
      <c r="ARP161" s="679"/>
      <c r="ARQ161" s="679"/>
      <c r="ARR161" s="679"/>
      <c r="ARS161" s="679"/>
      <c r="ART161" s="679"/>
      <c r="ARU161" s="679"/>
      <c r="ARV161" s="679"/>
      <c r="ARW161" s="679"/>
      <c r="ARX161" s="679"/>
      <c r="ARY161" s="679"/>
      <c r="ARZ161" s="679"/>
      <c r="ASA161" s="679"/>
      <c r="ASB161" s="679"/>
      <c r="ASC161" s="679"/>
      <c r="ASD161" s="679"/>
      <c r="ASE161" s="679"/>
      <c r="ASF161" s="679"/>
      <c r="ASG161" s="679"/>
      <c r="ASH161" s="679"/>
      <c r="ASI161" s="679"/>
      <c r="ASJ161" s="679"/>
      <c r="ASK161" s="679"/>
      <c r="ASL161" s="679"/>
      <c r="ASM161" s="679"/>
      <c r="ASN161" s="679"/>
      <c r="ASO161" s="679"/>
      <c r="ASP161" s="679"/>
      <c r="ASQ161" s="679"/>
      <c r="ASR161" s="679"/>
      <c r="ASS161" s="679"/>
      <c r="AST161" s="679"/>
      <c r="ASU161" s="679"/>
      <c r="ASV161" s="679"/>
      <c r="ASW161" s="679"/>
      <c r="ASX161" s="679"/>
      <c r="ASY161" s="679"/>
      <c r="ASZ161" s="679"/>
      <c r="ATA161" s="679"/>
      <c r="ATB161" s="679"/>
      <c r="ATC161" s="679"/>
      <c r="ATD161" s="679"/>
      <c r="ATE161" s="679"/>
      <c r="ATF161" s="679"/>
      <c r="ATG161" s="679"/>
      <c r="ATH161" s="679"/>
      <c r="ATI161" s="679"/>
      <c r="ATJ161" s="679"/>
      <c r="ATK161" s="679"/>
      <c r="ATL161" s="679"/>
      <c r="ATM161" s="679"/>
      <c r="ATN161" s="679"/>
      <c r="ATO161" s="679"/>
      <c r="ATP161" s="679"/>
      <c r="ATQ161" s="679"/>
      <c r="ATR161" s="679"/>
      <c r="ATS161" s="679"/>
      <c r="ATT161" s="679"/>
      <c r="ATU161" s="679"/>
      <c r="ATV161" s="679"/>
      <c r="ATW161" s="679"/>
      <c r="ATX161" s="679"/>
      <c r="ATY161" s="679"/>
      <c r="ATZ161" s="679"/>
      <c r="AUA161" s="679"/>
      <c r="AUB161" s="679"/>
      <c r="AUC161" s="679"/>
      <c r="AUD161" s="679"/>
      <c r="AUE161" s="679"/>
      <c r="AUF161" s="679"/>
      <c r="AUG161" s="679"/>
      <c r="AUH161" s="679"/>
      <c r="AUI161" s="679"/>
      <c r="AUJ161" s="679"/>
      <c r="AUK161" s="679"/>
      <c r="AUL161" s="679"/>
      <c r="AUM161" s="679"/>
      <c r="AUN161" s="679"/>
      <c r="AUO161" s="679"/>
      <c r="AUP161" s="679"/>
      <c r="AUQ161" s="679"/>
      <c r="AUR161" s="679"/>
      <c r="AUS161" s="679"/>
      <c r="AUT161" s="679"/>
      <c r="AUU161" s="679"/>
      <c r="AUV161" s="679"/>
      <c r="AUW161" s="679"/>
      <c r="AUX161" s="679"/>
      <c r="AUY161" s="679"/>
      <c r="AUZ161" s="679"/>
      <c r="AVA161" s="679"/>
      <c r="AVB161" s="679"/>
      <c r="AVC161" s="679"/>
      <c r="AVD161" s="679"/>
      <c r="AVE161" s="679"/>
      <c r="AVF161" s="679"/>
      <c r="AVG161" s="679"/>
      <c r="AVH161" s="679"/>
      <c r="AVI161" s="679"/>
      <c r="AVJ161" s="679"/>
      <c r="AVK161" s="679"/>
      <c r="AVL161" s="679"/>
      <c r="AVM161" s="679"/>
      <c r="AVN161" s="679"/>
      <c r="AVO161" s="679"/>
      <c r="AVP161" s="679"/>
      <c r="AVQ161" s="679"/>
      <c r="AVR161" s="679"/>
      <c r="AVS161" s="679"/>
      <c r="AVT161" s="679"/>
      <c r="AVU161" s="679"/>
      <c r="AVV161" s="679"/>
      <c r="AVW161" s="679"/>
      <c r="AVX161" s="679"/>
      <c r="AVY161" s="679"/>
      <c r="AVZ161" s="679"/>
      <c r="AWA161" s="679"/>
      <c r="AWB161" s="679"/>
      <c r="AWC161" s="679"/>
      <c r="AWD161" s="679"/>
      <c r="AWE161" s="679"/>
      <c r="AWF161" s="679"/>
      <c r="AWG161" s="679"/>
      <c r="AWH161" s="679"/>
      <c r="AWI161" s="679"/>
      <c r="AWJ161" s="679"/>
      <c r="AWK161" s="679"/>
      <c r="AWL161" s="679"/>
      <c r="AWM161" s="679"/>
      <c r="AWN161" s="679"/>
      <c r="AWO161" s="679"/>
      <c r="AWP161" s="679"/>
      <c r="AWQ161" s="679"/>
      <c r="AWR161" s="679"/>
      <c r="AWS161" s="679"/>
      <c r="AWT161" s="679"/>
      <c r="AWU161" s="679"/>
      <c r="AWV161" s="679"/>
      <c r="AWW161" s="679"/>
      <c r="AWX161" s="679"/>
      <c r="AWY161" s="679"/>
      <c r="AWZ161" s="679"/>
      <c r="AXA161" s="679"/>
      <c r="AXB161" s="679"/>
      <c r="AXC161" s="679"/>
      <c r="AXD161" s="679"/>
      <c r="AXE161" s="679"/>
      <c r="AXF161" s="679"/>
      <c r="AXG161" s="679"/>
      <c r="AXH161" s="679"/>
      <c r="AXI161" s="679"/>
      <c r="AXJ161" s="679"/>
      <c r="AXK161" s="679"/>
      <c r="AXL161" s="679"/>
      <c r="AXM161" s="679"/>
      <c r="AXN161" s="679"/>
      <c r="AXO161" s="679"/>
      <c r="AXP161" s="679"/>
      <c r="AXQ161" s="679"/>
      <c r="AXR161" s="679"/>
      <c r="AXS161" s="679"/>
      <c r="AXT161" s="679"/>
      <c r="AXU161" s="679"/>
      <c r="AXV161" s="679"/>
      <c r="AXW161" s="679"/>
      <c r="AXX161" s="679"/>
      <c r="AXY161" s="679"/>
      <c r="AXZ161" s="679"/>
      <c r="AYA161" s="679"/>
      <c r="AYB161" s="679"/>
      <c r="AYC161" s="679"/>
      <c r="AYD161" s="679"/>
      <c r="AYE161" s="679"/>
      <c r="AYF161" s="679"/>
      <c r="AYG161" s="679"/>
      <c r="AYH161" s="679"/>
      <c r="AYI161" s="679"/>
      <c r="AYJ161" s="679"/>
      <c r="AYK161" s="679"/>
      <c r="AYL161" s="679"/>
      <c r="AYM161" s="679"/>
      <c r="AYN161" s="679"/>
      <c r="AYO161" s="679"/>
      <c r="AYP161" s="679"/>
      <c r="AYQ161" s="679"/>
      <c r="AYR161" s="679"/>
      <c r="AYS161" s="679"/>
      <c r="AYT161" s="679"/>
      <c r="AYU161" s="679"/>
      <c r="AYV161" s="679"/>
      <c r="AYW161" s="679"/>
      <c r="AYX161" s="679"/>
      <c r="AYY161" s="679"/>
      <c r="AYZ161" s="679"/>
      <c r="AZA161" s="679"/>
      <c r="AZB161" s="679"/>
      <c r="AZC161" s="679"/>
      <c r="AZD161" s="679"/>
      <c r="AZE161" s="679"/>
      <c r="AZF161" s="679"/>
      <c r="AZG161" s="679"/>
      <c r="AZH161" s="679"/>
      <c r="AZI161" s="679"/>
      <c r="AZJ161" s="679"/>
      <c r="AZK161" s="679"/>
      <c r="AZL161" s="679"/>
      <c r="AZM161" s="679"/>
      <c r="AZN161" s="679"/>
      <c r="AZO161" s="679"/>
      <c r="AZP161" s="679"/>
      <c r="AZQ161" s="679"/>
      <c r="AZR161" s="679"/>
      <c r="AZS161" s="679"/>
      <c r="AZT161" s="679"/>
      <c r="AZU161" s="679"/>
      <c r="AZV161" s="679"/>
      <c r="AZW161" s="679"/>
      <c r="AZX161" s="679"/>
      <c r="AZY161" s="679"/>
      <c r="AZZ161" s="679"/>
      <c r="BAA161" s="679"/>
      <c r="BAB161" s="679"/>
      <c r="BAC161" s="679"/>
      <c r="BAD161" s="679"/>
      <c r="BAE161" s="679"/>
      <c r="BAF161" s="679"/>
      <c r="BAG161" s="679"/>
      <c r="BAH161" s="679"/>
      <c r="BAI161" s="679"/>
      <c r="BAJ161" s="679"/>
      <c r="BAK161" s="679"/>
      <c r="BAL161" s="679"/>
      <c r="BAM161" s="679"/>
      <c r="BAN161" s="679"/>
      <c r="BAO161" s="679"/>
      <c r="BAP161" s="679"/>
      <c r="BAQ161" s="679"/>
      <c r="BAR161" s="679"/>
      <c r="BAS161" s="679"/>
      <c r="BAT161" s="679"/>
      <c r="BAU161" s="679"/>
      <c r="BAV161" s="679"/>
      <c r="BAW161" s="679"/>
      <c r="BAX161" s="679"/>
      <c r="BAY161" s="679"/>
      <c r="BAZ161" s="679"/>
      <c r="BBA161" s="679"/>
      <c r="BBB161" s="679"/>
      <c r="BBC161" s="679"/>
      <c r="BBD161" s="679"/>
      <c r="BBE161" s="679"/>
      <c r="BBF161" s="679"/>
      <c r="BBG161" s="679"/>
      <c r="BBH161" s="679"/>
      <c r="BBI161" s="679"/>
      <c r="BBJ161" s="679"/>
      <c r="BBK161" s="679"/>
      <c r="BBL161" s="679"/>
      <c r="BBM161" s="679"/>
      <c r="BBN161" s="679"/>
      <c r="BBO161" s="679"/>
      <c r="BBP161" s="679"/>
      <c r="BBQ161" s="679"/>
      <c r="BBR161" s="679"/>
      <c r="BBS161" s="679"/>
      <c r="BBT161" s="679"/>
      <c r="BBU161" s="679"/>
      <c r="BBV161" s="679"/>
      <c r="BBW161" s="679"/>
      <c r="BBX161" s="679"/>
      <c r="BBY161" s="679"/>
      <c r="BBZ161" s="679"/>
      <c r="BCA161" s="679"/>
      <c r="BCB161" s="679"/>
      <c r="BCC161" s="679"/>
      <c r="BCD161" s="679"/>
      <c r="BCE161" s="679"/>
      <c r="BCF161" s="679"/>
      <c r="BCG161" s="679"/>
      <c r="BCH161" s="679"/>
      <c r="BCI161" s="679"/>
      <c r="BCJ161" s="679"/>
      <c r="BCK161" s="679"/>
      <c r="BCL161" s="679"/>
      <c r="BCM161" s="679"/>
      <c r="BCN161" s="679"/>
      <c r="BCO161" s="679"/>
      <c r="BCP161" s="679"/>
      <c r="BCQ161" s="679"/>
      <c r="BCR161" s="679"/>
      <c r="BCS161" s="679"/>
      <c r="BCT161" s="679"/>
      <c r="BCU161" s="679"/>
      <c r="BCV161" s="679"/>
      <c r="BCW161" s="679"/>
      <c r="BCX161" s="679"/>
      <c r="BCY161" s="679"/>
      <c r="BCZ161" s="679"/>
      <c r="BDA161" s="679"/>
      <c r="BDB161" s="679"/>
      <c r="BDC161" s="679"/>
      <c r="BDD161" s="679"/>
      <c r="BDE161" s="679"/>
      <c r="BDF161" s="679"/>
      <c r="BDG161" s="679"/>
      <c r="BDH161" s="679"/>
      <c r="BDI161" s="679"/>
      <c r="BDJ161" s="679"/>
      <c r="BDK161" s="679"/>
      <c r="BDL161" s="679"/>
      <c r="BDM161" s="679"/>
      <c r="BDN161" s="679"/>
      <c r="BDO161" s="679"/>
      <c r="BDP161" s="679"/>
      <c r="BDQ161" s="679"/>
      <c r="BDR161" s="679"/>
      <c r="BDS161" s="679"/>
      <c r="BDT161" s="679"/>
      <c r="BDU161" s="679"/>
      <c r="BDV161" s="679"/>
      <c r="BDW161" s="679"/>
      <c r="BDX161" s="679"/>
      <c r="BDY161" s="679"/>
      <c r="BDZ161" s="679"/>
      <c r="BEA161" s="679"/>
      <c r="BEB161" s="679"/>
      <c r="BEC161" s="679"/>
      <c r="BED161" s="679"/>
      <c r="BEE161" s="679"/>
      <c r="BEF161" s="679"/>
      <c r="BEG161" s="679"/>
      <c r="BEH161" s="679"/>
      <c r="BEI161" s="679"/>
      <c r="BEJ161" s="679"/>
      <c r="BEK161" s="679"/>
      <c r="BEL161" s="679"/>
      <c r="BEM161" s="679"/>
      <c r="BEN161" s="679"/>
      <c r="BEO161" s="679"/>
      <c r="BEP161" s="679"/>
      <c r="BEQ161" s="679"/>
      <c r="BER161" s="679"/>
      <c r="BES161" s="679"/>
      <c r="BET161" s="679"/>
      <c r="BEU161" s="679"/>
      <c r="BEV161" s="679"/>
      <c r="BEW161" s="679"/>
      <c r="BEX161" s="679"/>
      <c r="BEY161" s="679"/>
      <c r="BEZ161" s="679"/>
      <c r="BFA161" s="679"/>
      <c r="BFB161" s="679"/>
      <c r="BFC161" s="679"/>
      <c r="BFD161" s="679"/>
      <c r="BFE161" s="679"/>
      <c r="BFF161" s="679"/>
      <c r="BFG161" s="679"/>
      <c r="BFH161" s="679"/>
      <c r="BFI161" s="679"/>
      <c r="BFJ161" s="679"/>
      <c r="BFK161" s="679"/>
      <c r="BFL161" s="679"/>
      <c r="BFM161" s="679"/>
      <c r="BFN161" s="679"/>
      <c r="BFO161" s="679"/>
      <c r="BFP161" s="679"/>
      <c r="BFQ161" s="679"/>
      <c r="BFR161" s="679"/>
      <c r="BFS161" s="679"/>
      <c r="BFT161" s="679"/>
      <c r="BFU161" s="679"/>
      <c r="BFV161" s="679"/>
      <c r="BFW161" s="679"/>
      <c r="BFX161" s="679"/>
      <c r="BFY161" s="679"/>
      <c r="BFZ161" s="679"/>
      <c r="BGA161" s="679"/>
      <c r="BGB161" s="679"/>
      <c r="BGC161" s="679"/>
      <c r="BGD161" s="679"/>
      <c r="BGE161" s="679"/>
      <c r="BGF161" s="679"/>
      <c r="BGG161" s="679"/>
      <c r="BGH161" s="679"/>
      <c r="BGI161" s="679"/>
      <c r="BGJ161" s="679"/>
      <c r="BGK161" s="679"/>
      <c r="BGL161" s="679"/>
      <c r="BGM161" s="679"/>
      <c r="BGN161" s="679"/>
      <c r="BGO161" s="679"/>
      <c r="BGP161" s="679"/>
      <c r="BGQ161" s="679"/>
      <c r="BGR161" s="679"/>
      <c r="BGS161" s="679"/>
      <c r="BGT161" s="679"/>
      <c r="BGU161" s="679"/>
      <c r="BGV161" s="679"/>
      <c r="BGW161" s="679"/>
      <c r="BGX161" s="679"/>
      <c r="BGY161" s="679"/>
      <c r="BGZ161" s="679"/>
      <c r="BHA161" s="679"/>
      <c r="BHB161" s="679"/>
      <c r="BHC161" s="679"/>
      <c r="BHD161" s="679"/>
      <c r="BHE161" s="679"/>
      <c r="BHF161" s="679"/>
      <c r="BHG161" s="679"/>
      <c r="BHH161" s="679"/>
      <c r="BHI161" s="679"/>
      <c r="BHJ161" s="679"/>
      <c r="BHK161" s="679"/>
      <c r="BHL161" s="679"/>
      <c r="BHM161" s="679"/>
      <c r="BHN161" s="679"/>
      <c r="BHO161" s="679"/>
      <c r="BHP161" s="679"/>
      <c r="BHQ161" s="679"/>
      <c r="BHR161" s="679"/>
      <c r="BHS161" s="679"/>
      <c r="BHT161" s="679"/>
      <c r="BHU161" s="679"/>
      <c r="BHV161" s="679"/>
      <c r="BHW161" s="679"/>
      <c r="BHX161" s="679"/>
      <c r="BHY161" s="679"/>
      <c r="BHZ161" s="679"/>
      <c r="BIA161" s="679"/>
      <c r="BIB161" s="679"/>
      <c r="BIC161" s="679"/>
      <c r="BID161" s="679"/>
      <c r="BIE161" s="679"/>
      <c r="BIF161" s="679"/>
      <c r="BIG161" s="679"/>
      <c r="BIH161" s="679"/>
      <c r="BII161" s="679"/>
      <c r="BIJ161" s="679"/>
      <c r="BIK161" s="679"/>
      <c r="BIL161" s="679"/>
      <c r="BIM161" s="679"/>
      <c r="BIN161" s="679"/>
      <c r="BIO161" s="679"/>
      <c r="BIP161" s="679"/>
      <c r="BIQ161" s="679"/>
      <c r="BIR161" s="679"/>
      <c r="BIS161" s="679"/>
      <c r="BIT161" s="679"/>
      <c r="BIU161" s="679"/>
      <c r="BIV161" s="679"/>
      <c r="BIW161" s="679"/>
      <c r="BIX161" s="679"/>
      <c r="BIY161" s="679"/>
      <c r="BIZ161" s="679"/>
      <c r="BJA161" s="679"/>
      <c r="BJB161" s="679"/>
      <c r="BJC161" s="679"/>
      <c r="BJD161" s="679"/>
      <c r="BJE161" s="679"/>
      <c r="BJF161" s="679"/>
      <c r="BJG161" s="679"/>
      <c r="BJH161" s="679"/>
      <c r="BJI161" s="679"/>
      <c r="BJJ161" s="679"/>
      <c r="BJK161" s="679"/>
      <c r="BJL161" s="679"/>
      <c r="BJM161" s="679"/>
      <c r="BJN161" s="679"/>
      <c r="BJO161" s="679"/>
      <c r="BJP161" s="679"/>
      <c r="BJQ161" s="679"/>
      <c r="BJR161" s="679"/>
      <c r="BJS161" s="679"/>
      <c r="BJT161" s="679"/>
      <c r="BJU161" s="679"/>
      <c r="BJV161" s="679"/>
      <c r="BJW161" s="679"/>
      <c r="BJX161" s="679"/>
      <c r="BJY161" s="679"/>
      <c r="BJZ161" s="679"/>
      <c r="BKA161" s="679"/>
      <c r="BKB161" s="679"/>
      <c r="BKC161" s="679"/>
      <c r="BKD161" s="679"/>
      <c r="BKE161" s="679"/>
      <c r="BKF161" s="679"/>
      <c r="BKG161" s="679"/>
      <c r="BKH161" s="679"/>
      <c r="BKI161" s="679"/>
      <c r="BKJ161" s="679"/>
      <c r="BKK161" s="679"/>
      <c r="BKL161" s="679"/>
      <c r="BKM161" s="679"/>
      <c r="BKN161" s="679"/>
      <c r="BKO161" s="679"/>
      <c r="BKP161" s="679"/>
      <c r="BKQ161" s="679"/>
      <c r="BKR161" s="679"/>
      <c r="BKS161" s="679"/>
      <c r="BKT161" s="679"/>
      <c r="BKU161" s="679"/>
      <c r="BKV161" s="679"/>
      <c r="BKW161" s="679"/>
      <c r="BKX161" s="679"/>
      <c r="BKY161" s="679"/>
      <c r="BKZ161" s="679"/>
      <c r="BLA161" s="679"/>
      <c r="BLB161" s="679"/>
      <c r="BLC161" s="679"/>
      <c r="BLD161" s="679"/>
      <c r="BLE161" s="679"/>
      <c r="BLF161" s="679"/>
      <c r="BLG161" s="679"/>
      <c r="BLH161" s="679"/>
      <c r="BLI161" s="679"/>
      <c r="BLJ161" s="679"/>
      <c r="BLK161" s="679"/>
      <c r="BLL161" s="679"/>
      <c r="BLM161" s="679"/>
      <c r="BLN161" s="679"/>
      <c r="BLO161" s="679"/>
      <c r="BLP161" s="679"/>
      <c r="BLQ161" s="679"/>
      <c r="BLR161" s="679"/>
      <c r="BLS161" s="679"/>
      <c r="BLT161" s="679"/>
      <c r="BLU161" s="679"/>
      <c r="BLV161" s="679"/>
      <c r="BLW161" s="679"/>
      <c r="BLX161" s="679"/>
      <c r="BLY161" s="679"/>
      <c r="BLZ161" s="679"/>
      <c r="BMA161" s="679"/>
      <c r="BMB161" s="679"/>
      <c r="BMC161" s="679"/>
      <c r="BMD161" s="679"/>
      <c r="BME161" s="679"/>
      <c r="BMF161" s="679"/>
      <c r="BMG161" s="679"/>
      <c r="BMH161" s="679"/>
      <c r="BMI161" s="679"/>
      <c r="BMJ161" s="679"/>
      <c r="BMK161" s="679"/>
      <c r="BML161" s="679"/>
      <c r="BMM161" s="679"/>
      <c r="BMN161" s="679"/>
      <c r="BMO161" s="679"/>
      <c r="BMP161" s="679"/>
      <c r="BMQ161" s="679"/>
      <c r="BMR161" s="679"/>
      <c r="BMS161" s="679"/>
      <c r="BMT161" s="679"/>
      <c r="BMU161" s="679"/>
      <c r="BMV161" s="679"/>
      <c r="BMW161" s="679"/>
      <c r="BMX161" s="679"/>
      <c r="BMY161" s="679"/>
      <c r="BMZ161" s="679"/>
      <c r="BNA161" s="679"/>
      <c r="BNB161" s="679"/>
      <c r="BNC161" s="679"/>
      <c r="BND161" s="679"/>
      <c r="BNE161" s="679"/>
      <c r="BNF161" s="679"/>
      <c r="BNG161" s="679"/>
      <c r="BNH161" s="679"/>
      <c r="BNI161" s="679"/>
      <c r="BNJ161" s="679"/>
      <c r="BNK161" s="679"/>
      <c r="BNL161" s="679"/>
      <c r="BNM161" s="679"/>
      <c r="BNN161" s="679"/>
      <c r="BNO161" s="679"/>
      <c r="BNP161" s="679"/>
      <c r="BNQ161" s="679"/>
      <c r="BNR161" s="679"/>
      <c r="BNS161" s="679"/>
      <c r="BNT161" s="679"/>
      <c r="BNU161" s="679"/>
      <c r="BNV161" s="679"/>
      <c r="BNW161" s="679"/>
      <c r="BNX161" s="679"/>
      <c r="BNY161" s="679"/>
      <c r="BNZ161" s="679"/>
      <c r="BOA161" s="679"/>
      <c r="BOB161" s="679"/>
      <c r="BOC161" s="679"/>
      <c r="BOD161" s="679"/>
      <c r="BOE161" s="679"/>
      <c r="BOF161" s="679"/>
      <c r="BOG161" s="679"/>
      <c r="BOH161" s="679"/>
      <c r="BOI161" s="679"/>
      <c r="BOJ161" s="679"/>
      <c r="BOK161" s="679"/>
      <c r="BOL161" s="679"/>
      <c r="BOM161" s="679"/>
      <c r="BON161" s="679"/>
      <c r="BOO161" s="679"/>
      <c r="BOP161" s="679"/>
      <c r="BOQ161" s="679"/>
      <c r="BOR161" s="679"/>
      <c r="BOS161" s="679"/>
      <c r="BOT161" s="679"/>
      <c r="BOU161" s="679"/>
      <c r="BOV161" s="679"/>
      <c r="BOW161" s="679"/>
      <c r="BOX161" s="679"/>
      <c r="BOY161" s="679"/>
      <c r="BOZ161" s="679"/>
      <c r="BPA161" s="679"/>
      <c r="BPB161" s="679"/>
      <c r="BPC161" s="679"/>
      <c r="BPD161" s="679"/>
      <c r="BPE161" s="679"/>
      <c r="BPF161" s="679"/>
      <c r="BPG161" s="679"/>
      <c r="BPH161" s="679"/>
      <c r="BPI161" s="679"/>
      <c r="BPJ161" s="679"/>
      <c r="BPK161" s="679"/>
      <c r="BPL161" s="679"/>
      <c r="BPM161" s="679"/>
      <c r="BPN161" s="679"/>
      <c r="BPO161" s="679"/>
      <c r="BPP161" s="679"/>
      <c r="BPQ161" s="679"/>
      <c r="BPR161" s="679"/>
      <c r="BPS161" s="679"/>
      <c r="BPT161" s="679"/>
      <c r="BPU161" s="679"/>
      <c r="BPV161" s="679"/>
      <c r="BPW161" s="679"/>
      <c r="BPX161" s="679"/>
      <c r="BPY161" s="679"/>
      <c r="BPZ161" s="679"/>
      <c r="BQA161" s="679"/>
      <c r="BQB161" s="679"/>
      <c r="BQC161" s="679"/>
      <c r="BQD161" s="679"/>
      <c r="BQE161" s="679"/>
      <c r="BQF161" s="679"/>
      <c r="BQG161" s="679"/>
      <c r="BQH161" s="679"/>
      <c r="BQI161" s="679"/>
      <c r="BQJ161" s="679"/>
      <c r="BQK161" s="679"/>
      <c r="BQL161" s="679"/>
      <c r="BQM161" s="679"/>
      <c r="BQN161" s="679"/>
      <c r="BQO161" s="679"/>
      <c r="BQP161" s="679"/>
      <c r="BQQ161" s="679"/>
      <c r="BQR161" s="679"/>
      <c r="BQS161" s="679"/>
      <c r="BQT161" s="679"/>
      <c r="BQU161" s="679"/>
      <c r="BQV161" s="679"/>
      <c r="BQW161" s="679"/>
      <c r="BQX161" s="679"/>
      <c r="BQY161" s="679"/>
      <c r="BQZ161" s="679"/>
      <c r="BRA161" s="679"/>
      <c r="BRB161" s="679"/>
      <c r="BRC161" s="679"/>
      <c r="BRD161" s="679"/>
      <c r="BRE161" s="679"/>
      <c r="BRF161" s="679"/>
      <c r="BRG161" s="679"/>
      <c r="BRH161" s="679"/>
      <c r="BRI161" s="679"/>
      <c r="BRJ161" s="679"/>
      <c r="BRK161" s="679"/>
      <c r="BRL161" s="679"/>
      <c r="BRM161" s="679"/>
      <c r="BRN161" s="679"/>
      <c r="BRO161" s="679"/>
      <c r="BRP161" s="679"/>
      <c r="BRQ161" s="679"/>
      <c r="BRR161" s="679"/>
      <c r="BRS161" s="679"/>
      <c r="BRT161" s="679"/>
      <c r="BRU161" s="679"/>
      <c r="BRV161" s="679"/>
      <c r="BRW161" s="679"/>
      <c r="BRX161" s="679"/>
      <c r="BRY161" s="679"/>
      <c r="BRZ161" s="679"/>
      <c r="BSA161" s="679"/>
      <c r="BSB161" s="679"/>
      <c r="BSC161" s="679"/>
      <c r="BSD161" s="679"/>
      <c r="BSE161" s="679"/>
      <c r="BSF161" s="679"/>
      <c r="BSG161" s="679"/>
      <c r="BSH161" s="679"/>
      <c r="BSI161" s="679"/>
      <c r="BSJ161" s="679"/>
      <c r="BSK161" s="679"/>
      <c r="BSL161" s="679"/>
      <c r="BSM161" s="679"/>
      <c r="BSN161" s="679"/>
      <c r="BSO161" s="679"/>
      <c r="BSP161" s="679"/>
      <c r="BSQ161" s="679"/>
      <c r="BSR161" s="679"/>
      <c r="BSS161" s="679"/>
      <c r="BST161" s="679"/>
      <c r="BSU161" s="679"/>
      <c r="BSV161" s="679"/>
      <c r="BSW161" s="679"/>
      <c r="BSX161" s="679"/>
      <c r="BSY161" s="679"/>
      <c r="BSZ161" s="679"/>
      <c r="BTA161" s="679"/>
      <c r="BTB161" s="679"/>
      <c r="BTC161" s="679"/>
      <c r="BTD161" s="679"/>
      <c r="BTE161" s="679"/>
      <c r="BTF161" s="679"/>
      <c r="BTG161" s="679"/>
      <c r="BTH161" s="679"/>
      <c r="BTI161" s="679"/>
      <c r="BTJ161" s="679"/>
      <c r="BTK161" s="679"/>
      <c r="BTL161" s="679"/>
      <c r="BTM161" s="679"/>
      <c r="BTN161" s="679"/>
      <c r="BTO161" s="679"/>
      <c r="BTP161" s="679"/>
      <c r="BTQ161" s="679"/>
      <c r="BTR161" s="679"/>
      <c r="BTS161" s="679"/>
      <c r="BTT161" s="679"/>
      <c r="BTU161" s="679"/>
      <c r="BTV161" s="679"/>
      <c r="BTW161" s="679"/>
      <c r="BTX161" s="679"/>
      <c r="BTY161" s="679"/>
      <c r="BTZ161" s="679"/>
      <c r="BUA161" s="679"/>
      <c r="BUB161" s="679"/>
      <c r="BUC161" s="679"/>
      <c r="BUD161" s="679"/>
      <c r="BUE161" s="679"/>
      <c r="BUF161" s="679"/>
      <c r="BUG161" s="679"/>
      <c r="BUH161" s="679"/>
      <c r="BUI161" s="679"/>
      <c r="BUJ161" s="679"/>
      <c r="BUK161" s="679"/>
      <c r="BUL161" s="679"/>
      <c r="BUM161" s="679"/>
      <c r="BUN161" s="679"/>
      <c r="BUO161" s="679"/>
      <c r="BUP161" s="679"/>
      <c r="BUQ161" s="679"/>
      <c r="BUR161" s="679"/>
      <c r="BUS161" s="679"/>
      <c r="BUT161" s="679"/>
      <c r="BUU161" s="679"/>
      <c r="BUV161" s="679"/>
      <c r="BUW161" s="679"/>
      <c r="BUX161" s="679"/>
      <c r="BUY161" s="679"/>
      <c r="BUZ161" s="679"/>
      <c r="BVA161" s="679"/>
      <c r="BVB161" s="679"/>
      <c r="BVC161" s="679"/>
      <c r="BVD161" s="679"/>
      <c r="BVE161" s="679"/>
      <c r="BVF161" s="679"/>
      <c r="BVG161" s="679"/>
      <c r="BVH161" s="679"/>
      <c r="BVI161" s="679"/>
      <c r="BVJ161" s="679"/>
      <c r="BVK161" s="679"/>
      <c r="BVL161" s="679"/>
      <c r="BVM161" s="679"/>
      <c r="BVN161" s="679"/>
      <c r="BVO161" s="679"/>
      <c r="BVP161" s="679"/>
      <c r="BVQ161" s="679"/>
      <c r="BVR161" s="679"/>
      <c r="BVS161" s="679"/>
      <c r="BVT161" s="679"/>
      <c r="BVU161" s="679"/>
      <c r="BVV161" s="679"/>
      <c r="BVW161" s="679"/>
      <c r="BVX161" s="679"/>
      <c r="BVY161" s="679"/>
      <c r="BVZ161" s="679"/>
      <c r="BWA161" s="679"/>
      <c r="BWB161" s="679"/>
      <c r="BWC161" s="679"/>
      <c r="BWD161" s="679"/>
      <c r="BWE161" s="679"/>
      <c r="BWF161" s="679"/>
      <c r="BWG161" s="679"/>
      <c r="BWH161" s="679"/>
      <c r="BWI161" s="679"/>
      <c r="BWJ161" s="679"/>
      <c r="BWK161" s="679"/>
      <c r="BWL161" s="679"/>
      <c r="BWM161" s="679"/>
      <c r="BWN161" s="679"/>
      <c r="BWO161" s="679"/>
      <c r="BWP161" s="679"/>
      <c r="BWQ161" s="679"/>
      <c r="BWR161" s="679"/>
      <c r="BWS161" s="679"/>
      <c r="BWT161" s="679"/>
      <c r="BWU161" s="679"/>
      <c r="BWV161" s="679"/>
      <c r="BWW161" s="679"/>
      <c r="BWX161" s="679"/>
      <c r="BWY161" s="679"/>
      <c r="BWZ161" s="679"/>
      <c r="BXA161" s="679"/>
      <c r="BXB161" s="679"/>
      <c r="BXC161" s="679"/>
      <c r="BXD161" s="679"/>
      <c r="BXE161" s="679"/>
      <c r="BXF161" s="679"/>
      <c r="BXG161" s="679"/>
      <c r="BXH161" s="679"/>
      <c r="BXI161" s="679"/>
      <c r="BXJ161" s="679"/>
      <c r="BXK161" s="679"/>
      <c r="BXL161" s="679"/>
      <c r="BXM161" s="679"/>
      <c r="BXN161" s="679"/>
      <c r="BXO161" s="679"/>
      <c r="BXP161" s="679"/>
      <c r="BXQ161" s="679"/>
      <c r="BXR161" s="679"/>
      <c r="BXS161" s="679"/>
      <c r="BXT161" s="679"/>
      <c r="BXU161" s="679"/>
      <c r="BXV161" s="679"/>
      <c r="BXW161" s="679"/>
      <c r="BXX161" s="679"/>
      <c r="BXY161" s="679"/>
      <c r="BXZ161" s="679"/>
      <c r="BYA161" s="679"/>
      <c r="BYB161" s="679"/>
      <c r="BYC161" s="679"/>
      <c r="BYD161" s="679"/>
      <c r="BYE161" s="679"/>
      <c r="BYF161" s="679"/>
      <c r="BYG161" s="679"/>
      <c r="BYH161" s="679"/>
      <c r="BYI161" s="679"/>
      <c r="BYJ161" s="679"/>
      <c r="BYK161" s="679"/>
      <c r="BYL161" s="679"/>
      <c r="BYM161" s="679"/>
      <c r="BYN161" s="679"/>
      <c r="BYO161" s="679"/>
      <c r="BYP161" s="679"/>
      <c r="BYQ161" s="679"/>
      <c r="BYR161" s="679"/>
      <c r="BYS161" s="679"/>
      <c r="BYT161" s="679"/>
      <c r="BYU161" s="679"/>
      <c r="BYV161" s="679"/>
      <c r="BYW161" s="679"/>
      <c r="BYX161" s="679"/>
      <c r="BYY161" s="679"/>
      <c r="BYZ161" s="679"/>
      <c r="BZA161" s="679"/>
      <c r="BZB161" s="679"/>
      <c r="BZC161" s="679"/>
      <c r="BZD161" s="679"/>
      <c r="BZE161" s="679"/>
      <c r="BZF161" s="679"/>
      <c r="BZG161" s="679"/>
      <c r="BZH161" s="679"/>
      <c r="BZI161" s="679"/>
      <c r="BZJ161" s="679"/>
      <c r="BZK161" s="679"/>
      <c r="BZL161" s="679"/>
      <c r="BZM161" s="679"/>
      <c r="BZN161" s="679"/>
      <c r="BZO161" s="679"/>
      <c r="BZP161" s="679"/>
      <c r="BZQ161" s="679"/>
      <c r="BZR161" s="679"/>
      <c r="BZS161" s="679"/>
      <c r="BZT161" s="679"/>
      <c r="BZU161" s="679"/>
      <c r="BZV161" s="679"/>
      <c r="BZW161" s="679"/>
      <c r="BZX161" s="679"/>
      <c r="BZY161" s="679"/>
      <c r="BZZ161" s="679"/>
      <c r="CAA161" s="679"/>
      <c r="CAB161" s="679"/>
      <c r="CAC161" s="679"/>
      <c r="CAD161" s="679"/>
      <c r="CAE161" s="679"/>
      <c r="CAF161" s="679"/>
      <c r="CAG161" s="679"/>
      <c r="CAH161" s="679"/>
      <c r="CAI161" s="679"/>
      <c r="CAJ161" s="679"/>
      <c r="CAK161" s="679"/>
      <c r="CAL161" s="679"/>
      <c r="CAM161" s="679"/>
      <c r="CAN161" s="679"/>
      <c r="CAO161" s="679"/>
      <c r="CAP161" s="679"/>
      <c r="CAQ161" s="679"/>
      <c r="CAR161" s="679"/>
      <c r="CAS161" s="679"/>
      <c r="CAT161" s="679"/>
      <c r="CAU161" s="679"/>
      <c r="CAV161" s="679"/>
      <c r="CAW161" s="679"/>
      <c r="CAX161" s="679"/>
      <c r="CAY161" s="679"/>
      <c r="CAZ161" s="679"/>
      <c r="CBA161" s="679"/>
      <c r="CBB161" s="679"/>
      <c r="CBC161" s="679"/>
      <c r="CBD161" s="679"/>
      <c r="CBE161" s="679"/>
      <c r="CBF161" s="679"/>
      <c r="CBG161" s="679"/>
      <c r="CBH161" s="679"/>
      <c r="CBI161" s="679"/>
      <c r="CBJ161" s="679"/>
      <c r="CBK161" s="679"/>
      <c r="CBL161" s="679"/>
      <c r="CBM161" s="679"/>
      <c r="CBN161" s="679"/>
      <c r="CBO161" s="679"/>
      <c r="CBP161" s="679"/>
      <c r="CBQ161" s="679"/>
      <c r="CBR161" s="679"/>
      <c r="CBS161" s="679"/>
      <c r="CBT161" s="679"/>
      <c r="CBU161" s="679"/>
      <c r="CBV161" s="679"/>
      <c r="CBW161" s="679"/>
      <c r="CBX161" s="679"/>
      <c r="CBY161" s="679"/>
      <c r="CBZ161" s="679"/>
      <c r="CCA161" s="679"/>
      <c r="CCB161" s="679"/>
      <c r="CCC161" s="679"/>
      <c r="CCD161" s="679"/>
      <c r="CCE161" s="679"/>
      <c r="CCF161" s="679"/>
      <c r="CCG161" s="679"/>
      <c r="CCH161" s="679"/>
      <c r="CCI161" s="679"/>
      <c r="CCJ161" s="679"/>
      <c r="CCK161" s="679"/>
      <c r="CCL161" s="679"/>
      <c r="CCM161" s="679"/>
      <c r="CCN161" s="679"/>
      <c r="CCO161" s="679"/>
      <c r="CCP161" s="679"/>
      <c r="CCQ161" s="679"/>
      <c r="CCR161" s="679"/>
      <c r="CCS161" s="679"/>
      <c r="CCT161" s="679"/>
      <c r="CCU161" s="679"/>
      <c r="CCV161" s="679"/>
      <c r="CCW161" s="679"/>
      <c r="CCX161" s="679"/>
      <c r="CCY161" s="679"/>
      <c r="CCZ161" s="679"/>
      <c r="CDA161" s="679"/>
      <c r="CDB161" s="679"/>
      <c r="CDC161" s="679"/>
      <c r="CDD161" s="679"/>
      <c r="CDE161" s="679"/>
      <c r="CDF161" s="679"/>
      <c r="CDG161" s="679"/>
      <c r="CDH161" s="679"/>
      <c r="CDI161" s="679"/>
      <c r="CDJ161" s="679"/>
      <c r="CDK161" s="679"/>
      <c r="CDL161" s="679"/>
      <c r="CDM161" s="679"/>
      <c r="CDN161" s="679"/>
      <c r="CDO161" s="679"/>
      <c r="CDP161" s="679"/>
      <c r="CDQ161" s="679"/>
      <c r="CDR161" s="679"/>
      <c r="CDS161" s="679"/>
      <c r="CDT161" s="679"/>
      <c r="CDU161" s="679"/>
      <c r="CDV161" s="679"/>
      <c r="CDW161" s="679"/>
      <c r="CDX161" s="679"/>
      <c r="CDY161" s="679"/>
      <c r="CDZ161" s="679"/>
      <c r="CEA161" s="679"/>
      <c r="CEB161" s="679"/>
      <c r="CEC161" s="679"/>
      <c r="CED161" s="679"/>
      <c r="CEE161" s="679"/>
      <c r="CEF161" s="679"/>
      <c r="CEG161" s="679"/>
      <c r="CEH161" s="679"/>
      <c r="CEI161" s="679"/>
      <c r="CEJ161" s="679"/>
      <c r="CEK161" s="679"/>
      <c r="CEL161" s="679"/>
      <c r="CEM161" s="679"/>
      <c r="CEN161" s="679"/>
      <c r="CEO161" s="679"/>
      <c r="CEP161" s="679"/>
      <c r="CEQ161" s="679"/>
      <c r="CER161" s="679"/>
      <c r="CES161" s="679"/>
      <c r="CET161" s="679"/>
      <c r="CEU161" s="679"/>
      <c r="CEV161" s="679"/>
      <c r="CEW161" s="679"/>
      <c r="CEX161" s="679"/>
      <c r="CEY161" s="679"/>
      <c r="CEZ161" s="679"/>
      <c r="CFA161" s="679"/>
      <c r="CFB161" s="679"/>
      <c r="CFC161" s="679"/>
      <c r="CFD161" s="679"/>
      <c r="CFE161" s="679"/>
      <c r="CFF161" s="679"/>
      <c r="CFG161" s="679"/>
      <c r="CFH161" s="679"/>
      <c r="CFI161" s="679"/>
      <c r="CFJ161" s="679"/>
      <c r="CFK161" s="679"/>
      <c r="CFL161" s="679"/>
      <c r="CFM161" s="679"/>
      <c r="CFN161" s="679"/>
      <c r="CFO161" s="679"/>
      <c r="CFP161" s="679"/>
      <c r="CFQ161" s="679"/>
      <c r="CFR161" s="679"/>
      <c r="CFS161" s="679"/>
      <c r="CFT161" s="679"/>
      <c r="CFU161" s="679"/>
      <c r="CFV161" s="679"/>
      <c r="CFW161" s="679"/>
      <c r="CFX161" s="679"/>
      <c r="CFY161" s="679"/>
      <c r="CFZ161" s="679"/>
      <c r="CGA161" s="679"/>
      <c r="CGB161" s="679"/>
      <c r="CGC161" s="679"/>
      <c r="CGD161" s="679"/>
      <c r="CGE161" s="679"/>
      <c r="CGF161" s="679"/>
      <c r="CGG161" s="679"/>
      <c r="CGH161" s="679"/>
      <c r="CGI161" s="679"/>
      <c r="CGJ161" s="679"/>
      <c r="CGK161" s="679"/>
      <c r="CGL161" s="679"/>
      <c r="CGM161" s="679"/>
      <c r="CGN161" s="679"/>
      <c r="CGO161" s="679"/>
      <c r="CGP161" s="679"/>
      <c r="CGQ161" s="679"/>
      <c r="CGR161" s="679"/>
      <c r="CGS161" s="679"/>
      <c r="CGT161" s="679"/>
      <c r="CGU161" s="679"/>
      <c r="CGV161" s="679"/>
      <c r="CGW161" s="679"/>
      <c r="CGX161" s="679"/>
      <c r="CGY161" s="679"/>
      <c r="CGZ161" s="679"/>
      <c r="CHA161" s="679"/>
      <c r="CHB161" s="679"/>
      <c r="CHC161" s="679"/>
      <c r="CHD161" s="679"/>
      <c r="CHE161" s="679"/>
      <c r="CHF161" s="679"/>
      <c r="CHG161" s="679"/>
      <c r="CHH161" s="679"/>
      <c r="CHI161" s="679"/>
      <c r="CHJ161" s="679"/>
      <c r="CHK161" s="679"/>
      <c r="CHL161" s="679"/>
      <c r="CHM161" s="679"/>
      <c r="CHN161" s="679"/>
      <c r="CHO161" s="679"/>
      <c r="CHP161" s="679"/>
      <c r="CHQ161" s="679"/>
      <c r="CHR161" s="679"/>
      <c r="CHS161" s="679"/>
      <c r="CHT161" s="679"/>
      <c r="CHU161" s="679"/>
      <c r="CHV161" s="679"/>
      <c r="CHW161" s="679"/>
      <c r="CHX161" s="679"/>
      <c r="CHY161" s="679"/>
      <c r="CHZ161" s="679"/>
      <c r="CIA161" s="679"/>
      <c r="CIB161" s="679"/>
      <c r="CIC161" s="679"/>
      <c r="CID161" s="679"/>
      <c r="CIE161" s="679"/>
      <c r="CIF161" s="679"/>
      <c r="CIG161" s="679"/>
      <c r="CIH161" s="679"/>
      <c r="CII161" s="679"/>
      <c r="CIJ161" s="679"/>
      <c r="CIK161" s="679"/>
      <c r="CIL161" s="679"/>
      <c r="CIM161" s="679"/>
      <c r="CIN161" s="679"/>
      <c r="CIO161" s="679"/>
      <c r="CIP161" s="679"/>
      <c r="CIQ161" s="679"/>
      <c r="CIR161" s="679"/>
      <c r="CIS161" s="679"/>
      <c r="CIT161" s="679"/>
      <c r="CIU161" s="679"/>
      <c r="CIV161" s="679"/>
      <c r="CIW161" s="679"/>
      <c r="CIX161" s="679"/>
      <c r="CIY161" s="679"/>
      <c r="CIZ161" s="679"/>
      <c r="CJA161" s="679"/>
      <c r="CJB161" s="679"/>
      <c r="CJC161" s="679"/>
      <c r="CJD161" s="679"/>
      <c r="CJE161" s="679"/>
      <c r="CJF161" s="679"/>
      <c r="CJG161" s="679"/>
      <c r="CJH161" s="679"/>
      <c r="CJI161" s="679"/>
      <c r="CJJ161" s="679"/>
      <c r="CJK161" s="679"/>
      <c r="CJL161" s="679"/>
      <c r="CJM161" s="679"/>
      <c r="CJN161" s="679"/>
      <c r="CJO161" s="679"/>
      <c r="CJP161" s="679"/>
      <c r="CJQ161" s="679"/>
      <c r="CJR161" s="679"/>
      <c r="CJS161" s="679"/>
      <c r="CJT161" s="679"/>
      <c r="CJU161" s="679"/>
      <c r="CJV161" s="679"/>
      <c r="CJW161" s="679"/>
      <c r="CJX161" s="679"/>
      <c r="CJY161" s="679"/>
      <c r="CJZ161" s="679"/>
      <c r="CKA161" s="679"/>
      <c r="CKB161" s="679"/>
      <c r="CKC161" s="679"/>
      <c r="CKD161" s="679"/>
      <c r="CKE161" s="679"/>
      <c r="CKF161" s="679"/>
      <c r="CKG161" s="679"/>
      <c r="CKH161" s="679"/>
      <c r="CKI161" s="679"/>
      <c r="CKJ161" s="679"/>
      <c r="CKK161" s="679"/>
      <c r="CKL161" s="679"/>
      <c r="CKM161" s="679"/>
      <c r="CKN161" s="679"/>
      <c r="CKO161" s="679"/>
      <c r="CKP161" s="679"/>
      <c r="CKQ161" s="679"/>
      <c r="CKR161" s="679"/>
      <c r="CKS161" s="679"/>
      <c r="CKT161" s="679"/>
      <c r="CKU161" s="679"/>
      <c r="CKV161" s="679"/>
      <c r="CKW161" s="679"/>
      <c r="CKX161" s="679"/>
      <c r="CKY161" s="679"/>
      <c r="CKZ161" s="679"/>
      <c r="CLA161" s="679"/>
      <c r="CLB161" s="679"/>
      <c r="CLC161" s="679"/>
      <c r="CLD161" s="679"/>
      <c r="CLE161" s="679"/>
      <c r="CLF161" s="679"/>
      <c r="CLG161" s="679"/>
      <c r="CLH161" s="679"/>
      <c r="CLI161" s="679"/>
      <c r="CLJ161" s="679"/>
      <c r="CLK161" s="679"/>
      <c r="CLL161" s="679"/>
      <c r="CLM161" s="679"/>
      <c r="CLN161" s="679"/>
      <c r="CLO161" s="679"/>
      <c r="CLP161" s="679"/>
      <c r="CLQ161" s="679"/>
      <c r="CLR161" s="679"/>
      <c r="CLS161" s="679"/>
      <c r="CLT161" s="679"/>
      <c r="CLU161" s="679"/>
      <c r="CLV161" s="679"/>
      <c r="CLW161" s="679"/>
      <c r="CLX161" s="679"/>
      <c r="CLY161" s="679"/>
      <c r="CLZ161" s="679"/>
      <c r="CMA161" s="679"/>
      <c r="CMB161" s="679"/>
      <c r="CMC161" s="679"/>
      <c r="CMD161" s="679"/>
      <c r="CME161" s="679"/>
      <c r="CMF161" s="679"/>
      <c r="CMG161" s="679"/>
      <c r="CMH161" s="679"/>
      <c r="CMI161" s="679"/>
      <c r="CMJ161" s="679"/>
      <c r="CMK161" s="679"/>
      <c r="CML161" s="679"/>
      <c r="CMM161" s="679"/>
      <c r="CMN161" s="679"/>
      <c r="CMO161" s="679"/>
      <c r="CMP161" s="679"/>
      <c r="CMQ161" s="679"/>
      <c r="CMR161" s="679"/>
      <c r="CMS161" s="679"/>
      <c r="CMT161" s="679"/>
      <c r="CMU161" s="679"/>
      <c r="CMV161" s="679"/>
      <c r="CMW161" s="679"/>
      <c r="CMX161" s="679"/>
      <c r="CMY161" s="679"/>
      <c r="CMZ161" s="679"/>
      <c r="CNA161" s="679"/>
      <c r="CNB161" s="679"/>
      <c r="CNC161" s="679"/>
      <c r="CND161" s="679"/>
      <c r="CNE161" s="679"/>
      <c r="CNF161" s="679"/>
      <c r="CNG161" s="679"/>
      <c r="CNH161" s="679"/>
      <c r="CNI161" s="679"/>
      <c r="CNJ161" s="679"/>
      <c r="CNK161" s="679"/>
      <c r="CNL161" s="679"/>
      <c r="CNM161" s="679"/>
      <c r="CNN161" s="679"/>
      <c r="CNO161" s="679"/>
      <c r="CNP161" s="679"/>
      <c r="CNQ161" s="679"/>
      <c r="CNR161" s="679"/>
      <c r="CNS161" s="679"/>
      <c r="CNT161" s="679"/>
      <c r="CNU161" s="679"/>
      <c r="CNV161" s="679"/>
      <c r="CNW161" s="679"/>
      <c r="CNX161" s="679"/>
      <c r="CNY161" s="679"/>
      <c r="CNZ161" s="679"/>
      <c r="COA161" s="679"/>
      <c r="COB161" s="679"/>
      <c r="COC161" s="679"/>
      <c r="COD161" s="679"/>
      <c r="COE161" s="679"/>
      <c r="COF161" s="679"/>
      <c r="COG161" s="679"/>
      <c r="COH161" s="679"/>
      <c r="COI161" s="679"/>
      <c r="COJ161" s="679"/>
      <c r="COK161" s="679"/>
      <c r="COL161" s="679"/>
      <c r="COM161" s="679"/>
      <c r="CON161" s="679"/>
      <c r="COO161" s="679"/>
      <c r="COP161" s="679"/>
      <c r="COQ161" s="679"/>
      <c r="COR161" s="679"/>
      <c r="COS161" s="679"/>
      <c r="COT161" s="679"/>
      <c r="COU161" s="679"/>
      <c r="COV161" s="679"/>
      <c r="COW161" s="679"/>
      <c r="COX161" s="679"/>
      <c r="COY161" s="679"/>
      <c r="COZ161" s="679"/>
      <c r="CPA161" s="679"/>
      <c r="CPB161" s="679"/>
      <c r="CPC161" s="679"/>
      <c r="CPD161" s="679"/>
      <c r="CPE161" s="679"/>
      <c r="CPF161" s="679"/>
      <c r="CPG161" s="679"/>
      <c r="CPH161" s="679"/>
      <c r="CPI161" s="679"/>
      <c r="CPJ161" s="679"/>
      <c r="CPK161" s="679"/>
      <c r="CPL161" s="679"/>
      <c r="CPM161" s="679"/>
      <c r="CPN161" s="679"/>
      <c r="CPO161" s="679"/>
      <c r="CPP161" s="679"/>
      <c r="CPQ161" s="679"/>
      <c r="CPR161" s="679"/>
      <c r="CPS161" s="679"/>
      <c r="CPT161" s="679"/>
      <c r="CPU161" s="679"/>
      <c r="CPV161" s="679"/>
      <c r="CPW161" s="679"/>
      <c r="CPX161" s="679"/>
      <c r="CPY161" s="679"/>
      <c r="CPZ161" s="679"/>
      <c r="CQA161" s="679"/>
      <c r="CQB161" s="679"/>
      <c r="CQC161" s="679"/>
      <c r="CQD161" s="679"/>
      <c r="CQE161" s="679"/>
      <c r="CQF161" s="679"/>
      <c r="CQG161" s="679"/>
      <c r="CQH161" s="679"/>
      <c r="CQI161" s="679"/>
      <c r="CQJ161" s="679"/>
      <c r="CQK161" s="679"/>
      <c r="CQL161" s="679"/>
      <c r="CQM161" s="679"/>
      <c r="CQN161" s="679"/>
      <c r="CQO161" s="679"/>
      <c r="CQP161" s="679"/>
      <c r="CQQ161" s="679"/>
      <c r="CQR161" s="679"/>
      <c r="CQS161" s="679"/>
      <c r="CQT161" s="679"/>
      <c r="CQU161" s="679"/>
      <c r="CQV161" s="679"/>
      <c r="CQW161" s="679"/>
      <c r="CQX161" s="679"/>
      <c r="CQY161" s="679"/>
      <c r="CQZ161" s="679"/>
      <c r="CRA161" s="679"/>
      <c r="CRB161" s="679"/>
      <c r="CRC161" s="679"/>
      <c r="CRD161" s="679"/>
      <c r="CRE161" s="679"/>
      <c r="CRF161" s="679"/>
      <c r="CRG161" s="679"/>
      <c r="CRH161" s="679"/>
      <c r="CRI161" s="679"/>
      <c r="CRJ161" s="679"/>
      <c r="CRK161" s="679"/>
      <c r="CRL161" s="679"/>
      <c r="CRM161" s="679"/>
      <c r="CRN161" s="679"/>
      <c r="CRO161" s="679"/>
      <c r="CRP161" s="679"/>
      <c r="CRQ161" s="679"/>
      <c r="CRR161" s="679"/>
      <c r="CRS161" s="679"/>
      <c r="CRT161" s="679"/>
      <c r="CRU161" s="679"/>
      <c r="CRV161" s="679"/>
      <c r="CRW161" s="679"/>
      <c r="CRX161" s="679"/>
      <c r="CRY161" s="679"/>
      <c r="CRZ161" s="679"/>
      <c r="CSA161" s="679"/>
      <c r="CSB161" s="679"/>
      <c r="CSC161" s="679"/>
      <c r="CSD161" s="679"/>
      <c r="CSE161" s="679"/>
      <c r="CSF161" s="679"/>
      <c r="CSG161" s="679"/>
      <c r="CSH161" s="679"/>
      <c r="CSI161" s="679"/>
      <c r="CSJ161" s="679"/>
      <c r="CSK161" s="679"/>
      <c r="CSL161" s="679"/>
      <c r="CSM161" s="679"/>
      <c r="CSN161" s="679"/>
      <c r="CSO161" s="679"/>
      <c r="CSP161" s="679"/>
      <c r="CSQ161" s="679"/>
      <c r="CSR161" s="679"/>
      <c r="CSS161" s="679"/>
      <c r="CST161" s="679"/>
      <c r="CSU161" s="679"/>
      <c r="CSV161" s="679"/>
      <c r="CSW161" s="679"/>
      <c r="CSX161" s="679"/>
      <c r="CSY161" s="679"/>
      <c r="CSZ161" s="679"/>
      <c r="CTA161" s="679"/>
      <c r="CTB161" s="679"/>
      <c r="CTC161" s="679"/>
      <c r="CTD161" s="679"/>
      <c r="CTE161" s="679"/>
      <c r="CTF161" s="679"/>
      <c r="CTG161" s="679"/>
      <c r="CTH161" s="679"/>
      <c r="CTI161" s="679"/>
      <c r="CTJ161" s="679"/>
      <c r="CTK161" s="679"/>
      <c r="CTL161" s="679"/>
      <c r="CTM161" s="679"/>
      <c r="CTN161" s="679"/>
      <c r="CTO161" s="679"/>
      <c r="CTP161" s="679"/>
      <c r="CTQ161" s="679"/>
      <c r="CTR161" s="679"/>
      <c r="CTS161" s="679"/>
      <c r="CTT161" s="679"/>
      <c r="CTU161" s="679"/>
      <c r="CTV161" s="679"/>
      <c r="CTW161" s="679"/>
      <c r="CTX161" s="679"/>
      <c r="CTY161" s="679"/>
      <c r="CTZ161" s="679"/>
      <c r="CUA161" s="679"/>
      <c r="CUB161" s="679"/>
      <c r="CUC161" s="679"/>
      <c r="CUD161" s="679"/>
      <c r="CUE161" s="679"/>
      <c r="CUF161" s="679"/>
      <c r="CUG161" s="679"/>
      <c r="CUH161" s="679"/>
      <c r="CUI161" s="679"/>
      <c r="CUJ161" s="679"/>
      <c r="CUK161" s="679"/>
      <c r="CUL161" s="679"/>
      <c r="CUM161" s="679"/>
      <c r="CUN161" s="679"/>
      <c r="CUO161" s="679"/>
      <c r="CUP161" s="679"/>
      <c r="CUQ161" s="679"/>
      <c r="CUR161" s="679"/>
      <c r="CUS161" s="679"/>
      <c r="CUT161" s="679"/>
      <c r="CUU161" s="679"/>
      <c r="CUV161" s="679"/>
      <c r="CUW161" s="679"/>
      <c r="CUX161" s="679"/>
      <c r="CUY161" s="679"/>
      <c r="CUZ161" s="679"/>
      <c r="CVA161" s="679"/>
      <c r="CVB161" s="679"/>
      <c r="CVC161" s="679"/>
      <c r="CVD161" s="679"/>
      <c r="CVE161" s="679"/>
      <c r="CVF161" s="679"/>
      <c r="CVG161" s="679"/>
      <c r="CVH161" s="679"/>
      <c r="CVI161" s="679"/>
      <c r="CVJ161" s="679"/>
      <c r="CVK161" s="679"/>
      <c r="CVL161" s="679"/>
      <c r="CVM161" s="679"/>
      <c r="CVN161" s="679"/>
      <c r="CVO161" s="679"/>
      <c r="CVP161" s="679"/>
      <c r="CVQ161" s="679"/>
      <c r="CVR161" s="679"/>
      <c r="CVS161" s="679"/>
      <c r="CVT161" s="679"/>
      <c r="CVU161" s="679"/>
      <c r="CVV161" s="679"/>
      <c r="CVW161" s="679"/>
      <c r="CVX161" s="679"/>
      <c r="CVY161" s="679"/>
      <c r="CVZ161" s="679"/>
      <c r="CWA161" s="679"/>
      <c r="CWB161" s="679"/>
      <c r="CWC161" s="679"/>
      <c r="CWD161" s="679"/>
      <c r="CWE161" s="679"/>
      <c r="CWF161" s="679"/>
      <c r="CWG161" s="679"/>
      <c r="CWH161" s="679"/>
      <c r="CWI161" s="679"/>
      <c r="CWJ161" s="679"/>
      <c r="CWK161" s="679"/>
      <c r="CWL161" s="679"/>
      <c r="CWM161" s="679"/>
      <c r="CWN161" s="679"/>
      <c r="CWO161" s="679"/>
      <c r="CWP161" s="679"/>
      <c r="CWQ161" s="679"/>
      <c r="CWR161" s="679"/>
      <c r="CWS161" s="679"/>
      <c r="CWT161" s="679"/>
      <c r="CWU161" s="679"/>
      <c r="CWV161" s="679"/>
      <c r="CWW161" s="679"/>
      <c r="CWX161" s="679"/>
      <c r="CWY161" s="679"/>
      <c r="CWZ161" s="679"/>
      <c r="CXA161" s="679"/>
      <c r="CXB161" s="679"/>
      <c r="CXC161" s="679"/>
      <c r="CXD161" s="679"/>
      <c r="CXE161" s="679"/>
      <c r="CXF161" s="679"/>
      <c r="CXG161" s="679"/>
      <c r="CXH161" s="679"/>
      <c r="CXI161" s="679"/>
      <c r="CXJ161" s="679"/>
      <c r="CXK161" s="679"/>
      <c r="CXL161" s="679"/>
      <c r="CXM161" s="679"/>
      <c r="CXN161" s="679"/>
      <c r="CXO161" s="679"/>
      <c r="CXP161" s="679"/>
      <c r="CXQ161" s="679"/>
      <c r="CXR161" s="679"/>
      <c r="CXS161" s="679"/>
      <c r="CXT161" s="679"/>
      <c r="CXU161" s="679"/>
      <c r="CXV161" s="679"/>
      <c r="CXW161" s="679"/>
      <c r="CXX161" s="679"/>
      <c r="CXY161" s="679"/>
      <c r="CXZ161" s="679"/>
      <c r="CYA161" s="679"/>
      <c r="CYB161" s="679"/>
      <c r="CYC161" s="679"/>
      <c r="CYD161" s="679"/>
      <c r="CYE161" s="679"/>
      <c r="CYF161" s="679"/>
      <c r="CYG161" s="679"/>
      <c r="CYH161" s="679"/>
      <c r="CYI161" s="679"/>
      <c r="CYJ161" s="679"/>
      <c r="CYK161" s="679"/>
      <c r="CYL161" s="679"/>
      <c r="CYM161" s="679"/>
      <c r="CYN161" s="679"/>
      <c r="CYO161" s="679"/>
      <c r="CYP161" s="679"/>
      <c r="CYQ161" s="679"/>
      <c r="CYR161" s="679"/>
      <c r="CYS161" s="679"/>
      <c r="CYT161" s="679"/>
      <c r="CYU161" s="679"/>
      <c r="CYV161" s="679"/>
      <c r="CYW161" s="679"/>
      <c r="CYX161" s="679"/>
      <c r="CYY161" s="679"/>
      <c r="CYZ161" s="679"/>
      <c r="CZA161" s="679"/>
      <c r="CZB161" s="679"/>
      <c r="CZC161" s="679"/>
      <c r="CZD161" s="679"/>
      <c r="CZE161" s="679"/>
      <c r="CZF161" s="679"/>
      <c r="CZG161" s="679"/>
      <c r="CZH161" s="679"/>
      <c r="CZI161" s="679"/>
      <c r="CZJ161" s="679"/>
      <c r="CZK161" s="679"/>
      <c r="CZL161" s="679"/>
      <c r="CZM161" s="679"/>
      <c r="CZN161" s="679"/>
      <c r="CZO161" s="679"/>
      <c r="CZP161" s="679"/>
      <c r="CZQ161" s="679"/>
      <c r="CZR161" s="679"/>
      <c r="CZS161" s="679"/>
      <c r="CZT161" s="679"/>
      <c r="CZU161" s="679"/>
      <c r="CZV161" s="679"/>
      <c r="CZW161" s="679"/>
      <c r="CZX161" s="679"/>
      <c r="CZY161" s="679"/>
      <c r="CZZ161" s="679"/>
      <c r="DAA161" s="679"/>
      <c r="DAB161" s="679"/>
      <c r="DAC161" s="679"/>
      <c r="DAD161" s="679"/>
      <c r="DAE161" s="679"/>
      <c r="DAF161" s="679"/>
      <c r="DAG161" s="679"/>
      <c r="DAH161" s="679"/>
      <c r="DAI161" s="679"/>
      <c r="DAJ161" s="679"/>
      <c r="DAK161" s="679"/>
      <c r="DAL161" s="679"/>
      <c r="DAM161" s="679"/>
      <c r="DAN161" s="679"/>
      <c r="DAO161" s="679"/>
      <c r="DAP161" s="679"/>
      <c r="DAQ161" s="679"/>
      <c r="DAR161" s="679"/>
      <c r="DAS161" s="679"/>
      <c r="DAT161" s="679"/>
      <c r="DAU161" s="679"/>
      <c r="DAV161" s="679"/>
      <c r="DAW161" s="679"/>
      <c r="DAX161" s="679"/>
      <c r="DAY161" s="679"/>
      <c r="DAZ161" s="679"/>
      <c r="DBA161" s="679"/>
      <c r="DBB161" s="679"/>
      <c r="DBC161" s="679"/>
      <c r="DBD161" s="679"/>
      <c r="DBE161" s="679"/>
      <c r="DBF161" s="679"/>
      <c r="DBG161" s="679"/>
      <c r="DBH161" s="679"/>
      <c r="DBI161" s="679"/>
      <c r="DBJ161" s="679"/>
      <c r="DBK161" s="679"/>
      <c r="DBL161" s="679"/>
      <c r="DBM161" s="679"/>
      <c r="DBN161" s="679"/>
      <c r="DBO161" s="679"/>
      <c r="DBP161" s="679"/>
      <c r="DBQ161" s="679"/>
      <c r="DBR161" s="679"/>
      <c r="DBS161" s="679"/>
      <c r="DBT161" s="679"/>
      <c r="DBU161" s="679"/>
      <c r="DBV161" s="679"/>
      <c r="DBW161" s="679"/>
      <c r="DBX161" s="679"/>
      <c r="DBY161" s="679"/>
      <c r="DBZ161" s="679"/>
      <c r="DCA161" s="679"/>
      <c r="DCB161" s="679"/>
      <c r="DCC161" s="679"/>
      <c r="DCD161" s="679"/>
      <c r="DCE161" s="679"/>
      <c r="DCF161" s="679"/>
      <c r="DCG161" s="679"/>
      <c r="DCH161" s="679"/>
      <c r="DCI161" s="679"/>
      <c r="DCJ161" s="679"/>
      <c r="DCK161" s="679"/>
      <c r="DCL161" s="679"/>
      <c r="DCM161" s="679"/>
      <c r="DCN161" s="679"/>
      <c r="DCO161" s="679"/>
      <c r="DCP161" s="679"/>
      <c r="DCQ161" s="679"/>
      <c r="DCR161" s="679"/>
      <c r="DCS161" s="679"/>
      <c r="DCT161" s="679"/>
      <c r="DCU161" s="679"/>
      <c r="DCV161" s="679"/>
      <c r="DCW161" s="679"/>
      <c r="DCX161" s="679"/>
      <c r="DCY161" s="679"/>
      <c r="DCZ161" s="679"/>
      <c r="DDA161" s="679"/>
      <c r="DDB161" s="679"/>
      <c r="DDC161" s="679"/>
      <c r="DDD161" s="679"/>
      <c r="DDE161" s="679"/>
      <c r="DDF161" s="679"/>
      <c r="DDG161" s="679"/>
      <c r="DDH161" s="679"/>
      <c r="DDI161" s="679"/>
      <c r="DDJ161" s="679"/>
      <c r="DDK161" s="679"/>
      <c r="DDL161" s="679"/>
      <c r="DDM161" s="679"/>
      <c r="DDN161" s="679"/>
      <c r="DDO161" s="679"/>
      <c r="DDP161" s="679"/>
      <c r="DDQ161" s="679"/>
      <c r="DDR161" s="679"/>
      <c r="DDS161" s="679"/>
      <c r="DDT161" s="679"/>
      <c r="DDU161" s="679"/>
      <c r="DDV161" s="679"/>
      <c r="DDW161" s="679"/>
      <c r="DDX161" s="679"/>
      <c r="DDY161" s="679"/>
      <c r="DDZ161" s="679"/>
      <c r="DEA161" s="679"/>
      <c r="DEB161" s="679"/>
      <c r="DEC161" s="679"/>
      <c r="DED161" s="679"/>
      <c r="DEE161" s="679"/>
      <c r="DEF161" s="679"/>
      <c r="DEG161" s="679"/>
      <c r="DEH161" s="679"/>
      <c r="DEI161" s="679"/>
      <c r="DEJ161" s="679"/>
      <c r="DEK161" s="679"/>
      <c r="DEL161" s="679"/>
      <c r="DEM161" s="679"/>
      <c r="DEN161" s="679"/>
      <c r="DEO161" s="679"/>
      <c r="DEP161" s="679"/>
      <c r="DEQ161" s="679"/>
      <c r="DER161" s="679"/>
      <c r="DES161" s="679"/>
      <c r="DET161" s="679"/>
      <c r="DEU161" s="679"/>
      <c r="DEV161" s="679"/>
      <c r="DEW161" s="679"/>
      <c r="DEX161" s="679"/>
      <c r="DEY161" s="679"/>
      <c r="DEZ161" s="679"/>
      <c r="DFA161" s="679"/>
      <c r="DFB161" s="679"/>
      <c r="DFC161" s="679"/>
      <c r="DFD161" s="679"/>
      <c r="DFE161" s="679"/>
      <c r="DFF161" s="679"/>
      <c r="DFG161" s="679"/>
      <c r="DFH161" s="679"/>
      <c r="DFI161" s="679"/>
      <c r="DFJ161" s="679"/>
      <c r="DFK161" s="679"/>
      <c r="DFL161" s="679"/>
      <c r="DFM161" s="679"/>
      <c r="DFN161" s="679"/>
      <c r="DFO161" s="679"/>
      <c r="DFP161" s="679"/>
      <c r="DFQ161" s="679"/>
      <c r="DFR161" s="679"/>
      <c r="DFS161" s="679"/>
      <c r="DFT161" s="679"/>
      <c r="DFU161" s="679"/>
      <c r="DFV161" s="679"/>
      <c r="DFW161" s="679"/>
      <c r="DFX161" s="679"/>
      <c r="DFY161" s="679"/>
      <c r="DFZ161" s="679"/>
      <c r="DGA161" s="679"/>
      <c r="DGB161" s="679"/>
      <c r="DGC161" s="679"/>
      <c r="DGD161" s="679"/>
      <c r="DGE161" s="679"/>
      <c r="DGF161" s="679"/>
      <c r="DGG161" s="679"/>
      <c r="DGH161" s="679"/>
      <c r="DGI161" s="679"/>
      <c r="DGJ161" s="679"/>
      <c r="DGK161" s="679"/>
      <c r="DGL161" s="679"/>
      <c r="DGM161" s="679"/>
      <c r="DGN161" s="679"/>
      <c r="DGO161" s="679"/>
      <c r="DGP161" s="679"/>
      <c r="DGQ161" s="679"/>
      <c r="DGR161" s="679"/>
      <c r="DGS161" s="679"/>
      <c r="DGT161" s="679"/>
      <c r="DGU161" s="679"/>
      <c r="DGV161" s="679"/>
      <c r="DGW161" s="679"/>
      <c r="DGX161" s="679"/>
      <c r="DGY161" s="679"/>
      <c r="DGZ161" s="679"/>
      <c r="DHA161" s="679"/>
      <c r="DHB161" s="679"/>
      <c r="DHC161" s="679"/>
      <c r="DHD161" s="679"/>
      <c r="DHE161" s="679"/>
      <c r="DHF161" s="679"/>
      <c r="DHG161" s="679"/>
      <c r="DHH161" s="679"/>
      <c r="DHI161" s="679"/>
      <c r="DHJ161" s="679"/>
      <c r="DHK161" s="679"/>
      <c r="DHL161" s="679"/>
      <c r="DHM161" s="679"/>
      <c r="DHN161" s="679"/>
      <c r="DHO161" s="679"/>
      <c r="DHP161" s="679"/>
      <c r="DHQ161" s="679"/>
      <c r="DHR161" s="679"/>
      <c r="DHS161" s="679"/>
      <c r="DHT161" s="679"/>
      <c r="DHU161" s="679"/>
      <c r="DHV161" s="679"/>
      <c r="DHW161" s="679"/>
      <c r="DHX161" s="679"/>
      <c r="DHY161" s="679"/>
      <c r="DHZ161" s="679"/>
      <c r="DIA161" s="679"/>
      <c r="DIB161" s="679"/>
      <c r="DIC161" s="679"/>
      <c r="DID161" s="679"/>
      <c r="DIE161" s="679"/>
      <c r="DIF161" s="679"/>
      <c r="DIG161" s="679"/>
      <c r="DIH161" s="679"/>
      <c r="DII161" s="679"/>
      <c r="DIJ161" s="679"/>
      <c r="DIK161" s="679"/>
      <c r="DIL161" s="679"/>
      <c r="DIM161" s="679"/>
      <c r="DIN161" s="679"/>
      <c r="DIO161" s="679"/>
      <c r="DIP161" s="679"/>
      <c r="DIQ161" s="679"/>
      <c r="DIR161" s="679"/>
      <c r="DIS161" s="679"/>
      <c r="DIT161" s="679"/>
      <c r="DIU161" s="679"/>
      <c r="DIV161" s="679"/>
      <c r="DIW161" s="679"/>
      <c r="DIX161" s="679"/>
      <c r="DIY161" s="679"/>
      <c r="DIZ161" s="679"/>
      <c r="DJA161" s="679"/>
      <c r="DJB161" s="679"/>
      <c r="DJC161" s="679"/>
      <c r="DJD161" s="679"/>
      <c r="DJE161" s="679"/>
      <c r="DJF161" s="679"/>
      <c r="DJG161" s="679"/>
      <c r="DJH161" s="679"/>
      <c r="DJI161" s="679"/>
      <c r="DJJ161" s="679"/>
      <c r="DJK161" s="679"/>
      <c r="DJL161" s="679"/>
      <c r="DJM161" s="679"/>
      <c r="DJN161" s="679"/>
      <c r="DJO161" s="679"/>
      <c r="DJP161" s="679"/>
      <c r="DJQ161" s="679"/>
      <c r="DJR161" s="679"/>
      <c r="DJS161" s="679"/>
      <c r="DJT161" s="679"/>
      <c r="DJU161" s="679"/>
      <c r="DJV161" s="679"/>
      <c r="DJW161" s="679"/>
      <c r="DJX161" s="679"/>
      <c r="DJY161" s="679"/>
      <c r="DJZ161" s="679"/>
      <c r="DKA161" s="679"/>
      <c r="DKB161" s="679"/>
      <c r="DKC161" s="679"/>
      <c r="DKD161" s="679"/>
      <c r="DKE161" s="679"/>
      <c r="DKF161" s="679"/>
      <c r="DKG161" s="679"/>
      <c r="DKH161" s="679"/>
      <c r="DKI161" s="679"/>
      <c r="DKJ161" s="679"/>
      <c r="DKK161" s="679"/>
      <c r="DKL161" s="679"/>
      <c r="DKM161" s="679"/>
      <c r="DKN161" s="679"/>
      <c r="DKO161" s="679"/>
      <c r="DKP161" s="679"/>
      <c r="DKQ161" s="679"/>
      <c r="DKR161" s="679"/>
      <c r="DKS161" s="679"/>
      <c r="DKT161" s="679"/>
      <c r="DKU161" s="679"/>
      <c r="DKV161" s="679"/>
      <c r="DKW161" s="679"/>
      <c r="DKX161" s="679"/>
      <c r="DKY161" s="679"/>
      <c r="DKZ161" s="679"/>
      <c r="DLA161" s="679"/>
      <c r="DLB161" s="679"/>
      <c r="DLC161" s="679"/>
      <c r="DLD161" s="679"/>
      <c r="DLE161" s="679"/>
      <c r="DLF161" s="679"/>
      <c r="DLG161" s="679"/>
      <c r="DLH161" s="679"/>
      <c r="DLI161" s="679"/>
      <c r="DLJ161" s="679"/>
      <c r="DLK161" s="679"/>
      <c r="DLL161" s="679"/>
      <c r="DLM161" s="679"/>
      <c r="DLN161" s="679"/>
      <c r="DLO161" s="679"/>
      <c r="DLP161" s="679"/>
      <c r="DLQ161" s="679"/>
      <c r="DLR161" s="679"/>
      <c r="DLS161" s="679"/>
      <c r="DLT161" s="679"/>
      <c r="DLU161" s="679"/>
      <c r="DLV161" s="679"/>
      <c r="DLW161" s="679"/>
      <c r="DLX161" s="679"/>
      <c r="DLY161" s="679"/>
      <c r="DLZ161" s="679"/>
      <c r="DMA161" s="679"/>
      <c r="DMB161" s="679"/>
      <c r="DMC161" s="679"/>
      <c r="DMD161" s="679"/>
      <c r="DME161" s="679"/>
      <c r="DMF161" s="679"/>
      <c r="DMG161" s="679"/>
      <c r="DMH161" s="679"/>
      <c r="DMI161" s="679"/>
      <c r="DMJ161" s="679"/>
      <c r="DMK161" s="679"/>
      <c r="DML161" s="679"/>
      <c r="DMM161" s="679"/>
      <c r="DMN161" s="679"/>
      <c r="DMO161" s="679"/>
      <c r="DMP161" s="679"/>
      <c r="DMQ161" s="679"/>
      <c r="DMR161" s="679"/>
      <c r="DMS161" s="679"/>
      <c r="DMT161" s="679"/>
      <c r="DMU161" s="679"/>
      <c r="DMV161" s="679"/>
      <c r="DMW161" s="679"/>
      <c r="DMX161" s="679"/>
      <c r="DMY161" s="679"/>
      <c r="DMZ161" s="679"/>
      <c r="DNA161" s="679"/>
      <c r="DNB161" s="679"/>
      <c r="DNC161" s="679"/>
      <c r="DND161" s="679"/>
      <c r="DNE161" s="679"/>
      <c r="DNF161" s="679"/>
      <c r="DNG161" s="679"/>
      <c r="DNH161" s="679"/>
      <c r="DNI161" s="679"/>
      <c r="DNJ161" s="679"/>
      <c r="DNK161" s="679"/>
      <c r="DNL161" s="679"/>
      <c r="DNM161" s="679"/>
      <c r="DNN161" s="679"/>
      <c r="DNO161" s="679"/>
      <c r="DNP161" s="679"/>
      <c r="DNQ161" s="679"/>
      <c r="DNR161" s="679"/>
      <c r="DNS161" s="679"/>
      <c r="DNT161" s="679"/>
      <c r="DNU161" s="679"/>
      <c r="DNV161" s="679"/>
      <c r="DNW161" s="679"/>
      <c r="DNX161" s="679"/>
      <c r="DNY161" s="679"/>
      <c r="DNZ161" s="679"/>
      <c r="DOA161" s="679"/>
      <c r="DOB161" s="679"/>
      <c r="DOC161" s="679"/>
      <c r="DOD161" s="679"/>
      <c r="DOE161" s="679"/>
      <c r="DOF161" s="679"/>
      <c r="DOG161" s="679"/>
      <c r="DOH161" s="679"/>
      <c r="DOI161" s="679"/>
      <c r="DOJ161" s="679"/>
      <c r="DOK161" s="679"/>
      <c r="DOL161" s="679"/>
      <c r="DOM161" s="679"/>
      <c r="DON161" s="679"/>
      <c r="DOO161" s="679"/>
      <c r="DOP161" s="679"/>
      <c r="DOQ161" s="679"/>
      <c r="DOR161" s="679"/>
      <c r="DOS161" s="679"/>
      <c r="DOT161" s="679"/>
      <c r="DOU161" s="679"/>
      <c r="DOV161" s="679"/>
      <c r="DOW161" s="679"/>
      <c r="DOX161" s="679"/>
      <c r="DOY161" s="679"/>
      <c r="DOZ161" s="679"/>
      <c r="DPA161" s="679"/>
      <c r="DPB161" s="679"/>
      <c r="DPC161" s="679"/>
      <c r="DPD161" s="679"/>
      <c r="DPE161" s="679"/>
      <c r="DPF161" s="679"/>
      <c r="DPG161" s="679"/>
      <c r="DPH161" s="679"/>
      <c r="DPI161" s="679"/>
      <c r="DPJ161" s="679"/>
      <c r="DPK161" s="679"/>
      <c r="DPL161" s="679"/>
      <c r="DPM161" s="679"/>
      <c r="DPN161" s="679"/>
      <c r="DPO161" s="679"/>
      <c r="DPP161" s="679"/>
      <c r="DPQ161" s="679"/>
      <c r="DPR161" s="679"/>
      <c r="DPS161" s="679"/>
      <c r="DPT161" s="679"/>
      <c r="DPU161" s="679"/>
      <c r="DPV161" s="679"/>
      <c r="DPW161" s="679"/>
      <c r="DPX161" s="679"/>
      <c r="DPY161" s="679"/>
      <c r="DPZ161" s="679"/>
      <c r="DQA161" s="679"/>
      <c r="DQB161" s="679"/>
      <c r="DQC161" s="679"/>
      <c r="DQD161" s="679"/>
      <c r="DQE161" s="679"/>
      <c r="DQF161" s="679"/>
      <c r="DQG161" s="679"/>
      <c r="DQH161" s="679"/>
      <c r="DQI161" s="679"/>
      <c r="DQJ161" s="679"/>
      <c r="DQK161" s="679"/>
      <c r="DQL161" s="679"/>
      <c r="DQM161" s="679"/>
      <c r="DQN161" s="679"/>
      <c r="DQO161" s="679"/>
      <c r="DQP161" s="679"/>
      <c r="DQQ161" s="679"/>
      <c r="DQR161" s="679"/>
      <c r="DQS161" s="679"/>
      <c r="DQT161" s="679"/>
      <c r="DQU161" s="679"/>
      <c r="DQV161" s="679"/>
      <c r="DQW161" s="679"/>
      <c r="DQX161" s="679"/>
      <c r="DQY161" s="679"/>
      <c r="DQZ161" s="679"/>
      <c r="DRA161" s="679"/>
      <c r="DRB161" s="679"/>
      <c r="DRC161" s="679"/>
      <c r="DRD161" s="679"/>
      <c r="DRE161" s="679"/>
      <c r="DRF161" s="679"/>
      <c r="DRG161" s="679"/>
      <c r="DRH161" s="679"/>
      <c r="DRI161" s="679"/>
      <c r="DRJ161" s="679"/>
      <c r="DRK161" s="679"/>
      <c r="DRL161" s="679"/>
      <c r="DRM161" s="679"/>
      <c r="DRN161" s="679"/>
      <c r="DRO161" s="679"/>
      <c r="DRP161" s="679"/>
      <c r="DRQ161" s="679"/>
      <c r="DRR161" s="679"/>
      <c r="DRS161" s="679"/>
      <c r="DRT161" s="679"/>
      <c r="DRU161" s="679"/>
      <c r="DRV161" s="679"/>
      <c r="DRW161" s="679"/>
      <c r="DRX161" s="679"/>
      <c r="DRY161" s="679"/>
      <c r="DRZ161" s="679"/>
      <c r="DSA161" s="679"/>
      <c r="DSB161" s="679"/>
      <c r="DSC161" s="679"/>
      <c r="DSD161" s="679"/>
      <c r="DSE161" s="679"/>
      <c r="DSF161" s="679"/>
      <c r="DSG161" s="679"/>
      <c r="DSH161" s="679"/>
      <c r="DSI161" s="679"/>
      <c r="DSJ161" s="679"/>
      <c r="DSK161" s="679"/>
      <c r="DSL161" s="679"/>
      <c r="DSM161" s="679"/>
      <c r="DSN161" s="679"/>
      <c r="DSO161" s="679"/>
      <c r="DSP161" s="679"/>
      <c r="DSQ161" s="679"/>
      <c r="DSR161" s="679"/>
      <c r="DSS161" s="679"/>
      <c r="DST161" s="679"/>
      <c r="DSU161" s="679"/>
      <c r="DSV161" s="679"/>
      <c r="DSW161" s="679"/>
      <c r="DSX161" s="679"/>
      <c r="DSY161" s="679"/>
      <c r="DSZ161" s="679"/>
      <c r="DTA161" s="679"/>
      <c r="DTB161" s="679"/>
      <c r="DTC161" s="679"/>
      <c r="DTD161" s="679"/>
      <c r="DTE161" s="679"/>
      <c r="DTF161" s="679"/>
      <c r="DTG161" s="679"/>
      <c r="DTH161" s="679"/>
      <c r="DTI161" s="679"/>
      <c r="DTJ161" s="679"/>
      <c r="DTK161" s="679"/>
      <c r="DTL161" s="679"/>
      <c r="DTM161" s="679"/>
      <c r="DTN161" s="679"/>
      <c r="DTO161" s="679"/>
      <c r="DTP161" s="679"/>
      <c r="DTQ161" s="679"/>
      <c r="DTR161" s="679"/>
      <c r="DTS161" s="679"/>
      <c r="DTT161" s="679"/>
      <c r="DTU161" s="679"/>
      <c r="DTV161" s="679"/>
      <c r="DTW161" s="679"/>
      <c r="DTX161" s="679"/>
      <c r="DTY161" s="679"/>
      <c r="DTZ161" s="679"/>
      <c r="DUA161" s="679"/>
      <c r="DUB161" s="679"/>
      <c r="DUC161" s="679"/>
      <c r="DUD161" s="679"/>
      <c r="DUE161" s="679"/>
      <c r="DUF161" s="679"/>
      <c r="DUG161" s="679"/>
      <c r="DUH161" s="679"/>
      <c r="DUI161" s="679"/>
      <c r="DUJ161" s="679"/>
      <c r="DUK161" s="679"/>
      <c r="DUL161" s="679"/>
      <c r="DUM161" s="679"/>
      <c r="DUN161" s="679"/>
      <c r="DUO161" s="679"/>
      <c r="DUP161" s="679"/>
      <c r="DUQ161" s="679"/>
      <c r="DUR161" s="679"/>
      <c r="DUS161" s="679"/>
      <c r="DUT161" s="679"/>
      <c r="DUU161" s="679"/>
      <c r="DUV161" s="679"/>
      <c r="DUW161" s="679"/>
      <c r="DUX161" s="679"/>
      <c r="DUY161" s="679"/>
      <c r="DUZ161" s="679"/>
      <c r="DVA161" s="679"/>
      <c r="DVB161" s="679"/>
      <c r="DVC161" s="679"/>
      <c r="DVD161" s="679"/>
      <c r="DVE161" s="679"/>
      <c r="DVF161" s="679"/>
      <c r="DVG161" s="679"/>
      <c r="DVH161" s="679"/>
      <c r="DVI161" s="679"/>
      <c r="DVJ161" s="679"/>
      <c r="DVK161" s="679"/>
      <c r="DVL161" s="679"/>
      <c r="DVM161" s="679"/>
      <c r="DVN161" s="679"/>
      <c r="DVO161" s="679"/>
      <c r="DVP161" s="679"/>
      <c r="DVQ161" s="679"/>
      <c r="DVR161" s="679"/>
      <c r="DVS161" s="679"/>
      <c r="DVT161" s="679"/>
      <c r="DVU161" s="679"/>
      <c r="DVV161" s="679"/>
      <c r="DVW161" s="679"/>
      <c r="DVX161" s="679"/>
      <c r="DVY161" s="679"/>
      <c r="DVZ161" s="679"/>
      <c r="DWA161" s="679"/>
      <c r="DWB161" s="679"/>
      <c r="DWC161" s="679"/>
      <c r="DWD161" s="679"/>
      <c r="DWE161" s="679"/>
      <c r="DWF161" s="679"/>
      <c r="DWG161" s="679"/>
      <c r="DWH161" s="679"/>
      <c r="DWI161" s="679"/>
      <c r="DWJ161" s="679"/>
      <c r="DWK161" s="679"/>
      <c r="DWL161" s="679"/>
      <c r="DWM161" s="679"/>
      <c r="DWN161" s="679"/>
      <c r="DWO161" s="679"/>
      <c r="DWP161" s="679"/>
      <c r="DWQ161" s="679"/>
      <c r="DWR161" s="679"/>
      <c r="DWS161" s="679"/>
      <c r="DWT161" s="679"/>
      <c r="DWU161" s="679"/>
      <c r="DWV161" s="679"/>
      <c r="DWW161" s="679"/>
      <c r="DWX161" s="679"/>
      <c r="DWY161" s="679"/>
      <c r="DWZ161" s="679"/>
      <c r="DXA161" s="679"/>
      <c r="DXB161" s="679"/>
      <c r="DXC161" s="679"/>
      <c r="DXD161" s="679"/>
      <c r="DXE161" s="679"/>
      <c r="DXF161" s="679"/>
      <c r="DXG161" s="679"/>
      <c r="DXH161" s="679"/>
      <c r="DXI161" s="679"/>
      <c r="DXJ161" s="679"/>
      <c r="DXK161" s="679"/>
      <c r="DXL161" s="679"/>
      <c r="DXM161" s="679"/>
      <c r="DXN161" s="679"/>
      <c r="DXO161" s="679"/>
      <c r="DXP161" s="679"/>
      <c r="DXQ161" s="679"/>
      <c r="DXR161" s="679"/>
      <c r="DXS161" s="679"/>
      <c r="DXT161" s="679"/>
      <c r="DXU161" s="679"/>
      <c r="DXV161" s="679"/>
      <c r="DXW161" s="679"/>
      <c r="DXX161" s="679"/>
      <c r="DXY161" s="679"/>
      <c r="DXZ161" s="679"/>
      <c r="DYA161" s="679"/>
      <c r="DYB161" s="679"/>
      <c r="DYC161" s="679"/>
      <c r="DYD161" s="679"/>
      <c r="DYE161" s="679"/>
      <c r="DYF161" s="679"/>
      <c r="DYG161" s="679"/>
      <c r="DYH161" s="679"/>
      <c r="DYI161" s="679"/>
      <c r="DYJ161" s="679"/>
      <c r="DYK161" s="679"/>
      <c r="DYL161" s="679"/>
      <c r="DYM161" s="679"/>
      <c r="DYN161" s="679"/>
      <c r="DYO161" s="679"/>
      <c r="DYP161" s="679"/>
      <c r="DYQ161" s="679"/>
      <c r="DYR161" s="679"/>
      <c r="DYS161" s="679"/>
      <c r="DYT161" s="679"/>
      <c r="DYU161" s="679"/>
      <c r="DYV161" s="679"/>
      <c r="DYW161" s="679"/>
      <c r="DYX161" s="679"/>
      <c r="DYY161" s="679"/>
      <c r="DYZ161" s="679"/>
      <c r="DZA161" s="679"/>
      <c r="DZB161" s="679"/>
      <c r="DZC161" s="679"/>
      <c r="DZD161" s="679"/>
      <c r="DZE161" s="679"/>
      <c r="DZF161" s="679"/>
      <c r="DZG161" s="679"/>
      <c r="DZH161" s="679"/>
      <c r="DZI161" s="679"/>
      <c r="DZJ161" s="679"/>
      <c r="DZK161" s="679"/>
      <c r="DZL161" s="679"/>
      <c r="DZM161" s="679"/>
      <c r="DZN161" s="679"/>
      <c r="DZO161" s="679"/>
      <c r="DZP161" s="679"/>
      <c r="DZQ161" s="679"/>
      <c r="DZR161" s="679"/>
      <c r="DZS161" s="679"/>
      <c r="DZT161" s="679"/>
      <c r="DZU161" s="679"/>
      <c r="DZV161" s="679"/>
      <c r="DZW161" s="679"/>
      <c r="DZX161" s="679"/>
      <c r="DZY161" s="679"/>
      <c r="DZZ161" s="679"/>
      <c r="EAA161" s="679"/>
      <c r="EAB161" s="679"/>
      <c r="EAC161" s="679"/>
      <c r="EAD161" s="679"/>
      <c r="EAE161" s="679"/>
      <c r="EAF161" s="679"/>
      <c r="EAG161" s="679"/>
      <c r="EAH161" s="679"/>
      <c r="EAI161" s="679"/>
      <c r="EAJ161" s="679"/>
      <c r="EAK161" s="679"/>
      <c r="EAL161" s="679"/>
      <c r="EAM161" s="679"/>
      <c r="EAN161" s="679"/>
      <c r="EAO161" s="679"/>
      <c r="EAP161" s="679"/>
      <c r="EAQ161" s="679"/>
      <c r="EAR161" s="679"/>
      <c r="EAS161" s="679"/>
      <c r="EAT161" s="679"/>
      <c r="EAU161" s="679"/>
      <c r="EAV161" s="679"/>
      <c r="EAW161" s="679"/>
      <c r="EAX161" s="679"/>
      <c r="EAY161" s="679"/>
      <c r="EAZ161" s="679"/>
      <c r="EBA161" s="679"/>
      <c r="EBB161" s="679"/>
      <c r="EBC161" s="679"/>
      <c r="EBD161" s="679"/>
      <c r="EBE161" s="679"/>
      <c r="EBF161" s="679"/>
      <c r="EBG161" s="679"/>
      <c r="EBH161" s="679"/>
      <c r="EBI161" s="679"/>
      <c r="EBJ161" s="679"/>
      <c r="EBK161" s="679"/>
      <c r="EBL161" s="679"/>
      <c r="EBM161" s="679"/>
      <c r="EBN161" s="679"/>
      <c r="EBO161" s="679"/>
      <c r="EBP161" s="679"/>
      <c r="EBQ161" s="679"/>
      <c r="EBR161" s="679"/>
      <c r="EBS161" s="679"/>
      <c r="EBT161" s="679"/>
      <c r="EBU161" s="679"/>
      <c r="EBV161" s="679"/>
      <c r="EBW161" s="679"/>
      <c r="EBX161" s="679"/>
      <c r="EBY161" s="679"/>
      <c r="EBZ161" s="679"/>
      <c r="ECA161" s="679"/>
      <c r="ECB161" s="679"/>
      <c r="ECC161" s="679"/>
      <c r="ECD161" s="679"/>
      <c r="ECE161" s="679"/>
      <c r="ECF161" s="679"/>
      <c r="ECG161" s="679"/>
      <c r="ECH161" s="679"/>
      <c r="ECI161" s="679"/>
      <c r="ECJ161" s="679"/>
      <c r="ECK161" s="679"/>
      <c r="ECL161" s="679"/>
      <c r="ECM161" s="679"/>
      <c r="ECN161" s="679"/>
      <c r="ECO161" s="679"/>
      <c r="ECP161" s="679"/>
      <c r="ECQ161" s="679"/>
      <c r="ECR161" s="679"/>
      <c r="ECS161" s="679"/>
      <c r="ECT161" s="679"/>
      <c r="ECU161" s="679"/>
      <c r="ECV161" s="679"/>
      <c r="ECW161" s="679"/>
      <c r="ECX161" s="679"/>
      <c r="ECY161" s="679"/>
      <c r="ECZ161" s="679"/>
      <c r="EDA161" s="679"/>
      <c r="EDB161" s="679"/>
      <c r="EDC161" s="679"/>
      <c r="EDD161" s="679"/>
      <c r="EDE161" s="679"/>
      <c r="EDF161" s="679"/>
      <c r="EDG161" s="679"/>
      <c r="EDH161" s="679"/>
      <c r="EDI161" s="679"/>
      <c r="EDJ161" s="679"/>
      <c r="EDK161" s="679"/>
      <c r="EDL161" s="679"/>
      <c r="EDM161" s="679"/>
      <c r="EDN161" s="679"/>
      <c r="EDO161" s="679"/>
      <c r="EDP161" s="679"/>
      <c r="EDQ161" s="679"/>
      <c r="EDR161" s="679"/>
      <c r="EDS161" s="679"/>
      <c r="EDT161" s="679"/>
      <c r="EDU161" s="679"/>
      <c r="EDV161" s="679"/>
      <c r="EDW161" s="679"/>
      <c r="EDX161" s="679"/>
      <c r="EDY161" s="679"/>
      <c r="EDZ161" s="679"/>
      <c r="EEA161" s="679"/>
      <c r="EEB161" s="679"/>
      <c r="EEC161" s="679"/>
      <c r="EED161" s="679"/>
      <c r="EEE161" s="679"/>
      <c r="EEF161" s="679"/>
      <c r="EEG161" s="679"/>
      <c r="EEH161" s="679"/>
      <c r="EEI161" s="679"/>
      <c r="EEJ161" s="679"/>
      <c r="EEK161" s="679"/>
      <c r="EEL161" s="679"/>
      <c r="EEM161" s="679"/>
      <c r="EEN161" s="679"/>
      <c r="EEO161" s="679"/>
      <c r="EEP161" s="679"/>
      <c r="EEQ161" s="679"/>
      <c r="EER161" s="679"/>
      <c r="EES161" s="679"/>
      <c r="EET161" s="679"/>
      <c r="EEU161" s="679"/>
      <c r="EEV161" s="679"/>
      <c r="EEW161" s="679"/>
      <c r="EEX161" s="679"/>
      <c r="EEY161" s="679"/>
      <c r="EEZ161" s="679"/>
      <c r="EFA161" s="679"/>
      <c r="EFB161" s="679"/>
      <c r="EFC161" s="679"/>
      <c r="EFD161" s="679"/>
      <c r="EFE161" s="679"/>
      <c r="EFF161" s="679"/>
      <c r="EFG161" s="679"/>
      <c r="EFH161" s="679"/>
      <c r="EFI161" s="679"/>
      <c r="EFJ161" s="679"/>
      <c r="EFK161" s="679"/>
      <c r="EFL161" s="679"/>
      <c r="EFM161" s="679"/>
      <c r="EFN161" s="679"/>
      <c r="EFO161" s="679"/>
      <c r="EFP161" s="679"/>
      <c r="EFQ161" s="679"/>
      <c r="EFR161" s="679"/>
      <c r="EFS161" s="679"/>
      <c r="EFT161" s="679"/>
      <c r="EFU161" s="679"/>
      <c r="EFV161" s="679"/>
      <c r="EFW161" s="679"/>
      <c r="EFX161" s="679"/>
      <c r="EFY161" s="679"/>
      <c r="EFZ161" s="679"/>
      <c r="EGA161" s="679"/>
      <c r="EGB161" s="679"/>
      <c r="EGC161" s="679"/>
      <c r="EGD161" s="679"/>
      <c r="EGE161" s="679"/>
      <c r="EGF161" s="679"/>
      <c r="EGG161" s="679"/>
      <c r="EGH161" s="679"/>
      <c r="EGI161" s="679"/>
      <c r="EGJ161" s="679"/>
      <c r="EGK161" s="679"/>
      <c r="EGL161" s="679"/>
      <c r="EGM161" s="679"/>
      <c r="EGN161" s="679"/>
      <c r="EGO161" s="679"/>
      <c r="EGP161" s="679"/>
      <c r="EGQ161" s="679"/>
      <c r="EGR161" s="679"/>
      <c r="EGS161" s="679"/>
      <c r="EGT161" s="679"/>
      <c r="EGU161" s="679"/>
      <c r="EGV161" s="679"/>
      <c r="EGW161" s="679"/>
      <c r="EGX161" s="679"/>
      <c r="EGY161" s="679"/>
      <c r="EGZ161" s="679"/>
      <c r="EHA161" s="679"/>
      <c r="EHB161" s="679"/>
      <c r="EHC161" s="679"/>
      <c r="EHD161" s="679"/>
      <c r="EHE161" s="679"/>
      <c r="EHF161" s="679"/>
      <c r="EHG161" s="679"/>
      <c r="EHH161" s="679"/>
      <c r="EHI161" s="679"/>
      <c r="EHJ161" s="679"/>
      <c r="EHK161" s="679"/>
      <c r="EHL161" s="679"/>
      <c r="EHM161" s="679"/>
      <c r="EHN161" s="679"/>
      <c r="EHO161" s="679"/>
      <c r="EHP161" s="679"/>
      <c r="EHQ161" s="679"/>
      <c r="EHR161" s="679"/>
      <c r="EHS161" s="679"/>
      <c r="EHT161" s="679"/>
      <c r="EHU161" s="679"/>
      <c r="EHV161" s="679"/>
      <c r="EHW161" s="679"/>
      <c r="EHX161" s="679"/>
      <c r="EHY161" s="679"/>
      <c r="EHZ161" s="679"/>
      <c r="EIA161" s="679"/>
      <c r="EIB161" s="679"/>
      <c r="EIC161" s="679"/>
      <c r="EID161" s="679"/>
      <c r="EIE161" s="679"/>
      <c r="EIF161" s="679"/>
      <c r="EIG161" s="679"/>
      <c r="EIH161" s="679"/>
      <c r="EII161" s="679"/>
      <c r="EIJ161" s="679"/>
      <c r="EIK161" s="679"/>
      <c r="EIL161" s="679"/>
      <c r="EIM161" s="679"/>
      <c r="EIN161" s="679"/>
      <c r="EIO161" s="679"/>
      <c r="EIP161" s="679"/>
      <c r="EIQ161" s="679"/>
      <c r="EIR161" s="679"/>
      <c r="EIS161" s="679"/>
      <c r="EIT161" s="679"/>
      <c r="EIU161" s="679"/>
      <c r="EIV161" s="679"/>
      <c r="EIW161" s="679"/>
      <c r="EIX161" s="679"/>
      <c r="EIY161" s="679"/>
      <c r="EIZ161" s="679"/>
      <c r="EJA161" s="679"/>
      <c r="EJB161" s="679"/>
      <c r="EJC161" s="679"/>
      <c r="EJD161" s="679"/>
      <c r="EJE161" s="679"/>
      <c r="EJF161" s="679"/>
      <c r="EJG161" s="679"/>
      <c r="EJH161" s="679"/>
      <c r="EJI161" s="679"/>
      <c r="EJJ161" s="679"/>
      <c r="EJK161" s="679"/>
      <c r="EJL161" s="679"/>
      <c r="EJM161" s="679"/>
      <c r="EJN161" s="679"/>
      <c r="EJO161" s="679"/>
      <c r="EJP161" s="679"/>
      <c r="EJQ161" s="679"/>
      <c r="EJR161" s="679"/>
      <c r="EJS161" s="679"/>
      <c r="EJT161" s="679"/>
      <c r="EJU161" s="679"/>
      <c r="EJV161" s="679"/>
      <c r="EJW161" s="679"/>
      <c r="EJX161" s="679"/>
      <c r="EJY161" s="679"/>
      <c r="EJZ161" s="679"/>
      <c r="EKA161" s="679"/>
      <c r="EKB161" s="679"/>
      <c r="EKC161" s="679"/>
      <c r="EKD161" s="679"/>
      <c r="EKE161" s="679"/>
      <c r="EKF161" s="679"/>
      <c r="EKG161" s="679"/>
      <c r="EKH161" s="679"/>
      <c r="EKI161" s="679"/>
      <c r="EKJ161" s="679"/>
      <c r="EKK161" s="679"/>
      <c r="EKL161" s="679"/>
      <c r="EKM161" s="679"/>
      <c r="EKN161" s="679"/>
      <c r="EKO161" s="679"/>
      <c r="EKP161" s="679"/>
      <c r="EKQ161" s="679"/>
      <c r="EKR161" s="679"/>
      <c r="EKS161" s="679"/>
      <c r="EKT161" s="679"/>
      <c r="EKU161" s="679"/>
      <c r="EKV161" s="679"/>
      <c r="EKW161" s="679"/>
      <c r="EKX161" s="679"/>
      <c r="EKY161" s="679"/>
      <c r="EKZ161" s="679"/>
      <c r="ELA161" s="679"/>
      <c r="ELB161" s="679"/>
      <c r="ELC161" s="679"/>
      <c r="ELD161" s="679"/>
      <c r="ELE161" s="679"/>
      <c r="ELF161" s="679"/>
      <c r="ELG161" s="679"/>
      <c r="ELH161" s="679"/>
      <c r="ELI161" s="679"/>
      <c r="ELJ161" s="679"/>
      <c r="ELK161" s="679"/>
      <c r="ELL161" s="679"/>
      <c r="ELM161" s="679"/>
      <c r="ELN161" s="679"/>
      <c r="ELO161" s="679"/>
      <c r="ELP161" s="679"/>
      <c r="ELQ161" s="679"/>
      <c r="ELR161" s="679"/>
      <c r="ELS161" s="679"/>
      <c r="ELT161" s="679"/>
      <c r="ELU161" s="679"/>
      <c r="ELV161" s="679"/>
      <c r="ELW161" s="679"/>
      <c r="ELX161" s="679"/>
      <c r="ELY161" s="679"/>
      <c r="ELZ161" s="679"/>
      <c r="EMA161" s="679"/>
      <c r="EMB161" s="679"/>
      <c r="EMC161" s="679"/>
      <c r="EMD161" s="679"/>
      <c r="EME161" s="679"/>
      <c r="EMF161" s="679"/>
      <c r="EMG161" s="679"/>
      <c r="EMH161" s="679"/>
      <c r="EMI161" s="679"/>
      <c r="EMJ161" s="679"/>
      <c r="EMK161" s="679"/>
      <c r="EML161" s="679"/>
      <c r="EMM161" s="679"/>
      <c r="EMN161" s="679"/>
      <c r="EMO161" s="679"/>
      <c r="EMP161" s="679"/>
      <c r="EMQ161" s="679"/>
      <c r="EMR161" s="679"/>
      <c r="EMS161" s="679"/>
      <c r="EMT161" s="679"/>
      <c r="EMU161" s="679"/>
      <c r="EMV161" s="679"/>
      <c r="EMW161" s="679"/>
      <c r="EMX161" s="679"/>
      <c r="EMY161" s="679"/>
      <c r="EMZ161" s="679"/>
      <c r="ENA161" s="679"/>
      <c r="ENB161" s="679"/>
      <c r="ENC161" s="679"/>
      <c r="END161" s="679"/>
      <c r="ENE161" s="679"/>
      <c r="ENF161" s="679"/>
      <c r="ENG161" s="679"/>
      <c r="ENH161" s="679"/>
      <c r="ENI161" s="679"/>
      <c r="ENJ161" s="679"/>
      <c r="ENK161" s="679"/>
      <c r="ENL161" s="679"/>
      <c r="ENM161" s="679"/>
      <c r="ENN161" s="679"/>
      <c r="ENO161" s="679"/>
      <c r="ENP161" s="679"/>
      <c r="ENQ161" s="679"/>
      <c r="ENR161" s="679"/>
      <c r="ENS161" s="679"/>
      <c r="ENT161" s="679"/>
      <c r="ENU161" s="679"/>
      <c r="ENV161" s="679"/>
      <c r="ENW161" s="679"/>
      <c r="ENX161" s="679"/>
      <c r="ENY161" s="679"/>
      <c r="ENZ161" s="679"/>
      <c r="EOA161" s="679"/>
      <c r="EOB161" s="679"/>
      <c r="EOC161" s="679"/>
      <c r="EOD161" s="679"/>
      <c r="EOE161" s="679"/>
      <c r="EOF161" s="679"/>
      <c r="EOG161" s="679"/>
      <c r="EOH161" s="679"/>
      <c r="EOI161" s="679"/>
      <c r="EOJ161" s="679"/>
      <c r="EOK161" s="679"/>
      <c r="EOL161" s="679"/>
      <c r="EOM161" s="679"/>
      <c r="EON161" s="679"/>
      <c r="EOO161" s="679"/>
      <c r="EOP161" s="679"/>
      <c r="EOQ161" s="679"/>
      <c r="EOR161" s="679"/>
      <c r="EOS161" s="679"/>
      <c r="EOT161" s="679"/>
      <c r="EOU161" s="679"/>
      <c r="EOV161" s="679"/>
      <c r="EOW161" s="679"/>
      <c r="EOX161" s="679"/>
      <c r="EOY161" s="679"/>
      <c r="EOZ161" s="679"/>
      <c r="EPA161" s="679"/>
      <c r="EPB161" s="679"/>
      <c r="EPC161" s="679"/>
      <c r="EPD161" s="679"/>
      <c r="EPE161" s="679"/>
      <c r="EPF161" s="679"/>
      <c r="EPG161" s="679"/>
      <c r="EPH161" s="679"/>
      <c r="EPI161" s="679"/>
      <c r="EPJ161" s="679"/>
      <c r="EPK161" s="679"/>
      <c r="EPL161" s="679"/>
      <c r="EPM161" s="679"/>
      <c r="EPN161" s="679"/>
      <c r="EPO161" s="679"/>
      <c r="EPP161" s="679"/>
      <c r="EPQ161" s="679"/>
      <c r="EPR161" s="679"/>
      <c r="EPS161" s="679"/>
      <c r="EPT161" s="679"/>
      <c r="EPU161" s="679"/>
      <c r="EPV161" s="679"/>
      <c r="EPW161" s="679"/>
      <c r="EPX161" s="679"/>
      <c r="EPY161" s="679"/>
      <c r="EPZ161" s="679"/>
      <c r="EQA161" s="679"/>
      <c r="EQB161" s="679"/>
      <c r="EQC161" s="679"/>
      <c r="EQD161" s="679"/>
      <c r="EQE161" s="679"/>
      <c r="EQF161" s="679"/>
      <c r="EQG161" s="679"/>
      <c r="EQH161" s="679"/>
      <c r="EQI161" s="679"/>
      <c r="EQJ161" s="679"/>
      <c r="EQK161" s="679"/>
      <c r="EQL161" s="679"/>
      <c r="EQM161" s="679"/>
      <c r="EQN161" s="679"/>
      <c r="EQO161" s="679"/>
      <c r="EQP161" s="679"/>
      <c r="EQQ161" s="679"/>
      <c r="EQR161" s="679"/>
      <c r="EQS161" s="679"/>
      <c r="EQT161" s="679"/>
      <c r="EQU161" s="679"/>
      <c r="EQV161" s="679"/>
      <c r="EQW161" s="679"/>
      <c r="EQX161" s="679"/>
      <c r="EQY161" s="679"/>
      <c r="EQZ161" s="679"/>
      <c r="ERA161" s="679"/>
      <c r="ERB161" s="679"/>
      <c r="ERC161" s="679"/>
      <c r="ERD161" s="679"/>
      <c r="ERE161" s="679"/>
      <c r="ERF161" s="679"/>
      <c r="ERG161" s="679"/>
      <c r="ERH161" s="679"/>
      <c r="ERI161" s="679"/>
      <c r="ERJ161" s="679"/>
      <c r="ERK161" s="679"/>
      <c r="ERL161" s="679"/>
      <c r="ERM161" s="679"/>
      <c r="ERN161" s="679"/>
      <c r="ERO161" s="679"/>
      <c r="ERP161" s="679"/>
      <c r="ERQ161" s="679"/>
      <c r="ERR161" s="679"/>
      <c r="ERS161" s="679"/>
      <c r="ERT161" s="679"/>
      <c r="ERU161" s="679"/>
      <c r="ERV161" s="679"/>
      <c r="ERW161" s="679"/>
      <c r="ERX161" s="679"/>
      <c r="ERY161" s="679"/>
      <c r="ERZ161" s="679"/>
      <c r="ESA161" s="679"/>
      <c r="ESB161" s="679"/>
      <c r="ESC161" s="679"/>
      <c r="ESD161" s="679"/>
      <c r="ESE161" s="679"/>
      <c r="ESF161" s="679"/>
      <c r="ESG161" s="679"/>
      <c r="ESH161" s="679"/>
      <c r="ESI161" s="679"/>
      <c r="ESJ161" s="679"/>
      <c r="ESK161" s="679"/>
      <c r="ESL161" s="679"/>
      <c r="ESM161" s="679"/>
      <c r="ESN161" s="679"/>
      <c r="ESO161" s="679"/>
      <c r="ESP161" s="679"/>
      <c r="ESQ161" s="679"/>
      <c r="ESR161" s="679"/>
      <c r="ESS161" s="679"/>
      <c r="EST161" s="679"/>
      <c r="ESU161" s="679"/>
      <c r="ESV161" s="679"/>
      <c r="ESW161" s="679"/>
      <c r="ESX161" s="679"/>
      <c r="ESY161" s="679"/>
      <c r="ESZ161" s="679"/>
      <c r="ETA161" s="679"/>
      <c r="ETB161" s="679"/>
      <c r="ETC161" s="679"/>
      <c r="ETD161" s="679"/>
      <c r="ETE161" s="679"/>
      <c r="ETF161" s="679"/>
      <c r="ETG161" s="679"/>
      <c r="ETH161" s="679"/>
      <c r="ETI161" s="679"/>
      <c r="ETJ161" s="679"/>
      <c r="ETK161" s="679"/>
      <c r="ETL161" s="679"/>
      <c r="ETM161" s="679"/>
      <c r="ETN161" s="679"/>
      <c r="ETO161" s="679"/>
      <c r="ETP161" s="679"/>
      <c r="ETQ161" s="679"/>
      <c r="ETR161" s="679"/>
      <c r="ETS161" s="679"/>
      <c r="ETT161" s="679"/>
      <c r="ETU161" s="679"/>
      <c r="ETV161" s="679"/>
      <c r="ETW161" s="679"/>
      <c r="ETX161" s="679"/>
      <c r="ETY161" s="679"/>
      <c r="ETZ161" s="679"/>
      <c r="EUA161" s="679"/>
      <c r="EUB161" s="679"/>
      <c r="EUC161" s="679"/>
      <c r="EUD161" s="679"/>
      <c r="EUE161" s="679"/>
      <c r="EUF161" s="679"/>
      <c r="EUG161" s="679"/>
      <c r="EUH161" s="679"/>
      <c r="EUI161" s="679"/>
      <c r="EUJ161" s="679"/>
      <c r="EUK161" s="679"/>
      <c r="EUL161" s="679"/>
      <c r="EUM161" s="679"/>
      <c r="EUN161" s="679"/>
      <c r="EUO161" s="679"/>
      <c r="EUP161" s="679"/>
      <c r="EUQ161" s="679"/>
      <c r="EUR161" s="679"/>
      <c r="EUS161" s="679"/>
      <c r="EUT161" s="679"/>
      <c r="EUU161" s="679"/>
      <c r="EUV161" s="679"/>
      <c r="EUW161" s="679"/>
      <c r="EUX161" s="679"/>
      <c r="EUY161" s="679"/>
      <c r="EUZ161" s="679"/>
      <c r="EVA161" s="679"/>
      <c r="EVB161" s="679"/>
      <c r="EVC161" s="679"/>
      <c r="EVD161" s="679"/>
      <c r="EVE161" s="679"/>
      <c r="EVF161" s="679"/>
      <c r="EVG161" s="679"/>
      <c r="EVH161" s="679"/>
      <c r="EVI161" s="679"/>
      <c r="EVJ161" s="679"/>
      <c r="EVK161" s="679"/>
      <c r="EVL161" s="679"/>
      <c r="EVM161" s="679"/>
      <c r="EVN161" s="679"/>
      <c r="EVO161" s="679"/>
      <c r="EVP161" s="679"/>
      <c r="EVQ161" s="679"/>
      <c r="EVR161" s="679"/>
      <c r="EVS161" s="679"/>
      <c r="EVT161" s="679"/>
      <c r="EVU161" s="679"/>
      <c r="EVV161" s="679"/>
      <c r="EVW161" s="679"/>
      <c r="EVX161" s="679"/>
      <c r="EVY161" s="679"/>
      <c r="EVZ161" s="679"/>
      <c r="EWA161" s="679"/>
      <c r="EWB161" s="679"/>
      <c r="EWC161" s="679"/>
      <c r="EWD161" s="679"/>
      <c r="EWE161" s="679"/>
      <c r="EWF161" s="679"/>
      <c r="EWG161" s="679"/>
      <c r="EWH161" s="679"/>
      <c r="EWI161" s="679"/>
      <c r="EWJ161" s="679"/>
      <c r="EWK161" s="679"/>
      <c r="EWL161" s="679"/>
      <c r="EWM161" s="679"/>
      <c r="EWN161" s="679"/>
      <c r="EWO161" s="679"/>
      <c r="EWP161" s="679"/>
      <c r="EWQ161" s="679"/>
      <c r="EWR161" s="679"/>
      <c r="EWS161" s="679"/>
      <c r="EWT161" s="679"/>
      <c r="EWU161" s="679"/>
      <c r="EWV161" s="679"/>
      <c r="EWW161" s="679"/>
      <c r="EWX161" s="679"/>
      <c r="EWY161" s="679"/>
      <c r="EWZ161" s="679"/>
      <c r="EXA161" s="679"/>
      <c r="EXB161" s="679"/>
      <c r="EXC161" s="679"/>
      <c r="EXD161" s="679"/>
      <c r="EXE161" s="679"/>
      <c r="EXF161" s="679"/>
      <c r="EXG161" s="679"/>
      <c r="EXH161" s="679"/>
      <c r="EXI161" s="679"/>
      <c r="EXJ161" s="679"/>
      <c r="EXK161" s="679"/>
      <c r="EXL161" s="679"/>
      <c r="EXM161" s="679"/>
      <c r="EXN161" s="679"/>
      <c r="EXO161" s="679"/>
      <c r="EXP161" s="679"/>
      <c r="EXQ161" s="679"/>
      <c r="EXR161" s="679"/>
      <c r="EXS161" s="679"/>
      <c r="EXT161" s="679"/>
      <c r="EXU161" s="679"/>
      <c r="EXV161" s="679"/>
      <c r="EXW161" s="679"/>
      <c r="EXX161" s="679"/>
      <c r="EXY161" s="679"/>
      <c r="EXZ161" s="679"/>
      <c r="EYA161" s="679"/>
      <c r="EYB161" s="679"/>
      <c r="EYC161" s="679"/>
      <c r="EYD161" s="679"/>
      <c r="EYE161" s="679"/>
      <c r="EYF161" s="679"/>
      <c r="EYG161" s="679"/>
      <c r="EYH161" s="679"/>
      <c r="EYI161" s="679"/>
      <c r="EYJ161" s="679"/>
      <c r="EYK161" s="679"/>
      <c r="EYL161" s="679"/>
      <c r="EYM161" s="679"/>
      <c r="EYN161" s="679"/>
      <c r="EYO161" s="679"/>
      <c r="EYP161" s="679"/>
      <c r="EYQ161" s="679"/>
      <c r="EYR161" s="679"/>
      <c r="EYS161" s="679"/>
      <c r="EYT161" s="679"/>
      <c r="EYU161" s="679"/>
      <c r="EYV161" s="679"/>
      <c r="EYW161" s="679"/>
      <c r="EYX161" s="679"/>
      <c r="EYY161" s="679"/>
      <c r="EYZ161" s="679"/>
      <c r="EZA161" s="679"/>
      <c r="EZB161" s="679"/>
      <c r="EZC161" s="679"/>
      <c r="EZD161" s="679"/>
      <c r="EZE161" s="679"/>
      <c r="EZF161" s="679"/>
      <c r="EZG161" s="679"/>
      <c r="EZH161" s="679"/>
      <c r="EZI161" s="679"/>
      <c r="EZJ161" s="679"/>
      <c r="EZK161" s="679"/>
      <c r="EZL161" s="679"/>
      <c r="EZM161" s="679"/>
      <c r="EZN161" s="679"/>
      <c r="EZO161" s="679"/>
      <c r="EZP161" s="679"/>
      <c r="EZQ161" s="679"/>
      <c r="EZR161" s="679"/>
      <c r="EZS161" s="679"/>
      <c r="EZT161" s="679"/>
      <c r="EZU161" s="679"/>
      <c r="EZV161" s="679"/>
      <c r="EZW161" s="679"/>
      <c r="EZX161" s="679"/>
      <c r="EZY161" s="679"/>
      <c r="EZZ161" s="679"/>
      <c r="FAA161" s="679"/>
      <c r="FAB161" s="679"/>
      <c r="FAC161" s="679"/>
      <c r="FAD161" s="679"/>
      <c r="FAE161" s="679"/>
      <c r="FAF161" s="679"/>
      <c r="FAG161" s="679"/>
      <c r="FAH161" s="679"/>
      <c r="FAI161" s="679"/>
      <c r="FAJ161" s="679"/>
      <c r="FAK161" s="679"/>
      <c r="FAL161" s="679"/>
      <c r="FAM161" s="679"/>
      <c r="FAN161" s="679"/>
      <c r="FAO161" s="679"/>
      <c r="FAP161" s="679"/>
      <c r="FAQ161" s="679"/>
      <c r="FAR161" s="679"/>
      <c r="FAS161" s="679"/>
      <c r="FAT161" s="679"/>
      <c r="FAU161" s="679"/>
      <c r="FAV161" s="679"/>
      <c r="FAW161" s="679"/>
      <c r="FAX161" s="679"/>
      <c r="FAY161" s="679"/>
      <c r="FAZ161" s="679"/>
      <c r="FBA161" s="679"/>
      <c r="FBB161" s="679"/>
      <c r="FBC161" s="679"/>
      <c r="FBD161" s="679"/>
      <c r="FBE161" s="679"/>
      <c r="FBF161" s="679"/>
      <c r="FBG161" s="679"/>
      <c r="FBH161" s="679"/>
      <c r="FBI161" s="679"/>
      <c r="FBJ161" s="679"/>
      <c r="FBK161" s="679"/>
      <c r="FBL161" s="679"/>
      <c r="FBM161" s="679"/>
      <c r="FBN161" s="679"/>
      <c r="FBO161" s="679"/>
      <c r="FBP161" s="679"/>
      <c r="FBQ161" s="679"/>
      <c r="FBR161" s="679"/>
      <c r="FBS161" s="679"/>
      <c r="FBT161" s="679"/>
      <c r="FBU161" s="679"/>
      <c r="FBV161" s="679"/>
      <c r="FBW161" s="679"/>
      <c r="FBX161" s="679"/>
      <c r="FBY161" s="679"/>
      <c r="FBZ161" s="679"/>
      <c r="FCA161" s="679"/>
      <c r="FCB161" s="679"/>
      <c r="FCC161" s="679"/>
      <c r="FCD161" s="679"/>
      <c r="FCE161" s="679"/>
      <c r="FCF161" s="679"/>
      <c r="FCG161" s="679"/>
      <c r="FCH161" s="679"/>
      <c r="FCI161" s="679"/>
      <c r="FCJ161" s="679"/>
      <c r="FCK161" s="679"/>
      <c r="FCL161" s="679"/>
      <c r="FCM161" s="679"/>
      <c r="FCN161" s="679"/>
      <c r="FCO161" s="679"/>
      <c r="FCP161" s="679"/>
      <c r="FCQ161" s="679"/>
      <c r="FCR161" s="679"/>
      <c r="FCS161" s="679"/>
      <c r="FCT161" s="679"/>
      <c r="FCU161" s="679"/>
      <c r="FCV161" s="679"/>
      <c r="FCW161" s="679"/>
      <c r="FCX161" s="679"/>
      <c r="FCY161" s="679"/>
      <c r="FCZ161" s="679"/>
      <c r="FDA161" s="679"/>
      <c r="FDB161" s="679"/>
      <c r="FDC161" s="679"/>
      <c r="FDD161" s="679"/>
      <c r="FDE161" s="679"/>
      <c r="FDF161" s="679"/>
      <c r="FDG161" s="679"/>
      <c r="FDH161" s="679"/>
      <c r="FDI161" s="679"/>
      <c r="FDJ161" s="679"/>
      <c r="FDK161" s="679"/>
      <c r="FDL161" s="679"/>
      <c r="FDM161" s="679"/>
      <c r="FDN161" s="679"/>
      <c r="FDO161" s="679"/>
      <c r="FDP161" s="679"/>
      <c r="FDQ161" s="679"/>
      <c r="FDR161" s="679"/>
      <c r="FDS161" s="679"/>
      <c r="FDT161" s="679"/>
      <c r="FDU161" s="679"/>
      <c r="FDV161" s="679"/>
      <c r="FDW161" s="679"/>
      <c r="FDX161" s="679"/>
      <c r="FDY161" s="679"/>
      <c r="FDZ161" s="679"/>
      <c r="FEA161" s="679"/>
      <c r="FEB161" s="679"/>
      <c r="FEC161" s="679"/>
      <c r="FED161" s="679"/>
      <c r="FEE161" s="679"/>
      <c r="FEF161" s="679"/>
      <c r="FEG161" s="679"/>
      <c r="FEH161" s="679"/>
      <c r="FEI161" s="679"/>
      <c r="FEJ161" s="679"/>
      <c r="FEK161" s="679"/>
      <c r="FEL161" s="679"/>
      <c r="FEM161" s="679"/>
      <c r="FEN161" s="679"/>
      <c r="FEO161" s="679"/>
      <c r="FEP161" s="679"/>
      <c r="FEQ161" s="679"/>
      <c r="FER161" s="679"/>
      <c r="FES161" s="679"/>
      <c r="FET161" s="679"/>
      <c r="FEU161" s="679"/>
      <c r="FEV161" s="679"/>
      <c r="FEW161" s="679"/>
      <c r="FEX161" s="679"/>
      <c r="FEY161" s="679"/>
      <c r="FEZ161" s="679"/>
      <c r="FFA161" s="679"/>
      <c r="FFB161" s="679"/>
      <c r="FFC161" s="679"/>
      <c r="FFD161" s="679"/>
      <c r="FFE161" s="679"/>
      <c r="FFF161" s="679"/>
      <c r="FFG161" s="679"/>
      <c r="FFH161" s="679"/>
      <c r="FFI161" s="679"/>
      <c r="FFJ161" s="679"/>
      <c r="FFK161" s="679"/>
      <c r="FFL161" s="679"/>
      <c r="FFM161" s="679"/>
      <c r="FFN161" s="679"/>
      <c r="FFO161" s="679"/>
      <c r="FFP161" s="679"/>
      <c r="FFQ161" s="679"/>
      <c r="FFR161" s="679"/>
      <c r="FFS161" s="679"/>
      <c r="FFT161" s="679"/>
      <c r="FFU161" s="679"/>
      <c r="FFV161" s="679"/>
      <c r="FFW161" s="679"/>
      <c r="FFX161" s="679"/>
      <c r="FFY161" s="679"/>
      <c r="FFZ161" s="679"/>
      <c r="FGA161" s="679"/>
      <c r="FGB161" s="679"/>
      <c r="FGC161" s="679"/>
      <c r="FGD161" s="679"/>
      <c r="FGE161" s="679"/>
      <c r="FGF161" s="679"/>
      <c r="FGG161" s="679"/>
      <c r="FGH161" s="679"/>
      <c r="FGI161" s="679"/>
      <c r="FGJ161" s="679"/>
      <c r="FGK161" s="679"/>
      <c r="FGL161" s="679"/>
      <c r="FGM161" s="679"/>
      <c r="FGN161" s="679"/>
      <c r="FGO161" s="679"/>
      <c r="FGP161" s="679"/>
      <c r="FGQ161" s="679"/>
      <c r="FGR161" s="679"/>
      <c r="FGS161" s="679"/>
      <c r="FGT161" s="679"/>
      <c r="FGU161" s="679"/>
      <c r="FGV161" s="679"/>
      <c r="FGW161" s="679"/>
      <c r="FGX161" s="679"/>
      <c r="FGY161" s="679"/>
      <c r="FGZ161" s="679"/>
      <c r="FHA161" s="679"/>
      <c r="FHB161" s="679"/>
      <c r="FHC161" s="679"/>
      <c r="FHD161" s="679"/>
      <c r="FHE161" s="679"/>
      <c r="FHF161" s="679"/>
      <c r="FHG161" s="679"/>
      <c r="FHH161" s="679"/>
      <c r="FHI161" s="679"/>
      <c r="FHJ161" s="679"/>
      <c r="FHK161" s="679"/>
      <c r="FHL161" s="679"/>
      <c r="FHM161" s="679"/>
      <c r="FHN161" s="679"/>
      <c r="FHO161" s="679"/>
      <c r="FHP161" s="679"/>
      <c r="FHQ161" s="679"/>
      <c r="FHR161" s="679"/>
      <c r="FHS161" s="679"/>
      <c r="FHT161" s="679"/>
      <c r="FHU161" s="679"/>
      <c r="FHV161" s="679"/>
      <c r="FHW161" s="679"/>
      <c r="FHX161" s="679"/>
      <c r="FHY161" s="679"/>
      <c r="FHZ161" s="679"/>
      <c r="FIA161" s="679"/>
      <c r="FIB161" s="679"/>
      <c r="FIC161" s="679"/>
      <c r="FID161" s="679"/>
      <c r="FIE161" s="679"/>
      <c r="FIF161" s="679"/>
      <c r="FIG161" s="679"/>
      <c r="FIH161" s="679"/>
      <c r="FII161" s="679"/>
      <c r="FIJ161" s="679"/>
      <c r="FIK161" s="679"/>
      <c r="FIL161" s="679"/>
      <c r="FIM161" s="679"/>
      <c r="FIN161" s="679"/>
      <c r="FIO161" s="679"/>
      <c r="FIP161" s="679"/>
      <c r="FIQ161" s="679"/>
      <c r="FIR161" s="679"/>
      <c r="FIS161" s="679"/>
      <c r="FIT161" s="679"/>
      <c r="FIU161" s="679"/>
      <c r="FIV161" s="679"/>
      <c r="FIW161" s="679"/>
      <c r="FIX161" s="679"/>
      <c r="FIY161" s="679"/>
      <c r="FIZ161" s="679"/>
      <c r="FJA161" s="679"/>
      <c r="FJB161" s="679"/>
      <c r="FJC161" s="679"/>
      <c r="FJD161" s="679"/>
      <c r="FJE161" s="679"/>
      <c r="FJF161" s="679"/>
      <c r="FJG161" s="679"/>
      <c r="FJH161" s="679"/>
      <c r="FJI161" s="679"/>
      <c r="FJJ161" s="679"/>
      <c r="FJK161" s="679"/>
      <c r="FJL161" s="679"/>
      <c r="FJM161" s="679"/>
      <c r="FJN161" s="679"/>
      <c r="FJO161" s="679"/>
      <c r="FJP161" s="679"/>
      <c r="FJQ161" s="679"/>
      <c r="FJR161" s="679"/>
      <c r="FJS161" s="679"/>
      <c r="FJT161" s="679"/>
      <c r="FJU161" s="679"/>
      <c r="FJV161" s="679"/>
      <c r="FJW161" s="679"/>
      <c r="FJX161" s="679"/>
      <c r="FJY161" s="679"/>
      <c r="FJZ161" s="679"/>
      <c r="FKA161" s="679"/>
      <c r="FKB161" s="679"/>
      <c r="FKC161" s="679"/>
      <c r="FKD161" s="679"/>
      <c r="FKE161" s="679"/>
      <c r="FKF161" s="679"/>
      <c r="FKG161" s="679"/>
      <c r="FKH161" s="679"/>
      <c r="FKI161" s="679"/>
      <c r="FKJ161" s="679"/>
      <c r="FKK161" s="679"/>
      <c r="FKL161" s="679"/>
      <c r="FKM161" s="679"/>
      <c r="FKN161" s="679"/>
      <c r="FKO161" s="679"/>
      <c r="FKP161" s="679"/>
      <c r="FKQ161" s="679"/>
      <c r="FKR161" s="679"/>
      <c r="FKS161" s="679"/>
      <c r="FKT161" s="679"/>
      <c r="FKU161" s="679"/>
      <c r="FKV161" s="679"/>
      <c r="FKW161" s="679"/>
      <c r="FKX161" s="679"/>
      <c r="FKY161" s="679"/>
      <c r="FKZ161" s="679"/>
      <c r="FLA161" s="679"/>
      <c r="FLB161" s="679"/>
      <c r="FLC161" s="679"/>
      <c r="FLD161" s="679"/>
      <c r="FLE161" s="679"/>
      <c r="FLF161" s="679"/>
      <c r="FLG161" s="679"/>
      <c r="FLH161" s="679"/>
      <c r="FLI161" s="679"/>
      <c r="FLJ161" s="679"/>
      <c r="FLK161" s="679"/>
      <c r="FLL161" s="679"/>
      <c r="FLM161" s="679"/>
      <c r="FLN161" s="679"/>
      <c r="FLO161" s="679"/>
      <c r="FLP161" s="679"/>
      <c r="FLQ161" s="679"/>
      <c r="FLR161" s="679"/>
      <c r="FLS161" s="679"/>
      <c r="FLT161" s="679"/>
      <c r="FLU161" s="679"/>
      <c r="FLV161" s="679"/>
      <c r="FLW161" s="679"/>
      <c r="FLX161" s="679"/>
      <c r="FLY161" s="679"/>
      <c r="FLZ161" s="679"/>
      <c r="FMA161" s="679"/>
      <c r="FMB161" s="679"/>
      <c r="FMC161" s="679"/>
      <c r="FMD161" s="679"/>
      <c r="FME161" s="679"/>
      <c r="FMF161" s="679"/>
      <c r="FMG161" s="679"/>
      <c r="FMH161" s="679"/>
      <c r="FMI161" s="679"/>
      <c r="FMJ161" s="679"/>
      <c r="FMK161" s="679"/>
      <c r="FML161" s="679"/>
      <c r="FMM161" s="679"/>
      <c r="FMN161" s="679"/>
      <c r="FMO161" s="679"/>
      <c r="FMP161" s="679"/>
      <c r="FMQ161" s="679"/>
      <c r="FMR161" s="679"/>
      <c r="FMS161" s="679"/>
      <c r="FMT161" s="679"/>
      <c r="FMU161" s="679"/>
      <c r="FMV161" s="679"/>
      <c r="FMW161" s="679"/>
      <c r="FMX161" s="679"/>
      <c r="FMY161" s="679"/>
      <c r="FMZ161" s="679"/>
      <c r="FNA161" s="679"/>
      <c r="FNB161" s="679"/>
      <c r="FNC161" s="679"/>
      <c r="FND161" s="679"/>
      <c r="FNE161" s="679"/>
      <c r="FNF161" s="679"/>
      <c r="FNG161" s="679"/>
      <c r="FNH161" s="679"/>
      <c r="FNI161" s="679"/>
      <c r="FNJ161" s="679"/>
      <c r="FNK161" s="679"/>
      <c r="FNL161" s="679"/>
      <c r="FNM161" s="679"/>
      <c r="FNN161" s="679"/>
      <c r="FNO161" s="679"/>
      <c r="FNP161" s="679"/>
      <c r="FNQ161" s="679"/>
      <c r="FNR161" s="679"/>
      <c r="FNS161" s="679"/>
      <c r="FNT161" s="679"/>
      <c r="FNU161" s="679"/>
      <c r="FNV161" s="679"/>
      <c r="FNW161" s="679"/>
      <c r="FNX161" s="679"/>
      <c r="FNY161" s="679"/>
      <c r="FNZ161" s="679"/>
      <c r="FOA161" s="679"/>
      <c r="FOB161" s="679"/>
      <c r="FOC161" s="679"/>
      <c r="FOD161" s="679"/>
      <c r="FOE161" s="679"/>
      <c r="FOF161" s="679"/>
      <c r="FOG161" s="679"/>
      <c r="FOH161" s="679"/>
      <c r="FOI161" s="679"/>
      <c r="FOJ161" s="679"/>
      <c r="FOK161" s="679"/>
      <c r="FOL161" s="679"/>
      <c r="FOM161" s="679"/>
      <c r="FON161" s="679"/>
      <c r="FOO161" s="679"/>
      <c r="FOP161" s="679"/>
      <c r="FOQ161" s="679"/>
      <c r="FOR161" s="679"/>
      <c r="FOS161" s="679"/>
      <c r="FOT161" s="679"/>
      <c r="FOU161" s="679"/>
      <c r="FOV161" s="679"/>
      <c r="FOW161" s="679"/>
      <c r="FOX161" s="679"/>
      <c r="FOY161" s="679"/>
      <c r="FOZ161" s="679"/>
      <c r="FPA161" s="679"/>
      <c r="FPB161" s="679"/>
      <c r="FPC161" s="679"/>
      <c r="FPD161" s="679"/>
      <c r="FPE161" s="679"/>
      <c r="FPF161" s="679"/>
      <c r="FPG161" s="679"/>
      <c r="FPH161" s="679"/>
      <c r="FPI161" s="679"/>
      <c r="FPJ161" s="679"/>
      <c r="FPK161" s="679"/>
      <c r="FPL161" s="679"/>
      <c r="FPM161" s="679"/>
      <c r="FPN161" s="679"/>
      <c r="FPO161" s="679"/>
      <c r="FPP161" s="679"/>
      <c r="FPQ161" s="679"/>
      <c r="FPR161" s="679"/>
      <c r="FPS161" s="679"/>
      <c r="FPT161" s="679"/>
      <c r="FPU161" s="679"/>
      <c r="FPV161" s="679"/>
      <c r="FPW161" s="679"/>
      <c r="FPX161" s="679"/>
      <c r="FPY161" s="679"/>
      <c r="FPZ161" s="679"/>
      <c r="FQA161" s="679"/>
      <c r="FQB161" s="679"/>
      <c r="FQC161" s="679"/>
      <c r="FQD161" s="679"/>
      <c r="FQE161" s="679"/>
      <c r="FQF161" s="679"/>
      <c r="FQG161" s="679"/>
      <c r="FQH161" s="679"/>
      <c r="FQI161" s="679"/>
      <c r="FQJ161" s="679"/>
      <c r="FQK161" s="679"/>
      <c r="FQL161" s="679"/>
      <c r="FQM161" s="679"/>
      <c r="FQN161" s="679"/>
      <c r="FQO161" s="679"/>
      <c r="FQP161" s="679"/>
      <c r="FQQ161" s="679"/>
      <c r="FQR161" s="679"/>
      <c r="FQS161" s="679"/>
      <c r="FQT161" s="679"/>
      <c r="FQU161" s="679"/>
      <c r="FQV161" s="679"/>
      <c r="FQW161" s="679"/>
      <c r="FQX161" s="679"/>
      <c r="FQY161" s="679"/>
      <c r="FQZ161" s="679"/>
      <c r="FRA161" s="679"/>
      <c r="FRB161" s="679"/>
      <c r="FRC161" s="679"/>
      <c r="FRD161" s="679"/>
      <c r="FRE161" s="679"/>
      <c r="FRF161" s="679"/>
      <c r="FRG161" s="679"/>
      <c r="FRH161" s="679"/>
      <c r="FRI161" s="679"/>
      <c r="FRJ161" s="679"/>
      <c r="FRK161" s="679"/>
      <c r="FRL161" s="679"/>
      <c r="FRM161" s="679"/>
      <c r="FRN161" s="679"/>
      <c r="FRO161" s="679"/>
      <c r="FRP161" s="679"/>
      <c r="FRQ161" s="679"/>
      <c r="FRR161" s="679"/>
      <c r="FRS161" s="679"/>
      <c r="FRT161" s="679"/>
      <c r="FRU161" s="679"/>
      <c r="FRV161" s="679"/>
      <c r="FRW161" s="679"/>
      <c r="FRX161" s="679"/>
      <c r="FRY161" s="679"/>
      <c r="FRZ161" s="679"/>
      <c r="FSA161" s="679"/>
      <c r="FSB161" s="679"/>
      <c r="FSC161" s="679"/>
      <c r="FSD161" s="679"/>
      <c r="FSE161" s="679"/>
      <c r="FSF161" s="679"/>
      <c r="FSG161" s="679"/>
      <c r="FSH161" s="679"/>
      <c r="FSI161" s="679"/>
      <c r="FSJ161" s="679"/>
      <c r="FSK161" s="679"/>
      <c r="FSL161" s="679"/>
      <c r="FSM161" s="679"/>
      <c r="FSN161" s="679"/>
      <c r="FSO161" s="679"/>
      <c r="FSP161" s="679"/>
      <c r="FSQ161" s="679"/>
      <c r="FSR161" s="679"/>
      <c r="FSS161" s="679"/>
      <c r="FST161" s="679"/>
      <c r="FSU161" s="679"/>
      <c r="FSV161" s="679"/>
      <c r="FSW161" s="679"/>
      <c r="FSX161" s="679"/>
      <c r="FSY161" s="679"/>
      <c r="FSZ161" s="679"/>
      <c r="FTA161" s="679"/>
      <c r="FTB161" s="679"/>
      <c r="FTC161" s="679"/>
      <c r="FTD161" s="679"/>
      <c r="FTE161" s="679"/>
      <c r="FTF161" s="679"/>
      <c r="FTG161" s="679"/>
      <c r="FTH161" s="679"/>
      <c r="FTI161" s="679"/>
      <c r="FTJ161" s="679"/>
      <c r="FTK161" s="679"/>
      <c r="FTL161" s="679"/>
      <c r="FTM161" s="679"/>
      <c r="FTN161" s="679"/>
      <c r="FTO161" s="679"/>
      <c r="FTP161" s="679"/>
      <c r="FTQ161" s="679"/>
      <c r="FTR161" s="679"/>
      <c r="FTS161" s="679"/>
      <c r="FTT161" s="679"/>
      <c r="FTU161" s="679"/>
      <c r="FTV161" s="679"/>
      <c r="FTW161" s="679"/>
      <c r="FTX161" s="679"/>
      <c r="FTY161" s="679"/>
      <c r="FTZ161" s="679"/>
      <c r="FUA161" s="679"/>
      <c r="FUB161" s="679"/>
      <c r="FUC161" s="679"/>
      <c r="FUD161" s="679"/>
      <c r="FUE161" s="679"/>
      <c r="FUF161" s="679"/>
      <c r="FUG161" s="679"/>
      <c r="FUH161" s="679"/>
      <c r="FUI161" s="679"/>
      <c r="FUJ161" s="679"/>
      <c r="FUK161" s="679"/>
      <c r="FUL161" s="679"/>
      <c r="FUM161" s="679"/>
      <c r="FUN161" s="679"/>
      <c r="FUO161" s="679"/>
      <c r="FUP161" s="679"/>
      <c r="FUQ161" s="679"/>
      <c r="FUR161" s="679"/>
      <c r="FUS161" s="679"/>
      <c r="FUT161" s="679"/>
      <c r="FUU161" s="679"/>
      <c r="FUV161" s="679"/>
      <c r="FUW161" s="679"/>
      <c r="FUX161" s="679"/>
      <c r="FUY161" s="679"/>
      <c r="FUZ161" s="679"/>
      <c r="FVA161" s="679"/>
      <c r="FVB161" s="679"/>
      <c r="FVC161" s="679"/>
      <c r="FVD161" s="679"/>
      <c r="FVE161" s="679"/>
      <c r="FVF161" s="679"/>
      <c r="FVG161" s="679"/>
      <c r="FVH161" s="679"/>
      <c r="FVI161" s="679"/>
      <c r="FVJ161" s="679"/>
      <c r="FVK161" s="679"/>
      <c r="FVL161" s="679"/>
      <c r="FVM161" s="679"/>
      <c r="FVN161" s="679"/>
      <c r="FVO161" s="679"/>
      <c r="FVP161" s="679"/>
      <c r="FVQ161" s="679"/>
      <c r="FVR161" s="679"/>
      <c r="FVS161" s="679"/>
      <c r="FVT161" s="679"/>
      <c r="FVU161" s="679"/>
      <c r="FVV161" s="679"/>
      <c r="FVW161" s="679"/>
      <c r="FVX161" s="679"/>
      <c r="FVY161" s="679"/>
      <c r="FVZ161" s="679"/>
      <c r="FWA161" s="679"/>
      <c r="FWB161" s="679"/>
      <c r="FWC161" s="679"/>
      <c r="FWD161" s="679"/>
      <c r="FWE161" s="679"/>
      <c r="FWF161" s="679"/>
      <c r="FWG161" s="679"/>
      <c r="FWH161" s="679"/>
      <c r="FWI161" s="679"/>
      <c r="FWJ161" s="679"/>
      <c r="FWK161" s="679"/>
      <c r="FWL161" s="679"/>
      <c r="FWM161" s="679"/>
      <c r="FWN161" s="679"/>
      <c r="FWO161" s="679"/>
      <c r="FWP161" s="679"/>
      <c r="FWQ161" s="679"/>
      <c r="FWR161" s="679"/>
      <c r="FWS161" s="679"/>
      <c r="FWT161" s="679"/>
      <c r="FWU161" s="679"/>
      <c r="FWV161" s="679"/>
      <c r="FWW161" s="679"/>
      <c r="FWX161" s="679"/>
      <c r="FWY161" s="679"/>
      <c r="FWZ161" s="679"/>
      <c r="FXA161" s="679"/>
      <c r="FXB161" s="679"/>
      <c r="FXC161" s="679"/>
      <c r="FXD161" s="679"/>
      <c r="FXE161" s="679"/>
      <c r="FXF161" s="679"/>
      <c r="FXG161" s="679"/>
      <c r="FXH161" s="679"/>
      <c r="FXI161" s="679"/>
      <c r="FXJ161" s="679"/>
      <c r="FXK161" s="679"/>
      <c r="FXL161" s="679"/>
      <c r="FXM161" s="679"/>
      <c r="FXN161" s="679"/>
      <c r="FXO161" s="679"/>
      <c r="FXP161" s="679"/>
      <c r="FXQ161" s="679"/>
      <c r="FXR161" s="679"/>
      <c r="FXS161" s="679"/>
      <c r="FXT161" s="679"/>
      <c r="FXU161" s="679"/>
      <c r="FXV161" s="679"/>
      <c r="FXW161" s="679"/>
      <c r="FXX161" s="679"/>
      <c r="FXY161" s="679"/>
      <c r="FXZ161" s="679"/>
      <c r="FYA161" s="679"/>
      <c r="FYB161" s="679"/>
      <c r="FYC161" s="679"/>
      <c r="FYD161" s="679"/>
      <c r="FYE161" s="679"/>
      <c r="FYF161" s="679"/>
      <c r="FYG161" s="679"/>
      <c r="FYH161" s="679"/>
      <c r="FYI161" s="679"/>
      <c r="FYJ161" s="679"/>
      <c r="FYK161" s="679"/>
      <c r="FYL161" s="679"/>
      <c r="FYM161" s="679"/>
      <c r="FYN161" s="679"/>
      <c r="FYO161" s="679"/>
      <c r="FYP161" s="679"/>
      <c r="FYQ161" s="679"/>
      <c r="FYR161" s="679"/>
      <c r="FYS161" s="679"/>
      <c r="FYT161" s="679"/>
      <c r="FYU161" s="679"/>
      <c r="FYV161" s="679"/>
      <c r="FYW161" s="679"/>
      <c r="FYX161" s="679"/>
      <c r="FYY161" s="679"/>
      <c r="FYZ161" s="679"/>
      <c r="FZA161" s="679"/>
      <c r="FZB161" s="679"/>
      <c r="FZC161" s="679"/>
      <c r="FZD161" s="679"/>
      <c r="FZE161" s="679"/>
      <c r="FZF161" s="679"/>
      <c r="FZG161" s="679"/>
      <c r="FZH161" s="679"/>
      <c r="FZI161" s="679"/>
      <c r="FZJ161" s="679"/>
      <c r="FZK161" s="679"/>
      <c r="FZL161" s="679"/>
      <c r="FZM161" s="679"/>
      <c r="FZN161" s="679"/>
      <c r="FZO161" s="679"/>
      <c r="FZP161" s="679"/>
      <c r="FZQ161" s="679"/>
      <c r="FZR161" s="679"/>
      <c r="FZS161" s="679"/>
      <c r="FZT161" s="679"/>
      <c r="FZU161" s="679"/>
      <c r="FZV161" s="679"/>
      <c r="FZW161" s="679"/>
      <c r="FZX161" s="679"/>
      <c r="FZY161" s="679"/>
      <c r="FZZ161" s="679"/>
      <c r="GAA161" s="679"/>
      <c r="GAB161" s="679"/>
      <c r="GAC161" s="679"/>
      <c r="GAD161" s="679"/>
      <c r="GAE161" s="679"/>
      <c r="GAF161" s="679"/>
      <c r="GAG161" s="679"/>
      <c r="GAH161" s="679"/>
      <c r="GAI161" s="679"/>
      <c r="GAJ161" s="679"/>
      <c r="GAK161" s="679"/>
      <c r="GAL161" s="679"/>
      <c r="GAM161" s="679"/>
      <c r="GAN161" s="679"/>
      <c r="GAO161" s="679"/>
      <c r="GAP161" s="679"/>
      <c r="GAQ161" s="679"/>
      <c r="GAR161" s="679"/>
      <c r="GAS161" s="679"/>
      <c r="GAT161" s="679"/>
      <c r="GAU161" s="679"/>
      <c r="GAV161" s="679"/>
      <c r="GAW161" s="679"/>
      <c r="GAX161" s="679"/>
      <c r="GAY161" s="679"/>
      <c r="GAZ161" s="679"/>
      <c r="GBA161" s="679"/>
      <c r="GBB161" s="679"/>
      <c r="GBC161" s="679"/>
      <c r="GBD161" s="679"/>
      <c r="GBE161" s="679"/>
      <c r="GBF161" s="679"/>
      <c r="GBG161" s="679"/>
      <c r="GBH161" s="679"/>
      <c r="GBI161" s="679"/>
      <c r="GBJ161" s="679"/>
      <c r="GBK161" s="679"/>
      <c r="GBL161" s="679"/>
      <c r="GBM161" s="679"/>
      <c r="GBN161" s="679"/>
      <c r="GBO161" s="679"/>
      <c r="GBP161" s="679"/>
      <c r="GBQ161" s="679"/>
      <c r="GBR161" s="679"/>
      <c r="GBS161" s="679"/>
      <c r="GBT161" s="679"/>
      <c r="GBU161" s="679"/>
      <c r="GBV161" s="679"/>
      <c r="GBW161" s="679"/>
      <c r="GBX161" s="679"/>
      <c r="GBY161" s="679"/>
      <c r="GBZ161" s="679"/>
      <c r="GCA161" s="679"/>
      <c r="GCB161" s="679"/>
      <c r="GCC161" s="679"/>
      <c r="GCD161" s="679"/>
      <c r="GCE161" s="679"/>
      <c r="GCF161" s="679"/>
      <c r="GCG161" s="679"/>
      <c r="GCH161" s="679"/>
      <c r="GCI161" s="679"/>
      <c r="GCJ161" s="679"/>
      <c r="GCK161" s="679"/>
      <c r="GCL161" s="679"/>
      <c r="GCM161" s="679"/>
      <c r="GCN161" s="679"/>
      <c r="GCO161" s="679"/>
      <c r="GCP161" s="679"/>
      <c r="GCQ161" s="679"/>
      <c r="GCR161" s="679"/>
      <c r="GCS161" s="679"/>
      <c r="GCT161" s="679"/>
      <c r="GCU161" s="679"/>
      <c r="GCV161" s="679"/>
      <c r="GCW161" s="679"/>
      <c r="GCX161" s="679"/>
      <c r="GCY161" s="679"/>
      <c r="GCZ161" s="679"/>
      <c r="GDA161" s="679"/>
      <c r="GDB161" s="679"/>
      <c r="GDC161" s="679"/>
      <c r="GDD161" s="679"/>
      <c r="GDE161" s="679"/>
      <c r="GDF161" s="679"/>
      <c r="GDG161" s="679"/>
      <c r="GDH161" s="679"/>
      <c r="GDI161" s="679"/>
      <c r="GDJ161" s="679"/>
      <c r="GDK161" s="679"/>
      <c r="GDL161" s="679"/>
      <c r="GDM161" s="679"/>
      <c r="GDN161" s="679"/>
      <c r="GDO161" s="679"/>
      <c r="GDP161" s="679"/>
      <c r="GDQ161" s="679"/>
      <c r="GDR161" s="679"/>
      <c r="GDS161" s="679"/>
      <c r="GDT161" s="679"/>
      <c r="GDU161" s="679"/>
      <c r="GDV161" s="679"/>
      <c r="GDW161" s="679"/>
      <c r="GDX161" s="679"/>
      <c r="GDY161" s="679"/>
      <c r="GDZ161" s="679"/>
      <c r="GEA161" s="679"/>
      <c r="GEB161" s="679"/>
      <c r="GEC161" s="679"/>
      <c r="GED161" s="679"/>
      <c r="GEE161" s="679"/>
      <c r="GEF161" s="679"/>
      <c r="GEG161" s="679"/>
      <c r="GEH161" s="679"/>
      <c r="GEI161" s="679"/>
      <c r="GEJ161" s="679"/>
      <c r="GEK161" s="679"/>
      <c r="GEL161" s="679"/>
      <c r="GEM161" s="679"/>
      <c r="GEN161" s="679"/>
      <c r="GEO161" s="679"/>
      <c r="GEP161" s="679"/>
      <c r="GEQ161" s="679"/>
      <c r="GER161" s="679"/>
      <c r="GES161" s="679"/>
      <c r="GET161" s="679"/>
      <c r="GEU161" s="679"/>
      <c r="GEV161" s="679"/>
      <c r="GEW161" s="679"/>
      <c r="GEX161" s="679"/>
      <c r="GEY161" s="679"/>
      <c r="GEZ161" s="679"/>
      <c r="GFA161" s="679"/>
      <c r="GFB161" s="679"/>
      <c r="GFC161" s="679"/>
      <c r="GFD161" s="679"/>
      <c r="GFE161" s="679"/>
      <c r="GFF161" s="679"/>
      <c r="GFG161" s="679"/>
      <c r="GFH161" s="679"/>
      <c r="GFI161" s="679"/>
      <c r="GFJ161" s="679"/>
      <c r="GFK161" s="679"/>
      <c r="GFL161" s="679"/>
      <c r="GFM161" s="679"/>
      <c r="GFN161" s="679"/>
      <c r="GFO161" s="679"/>
      <c r="GFP161" s="679"/>
      <c r="GFQ161" s="679"/>
      <c r="GFR161" s="679"/>
      <c r="GFS161" s="679"/>
      <c r="GFT161" s="679"/>
      <c r="GFU161" s="679"/>
      <c r="GFV161" s="679"/>
      <c r="GFW161" s="679"/>
      <c r="GFX161" s="679"/>
      <c r="GFY161" s="679"/>
      <c r="GFZ161" s="679"/>
      <c r="GGA161" s="679"/>
      <c r="GGB161" s="679"/>
      <c r="GGC161" s="679"/>
      <c r="GGD161" s="679"/>
      <c r="GGE161" s="679"/>
      <c r="GGF161" s="679"/>
      <c r="GGG161" s="679"/>
      <c r="GGH161" s="679"/>
      <c r="GGI161" s="679"/>
      <c r="GGJ161" s="679"/>
      <c r="GGK161" s="679"/>
      <c r="GGL161" s="679"/>
      <c r="GGM161" s="679"/>
      <c r="GGN161" s="679"/>
      <c r="GGO161" s="679"/>
      <c r="GGP161" s="679"/>
      <c r="GGQ161" s="679"/>
      <c r="GGR161" s="679"/>
      <c r="GGS161" s="679"/>
      <c r="GGT161" s="679"/>
      <c r="GGU161" s="679"/>
      <c r="GGV161" s="679"/>
      <c r="GGW161" s="679"/>
      <c r="GGX161" s="679"/>
      <c r="GGY161" s="679"/>
      <c r="GGZ161" s="679"/>
      <c r="GHA161" s="679"/>
      <c r="GHB161" s="679"/>
      <c r="GHC161" s="679"/>
      <c r="GHD161" s="679"/>
      <c r="GHE161" s="679"/>
      <c r="GHF161" s="679"/>
      <c r="GHG161" s="679"/>
      <c r="GHH161" s="679"/>
      <c r="GHI161" s="679"/>
      <c r="GHJ161" s="679"/>
      <c r="GHK161" s="679"/>
      <c r="GHL161" s="679"/>
      <c r="GHM161" s="679"/>
      <c r="GHN161" s="679"/>
      <c r="GHO161" s="679"/>
      <c r="GHP161" s="679"/>
      <c r="GHQ161" s="679"/>
      <c r="GHR161" s="679"/>
      <c r="GHS161" s="679"/>
      <c r="GHT161" s="679"/>
      <c r="GHU161" s="679"/>
      <c r="GHV161" s="679"/>
      <c r="GHW161" s="679"/>
      <c r="GHX161" s="679"/>
      <c r="GHY161" s="679"/>
      <c r="GHZ161" s="679"/>
      <c r="GIA161" s="679"/>
      <c r="GIB161" s="679"/>
      <c r="GIC161" s="679"/>
      <c r="GID161" s="679"/>
      <c r="GIE161" s="679"/>
      <c r="GIF161" s="679"/>
      <c r="GIG161" s="679"/>
      <c r="GIH161" s="679"/>
      <c r="GII161" s="679"/>
      <c r="GIJ161" s="679"/>
      <c r="GIK161" s="679"/>
      <c r="GIL161" s="679"/>
      <c r="GIM161" s="679"/>
      <c r="GIN161" s="679"/>
      <c r="GIO161" s="679"/>
      <c r="GIP161" s="679"/>
      <c r="GIQ161" s="679"/>
      <c r="GIR161" s="679"/>
      <c r="GIS161" s="679"/>
      <c r="GIT161" s="679"/>
      <c r="GIU161" s="679"/>
      <c r="GIV161" s="679"/>
      <c r="GIW161" s="679"/>
      <c r="GIX161" s="679"/>
      <c r="GIY161" s="679"/>
      <c r="GIZ161" s="679"/>
      <c r="GJA161" s="679"/>
      <c r="GJB161" s="679"/>
      <c r="GJC161" s="679"/>
      <c r="GJD161" s="679"/>
      <c r="GJE161" s="679"/>
      <c r="GJF161" s="679"/>
      <c r="GJG161" s="679"/>
      <c r="GJH161" s="679"/>
      <c r="GJI161" s="679"/>
      <c r="GJJ161" s="679"/>
      <c r="GJK161" s="679"/>
      <c r="GJL161" s="679"/>
      <c r="GJM161" s="679"/>
      <c r="GJN161" s="679"/>
      <c r="GJO161" s="679"/>
      <c r="GJP161" s="679"/>
      <c r="GJQ161" s="679"/>
      <c r="GJR161" s="679"/>
      <c r="GJS161" s="679"/>
      <c r="GJT161" s="679"/>
      <c r="GJU161" s="679"/>
      <c r="GJV161" s="679"/>
      <c r="GJW161" s="679"/>
      <c r="GJX161" s="679"/>
      <c r="GJY161" s="679"/>
      <c r="GJZ161" s="679"/>
      <c r="GKA161" s="679"/>
      <c r="GKB161" s="679"/>
      <c r="GKC161" s="679"/>
      <c r="GKD161" s="679"/>
      <c r="GKE161" s="679"/>
      <c r="GKF161" s="679"/>
      <c r="GKG161" s="679"/>
      <c r="GKH161" s="679"/>
      <c r="GKI161" s="679"/>
      <c r="GKJ161" s="679"/>
      <c r="GKK161" s="679"/>
      <c r="GKL161" s="679"/>
      <c r="GKM161" s="679"/>
      <c r="GKN161" s="679"/>
      <c r="GKO161" s="679"/>
      <c r="GKP161" s="679"/>
      <c r="GKQ161" s="679"/>
      <c r="GKR161" s="679"/>
      <c r="GKS161" s="679"/>
      <c r="GKT161" s="679"/>
      <c r="GKU161" s="679"/>
      <c r="GKV161" s="679"/>
      <c r="GKW161" s="679"/>
      <c r="GKX161" s="679"/>
      <c r="GKY161" s="679"/>
      <c r="GKZ161" s="679"/>
      <c r="GLA161" s="679"/>
      <c r="GLB161" s="679"/>
      <c r="GLC161" s="679"/>
      <c r="GLD161" s="679"/>
      <c r="GLE161" s="679"/>
      <c r="GLF161" s="679"/>
      <c r="GLG161" s="679"/>
      <c r="GLH161" s="679"/>
      <c r="GLI161" s="679"/>
      <c r="GLJ161" s="679"/>
      <c r="GLK161" s="679"/>
      <c r="GLL161" s="679"/>
      <c r="GLM161" s="679"/>
      <c r="GLN161" s="679"/>
      <c r="GLO161" s="679"/>
      <c r="GLP161" s="679"/>
      <c r="GLQ161" s="679"/>
      <c r="GLR161" s="679"/>
      <c r="GLS161" s="679"/>
      <c r="GLT161" s="679"/>
      <c r="GLU161" s="679"/>
      <c r="GLV161" s="679"/>
      <c r="GLW161" s="679"/>
      <c r="GLX161" s="679"/>
      <c r="GLY161" s="679"/>
      <c r="GLZ161" s="679"/>
      <c r="GMA161" s="679"/>
      <c r="GMB161" s="679"/>
      <c r="GMC161" s="679"/>
      <c r="GMD161" s="679"/>
      <c r="GME161" s="679"/>
      <c r="GMF161" s="679"/>
      <c r="GMG161" s="679"/>
      <c r="GMH161" s="679"/>
      <c r="GMI161" s="679"/>
      <c r="GMJ161" s="679"/>
      <c r="GMK161" s="679"/>
      <c r="GML161" s="679"/>
      <c r="GMM161" s="679"/>
      <c r="GMN161" s="679"/>
      <c r="GMO161" s="679"/>
      <c r="GMP161" s="679"/>
      <c r="GMQ161" s="679"/>
      <c r="GMR161" s="679"/>
      <c r="GMS161" s="679"/>
      <c r="GMT161" s="679"/>
      <c r="GMU161" s="679"/>
      <c r="GMV161" s="679"/>
      <c r="GMW161" s="679"/>
      <c r="GMX161" s="679"/>
      <c r="GMY161" s="679"/>
      <c r="GMZ161" s="679"/>
      <c r="GNA161" s="679"/>
      <c r="GNB161" s="679"/>
      <c r="GNC161" s="679"/>
      <c r="GND161" s="679"/>
      <c r="GNE161" s="679"/>
      <c r="GNF161" s="679"/>
      <c r="GNG161" s="679"/>
      <c r="GNH161" s="679"/>
      <c r="GNI161" s="679"/>
      <c r="GNJ161" s="679"/>
      <c r="GNK161" s="679"/>
      <c r="GNL161" s="679"/>
      <c r="GNM161" s="679"/>
      <c r="GNN161" s="679"/>
      <c r="GNO161" s="679"/>
      <c r="GNP161" s="679"/>
      <c r="GNQ161" s="679"/>
      <c r="GNR161" s="679"/>
      <c r="GNS161" s="679"/>
      <c r="GNT161" s="679"/>
      <c r="GNU161" s="679"/>
      <c r="GNV161" s="679"/>
      <c r="GNW161" s="679"/>
      <c r="GNX161" s="679"/>
      <c r="GNY161" s="679"/>
      <c r="GNZ161" s="679"/>
      <c r="GOA161" s="679"/>
      <c r="GOB161" s="679"/>
      <c r="GOC161" s="679"/>
      <c r="GOD161" s="679"/>
      <c r="GOE161" s="679"/>
      <c r="GOF161" s="679"/>
      <c r="GOG161" s="679"/>
      <c r="GOH161" s="679"/>
      <c r="GOI161" s="679"/>
      <c r="GOJ161" s="679"/>
      <c r="GOK161" s="679"/>
      <c r="GOL161" s="679"/>
      <c r="GOM161" s="679"/>
      <c r="GON161" s="679"/>
      <c r="GOO161" s="679"/>
      <c r="GOP161" s="679"/>
      <c r="GOQ161" s="679"/>
      <c r="GOR161" s="679"/>
      <c r="GOS161" s="679"/>
      <c r="GOT161" s="679"/>
      <c r="GOU161" s="679"/>
      <c r="GOV161" s="679"/>
      <c r="GOW161" s="679"/>
      <c r="GOX161" s="679"/>
      <c r="GOY161" s="679"/>
      <c r="GOZ161" s="679"/>
      <c r="GPA161" s="679"/>
      <c r="GPB161" s="679"/>
      <c r="GPC161" s="679"/>
      <c r="GPD161" s="679"/>
      <c r="GPE161" s="679"/>
      <c r="GPF161" s="679"/>
      <c r="GPG161" s="679"/>
      <c r="GPH161" s="679"/>
      <c r="GPI161" s="679"/>
      <c r="GPJ161" s="679"/>
      <c r="GPK161" s="679"/>
      <c r="GPL161" s="679"/>
      <c r="GPM161" s="679"/>
      <c r="GPN161" s="679"/>
      <c r="GPO161" s="679"/>
      <c r="GPP161" s="679"/>
      <c r="GPQ161" s="679"/>
      <c r="GPR161" s="679"/>
      <c r="GPS161" s="679"/>
      <c r="GPT161" s="679"/>
      <c r="GPU161" s="679"/>
      <c r="GPV161" s="679"/>
      <c r="GPW161" s="679"/>
      <c r="GPX161" s="679"/>
      <c r="GPY161" s="679"/>
      <c r="GPZ161" s="679"/>
      <c r="GQA161" s="679"/>
      <c r="GQB161" s="679"/>
      <c r="GQC161" s="679"/>
      <c r="GQD161" s="679"/>
      <c r="GQE161" s="679"/>
      <c r="GQF161" s="679"/>
      <c r="GQG161" s="679"/>
      <c r="GQH161" s="679"/>
      <c r="GQI161" s="679"/>
      <c r="GQJ161" s="679"/>
      <c r="GQK161" s="679"/>
      <c r="GQL161" s="679"/>
      <c r="GQM161" s="679"/>
      <c r="GQN161" s="679"/>
      <c r="GQO161" s="679"/>
      <c r="GQP161" s="679"/>
      <c r="GQQ161" s="679"/>
      <c r="GQR161" s="679"/>
      <c r="GQS161" s="679"/>
      <c r="GQT161" s="679"/>
      <c r="GQU161" s="679"/>
      <c r="GQV161" s="679"/>
      <c r="GQW161" s="679"/>
      <c r="GQX161" s="679"/>
      <c r="GQY161" s="679"/>
      <c r="GQZ161" s="679"/>
      <c r="GRA161" s="679"/>
      <c r="GRB161" s="679"/>
      <c r="GRC161" s="679"/>
      <c r="GRD161" s="679"/>
      <c r="GRE161" s="679"/>
      <c r="GRF161" s="679"/>
      <c r="GRG161" s="679"/>
      <c r="GRH161" s="679"/>
      <c r="GRI161" s="679"/>
      <c r="GRJ161" s="679"/>
      <c r="GRK161" s="679"/>
      <c r="GRL161" s="679"/>
      <c r="GRM161" s="679"/>
      <c r="GRN161" s="679"/>
      <c r="GRO161" s="679"/>
      <c r="GRP161" s="679"/>
      <c r="GRQ161" s="679"/>
      <c r="GRR161" s="679"/>
      <c r="GRS161" s="679"/>
      <c r="GRT161" s="679"/>
      <c r="GRU161" s="679"/>
      <c r="GRV161" s="679"/>
      <c r="GRW161" s="679"/>
      <c r="GRX161" s="679"/>
      <c r="GRY161" s="679"/>
      <c r="GRZ161" s="679"/>
      <c r="GSA161" s="679"/>
      <c r="GSB161" s="679"/>
      <c r="GSC161" s="679"/>
      <c r="GSD161" s="679"/>
      <c r="GSE161" s="679"/>
      <c r="GSF161" s="679"/>
      <c r="GSG161" s="679"/>
      <c r="GSH161" s="679"/>
      <c r="GSI161" s="679"/>
      <c r="GSJ161" s="679"/>
      <c r="GSK161" s="679"/>
      <c r="GSL161" s="679"/>
      <c r="GSM161" s="679"/>
      <c r="GSN161" s="679"/>
      <c r="GSO161" s="679"/>
      <c r="GSP161" s="679"/>
      <c r="GSQ161" s="679"/>
      <c r="GSR161" s="679"/>
      <c r="GSS161" s="679"/>
      <c r="GST161" s="679"/>
      <c r="GSU161" s="679"/>
      <c r="GSV161" s="679"/>
      <c r="GSW161" s="679"/>
      <c r="GSX161" s="679"/>
      <c r="GSY161" s="679"/>
      <c r="GSZ161" s="679"/>
      <c r="GTA161" s="679"/>
      <c r="GTB161" s="679"/>
      <c r="GTC161" s="679"/>
      <c r="GTD161" s="679"/>
      <c r="GTE161" s="679"/>
      <c r="GTF161" s="679"/>
      <c r="GTG161" s="679"/>
      <c r="GTH161" s="679"/>
      <c r="GTI161" s="679"/>
      <c r="GTJ161" s="679"/>
      <c r="GTK161" s="679"/>
      <c r="GTL161" s="679"/>
      <c r="GTM161" s="679"/>
      <c r="GTN161" s="679"/>
      <c r="GTO161" s="679"/>
      <c r="GTP161" s="679"/>
      <c r="GTQ161" s="679"/>
      <c r="GTR161" s="679"/>
      <c r="GTS161" s="679"/>
      <c r="GTT161" s="679"/>
      <c r="GTU161" s="679"/>
      <c r="GTV161" s="679"/>
      <c r="GTW161" s="679"/>
      <c r="GTX161" s="679"/>
      <c r="GTY161" s="679"/>
      <c r="GTZ161" s="679"/>
      <c r="GUA161" s="679"/>
      <c r="GUB161" s="679"/>
      <c r="GUC161" s="679"/>
      <c r="GUD161" s="679"/>
      <c r="GUE161" s="679"/>
      <c r="GUF161" s="679"/>
      <c r="GUG161" s="679"/>
      <c r="GUH161" s="679"/>
      <c r="GUI161" s="679"/>
      <c r="GUJ161" s="679"/>
      <c r="GUK161" s="679"/>
      <c r="GUL161" s="679"/>
      <c r="GUM161" s="679"/>
      <c r="GUN161" s="679"/>
      <c r="GUO161" s="679"/>
      <c r="GUP161" s="679"/>
      <c r="GUQ161" s="679"/>
      <c r="GUR161" s="679"/>
      <c r="GUS161" s="679"/>
      <c r="GUT161" s="679"/>
      <c r="GUU161" s="679"/>
      <c r="GUV161" s="679"/>
      <c r="GUW161" s="679"/>
      <c r="GUX161" s="679"/>
      <c r="GUY161" s="679"/>
      <c r="GUZ161" s="679"/>
      <c r="GVA161" s="679"/>
      <c r="GVB161" s="679"/>
      <c r="GVC161" s="679"/>
      <c r="GVD161" s="679"/>
      <c r="GVE161" s="679"/>
      <c r="GVF161" s="679"/>
      <c r="GVG161" s="679"/>
      <c r="GVH161" s="679"/>
      <c r="GVI161" s="679"/>
      <c r="GVJ161" s="679"/>
      <c r="GVK161" s="679"/>
      <c r="GVL161" s="679"/>
      <c r="GVM161" s="679"/>
      <c r="GVN161" s="679"/>
      <c r="GVO161" s="679"/>
      <c r="GVP161" s="679"/>
      <c r="GVQ161" s="679"/>
      <c r="GVR161" s="679"/>
      <c r="GVS161" s="679"/>
      <c r="GVT161" s="679"/>
      <c r="GVU161" s="679"/>
      <c r="GVV161" s="679"/>
      <c r="GVW161" s="679"/>
      <c r="GVX161" s="679"/>
      <c r="GVY161" s="679"/>
      <c r="GVZ161" s="679"/>
      <c r="GWA161" s="679"/>
      <c r="GWB161" s="679"/>
      <c r="GWC161" s="679"/>
      <c r="GWD161" s="679"/>
      <c r="GWE161" s="679"/>
      <c r="GWF161" s="679"/>
      <c r="GWG161" s="679"/>
      <c r="GWH161" s="679"/>
      <c r="GWI161" s="679"/>
      <c r="GWJ161" s="679"/>
      <c r="GWK161" s="679"/>
      <c r="GWL161" s="679"/>
      <c r="GWM161" s="679"/>
      <c r="GWN161" s="679"/>
      <c r="GWO161" s="679"/>
      <c r="GWP161" s="679"/>
      <c r="GWQ161" s="679"/>
      <c r="GWR161" s="679"/>
      <c r="GWS161" s="679"/>
      <c r="GWT161" s="679"/>
      <c r="GWU161" s="679"/>
      <c r="GWV161" s="679"/>
      <c r="GWW161" s="679"/>
      <c r="GWX161" s="679"/>
      <c r="GWY161" s="679"/>
      <c r="GWZ161" s="679"/>
      <c r="GXA161" s="679"/>
      <c r="GXB161" s="679"/>
      <c r="GXC161" s="679"/>
      <c r="GXD161" s="679"/>
      <c r="GXE161" s="679"/>
      <c r="GXF161" s="679"/>
      <c r="GXG161" s="679"/>
      <c r="GXH161" s="679"/>
      <c r="GXI161" s="679"/>
      <c r="GXJ161" s="679"/>
      <c r="GXK161" s="679"/>
      <c r="GXL161" s="679"/>
      <c r="GXM161" s="679"/>
      <c r="GXN161" s="679"/>
      <c r="GXO161" s="679"/>
      <c r="GXP161" s="679"/>
      <c r="GXQ161" s="679"/>
      <c r="GXR161" s="679"/>
      <c r="GXS161" s="679"/>
      <c r="GXT161" s="679"/>
      <c r="GXU161" s="679"/>
      <c r="GXV161" s="679"/>
      <c r="GXW161" s="679"/>
      <c r="GXX161" s="679"/>
      <c r="GXY161" s="679"/>
      <c r="GXZ161" s="679"/>
      <c r="GYA161" s="679"/>
      <c r="GYB161" s="679"/>
      <c r="GYC161" s="679"/>
      <c r="GYD161" s="679"/>
      <c r="GYE161" s="679"/>
      <c r="GYF161" s="679"/>
      <c r="GYG161" s="679"/>
      <c r="GYH161" s="679"/>
      <c r="GYI161" s="679"/>
      <c r="GYJ161" s="679"/>
      <c r="GYK161" s="679"/>
      <c r="GYL161" s="679"/>
      <c r="GYM161" s="679"/>
      <c r="GYN161" s="679"/>
      <c r="GYO161" s="679"/>
      <c r="GYP161" s="679"/>
      <c r="GYQ161" s="679"/>
      <c r="GYR161" s="679"/>
      <c r="GYS161" s="679"/>
      <c r="GYT161" s="679"/>
      <c r="GYU161" s="679"/>
      <c r="GYV161" s="679"/>
      <c r="GYW161" s="679"/>
      <c r="GYX161" s="679"/>
      <c r="GYY161" s="679"/>
      <c r="GYZ161" s="679"/>
      <c r="GZA161" s="679"/>
      <c r="GZB161" s="679"/>
      <c r="GZC161" s="679"/>
      <c r="GZD161" s="679"/>
      <c r="GZE161" s="679"/>
      <c r="GZF161" s="679"/>
      <c r="GZG161" s="679"/>
      <c r="GZH161" s="679"/>
      <c r="GZI161" s="679"/>
      <c r="GZJ161" s="679"/>
      <c r="GZK161" s="679"/>
      <c r="GZL161" s="679"/>
      <c r="GZM161" s="679"/>
      <c r="GZN161" s="679"/>
      <c r="GZO161" s="679"/>
      <c r="GZP161" s="679"/>
      <c r="GZQ161" s="679"/>
      <c r="GZR161" s="679"/>
      <c r="GZS161" s="679"/>
      <c r="GZT161" s="679"/>
      <c r="GZU161" s="679"/>
      <c r="GZV161" s="679"/>
      <c r="GZW161" s="679"/>
      <c r="GZX161" s="679"/>
      <c r="GZY161" s="679"/>
      <c r="GZZ161" s="679"/>
      <c r="HAA161" s="679"/>
      <c r="HAB161" s="679"/>
      <c r="HAC161" s="679"/>
      <c r="HAD161" s="679"/>
      <c r="HAE161" s="679"/>
      <c r="HAF161" s="679"/>
      <c r="HAG161" s="679"/>
      <c r="HAH161" s="679"/>
      <c r="HAI161" s="679"/>
      <c r="HAJ161" s="679"/>
      <c r="HAK161" s="679"/>
      <c r="HAL161" s="679"/>
      <c r="HAM161" s="679"/>
      <c r="HAN161" s="679"/>
      <c r="HAO161" s="679"/>
      <c r="HAP161" s="679"/>
      <c r="HAQ161" s="679"/>
      <c r="HAR161" s="679"/>
      <c r="HAS161" s="679"/>
      <c r="HAT161" s="679"/>
      <c r="HAU161" s="679"/>
      <c r="HAV161" s="679"/>
      <c r="HAW161" s="679"/>
      <c r="HAX161" s="679"/>
      <c r="HAY161" s="679"/>
      <c r="HAZ161" s="679"/>
      <c r="HBA161" s="679"/>
      <c r="HBB161" s="679"/>
      <c r="HBC161" s="679"/>
      <c r="HBD161" s="679"/>
      <c r="HBE161" s="679"/>
      <c r="HBF161" s="679"/>
      <c r="HBG161" s="679"/>
      <c r="HBH161" s="679"/>
      <c r="HBI161" s="679"/>
      <c r="HBJ161" s="679"/>
      <c r="HBK161" s="679"/>
      <c r="HBL161" s="679"/>
      <c r="HBM161" s="679"/>
      <c r="HBN161" s="679"/>
      <c r="HBO161" s="679"/>
      <c r="HBP161" s="679"/>
      <c r="HBQ161" s="679"/>
      <c r="HBR161" s="679"/>
      <c r="HBS161" s="679"/>
      <c r="HBT161" s="679"/>
      <c r="HBU161" s="679"/>
      <c r="HBV161" s="679"/>
      <c r="HBW161" s="679"/>
      <c r="HBX161" s="679"/>
      <c r="HBY161" s="679"/>
      <c r="HBZ161" s="679"/>
      <c r="HCA161" s="679"/>
      <c r="HCB161" s="679"/>
      <c r="HCC161" s="679"/>
      <c r="HCD161" s="679"/>
      <c r="HCE161" s="679"/>
      <c r="HCF161" s="679"/>
      <c r="HCG161" s="679"/>
      <c r="HCH161" s="679"/>
      <c r="HCI161" s="679"/>
      <c r="HCJ161" s="679"/>
      <c r="HCK161" s="679"/>
      <c r="HCL161" s="679"/>
      <c r="HCM161" s="679"/>
      <c r="HCN161" s="679"/>
      <c r="HCO161" s="679"/>
      <c r="HCP161" s="679"/>
      <c r="HCQ161" s="679"/>
      <c r="HCR161" s="679"/>
      <c r="HCS161" s="679"/>
      <c r="HCT161" s="679"/>
      <c r="HCU161" s="679"/>
      <c r="HCV161" s="679"/>
      <c r="HCW161" s="679"/>
      <c r="HCX161" s="679"/>
      <c r="HCY161" s="679"/>
      <c r="HCZ161" s="679"/>
      <c r="HDA161" s="679"/>
      <c r="HDB161" s="679"/>
      <c r="HDC161" s="679"/>
      <c r="HDD161" s="679"/>
      <c r="HDE161" s="679"/>
      <c r="HDF161" s="679"/>
      <c r="HDG161" s="679"/>
      <c r="HDH161" s="679"/>
      <c r="HDI161" s="679"/>
      <c r="HDJ161" s="679"/>
      <c r="HDK161" s="679"/>
      <c r="HDL161" s="679"/>
      <c r="HDM161" s="679"/>
      <c r="HDN161" s="679"/>
      <c r="HDO161" s="679"/>
      <c r="HDP161" s="679"/>
      <c r="HDQ161" s="679"/>
      <c r="HDR161" s="679"/>
      <c r="HDS161" s="679"/>
      <c r="HDT161" s="679"/>
      <c r="HDU161" s="679"/>
      <c r="HDV161" s="679"/>
      <c r="HDW161" s="679"/>
      <c r="HDX161" s="679"/>
      <c r="HDY161" s="679"/>
      <c r="HDZ161" s="679"/>
      <c r="HEA161" s="679"/>
      <c r="HEB161" s="679"/>
      <c r="HEC161" s="679"/>
      <c r="HED161" s="679"/>
      <c r="HEE161" s="679"/>
      <c r="HEF161" s="679"/>
      <c r="HEG161" s="679"/>
      <c r="HEH161" s="679"/>
      <c r="HEI161" s="679"/>
      <c r="HEJ161" s="679"/>
      <c r="HEK161" s="679"/>
      <c r="HEL161" s="679"/>
      <c r="HEM161" s="679"/>
      <c r="HEN161" s="679"/>
      <c r="HEO161" s="679"/>
      <c r="HEP161" s="679"/>
      <c r="HEQ161" s="679"/>
      <c r="HER161" s="679"/>
      <c r="HES161" s="679"/>
      <c r="HET161" s="679"/>
      <c r="HEU161" s="679"/>
      <c r="HEV161" s="679"/>
      <c r="HEW161" s="679"/>
      <c r="HEX161" s="679"/>
      <c r="HEY161" s="679"/>
      <c r="HEZ161" s="679"/>
      <c r="HFA161" s="679"/>
      <c r="HFB161" s="679"/>
      <c r="HFC161" s="679"/>
      <c r="HFD161" s="679"/>
      <c r="HFE161" s="679"/>
      <c r="HFF161" s="679"/>
      <c r="HFG161" s="679"/>
      <c r="HFH161" s="679"/>
      <c r="HFI161" s="679"/>
      <c r="HFJ161" s="679"/>
      <c r="HFK161" s="679"/>
      <c r="HFL161" s="679"/>
      <c r="HFM161" s="679"/>
      <c r="HFN161" s="679"/>
      <c r="HFO161" s="679"/>
      <c r="HFP161" s="679"/>
      <c r="HFQ161" s="679"/>
      <c r="HFR161" s="679"/>
      <c r="HFS161" s="679"/>
      <c r="HFT161" s="679"/>
      <c r="HFU161" s="679"/>
      <c r="HFV161" s="679"/>
      <c r="HFW161" s="679"/>
      <c r="HFX161" s="679"/>
      <c r="HFY161" s="679"/>
      <c r="HFZ161" s="679"/>
      <c r="HGA161" s="679"/>
      <c r="HGB161" s="679"/>
      <c r="HGC161" s="679"/>
      <c r="HGD161" s="679"/>
      <c r="HGE161" s="679"/>
      <c r="HGF161" s="679"/>
      <c r="HGG161" s="679"/>
      <c r="HGH161" s="679"/>
      <c r="HGI161" s="679"/>
      <c r="HGJ161" s="679"/>
      <c r="HGK161" s="679"/>
      <c r="HGL161" s="679"/>
      <c r="HGM161" s="679"/>
      <c r="HGN161" s="679"/>
      <c r="HGO161" s="679"/>
      <c r="HGP161" s="679"/>
      <c r="HGQ161" s="679"/>
      <c r="HGR161" s="679"/>
      <c r="HGS161" s="679"/>
      <c r="HGT161" s="679"/>
      <c r="HGU161" s="679"/>
      <c r="HGV161" s="679"/>
      <c r="HGW161" s="679"/>
      <c r="HGX161" s="679"/>
      <c r="HGY161" s="679"/>
      <c r="HGZ161" s="679"/>
      <c r="HHA161" s="679"/>
      <c r="HHB161" s="679"/>
      <c r="HHC161" s="679"/>
      <c r="HHD161" s="679"/>
      <c r="HHE161" s="679"/>
      <c r="HHF161" s="679"/>
      <c r="HHG161" s="679"/>
      <c r="HHH161" s="679"/>
      <c r="HHI161" s="679"/>
      <c r="HHJ161" s="679"/>
      <c r="HHK161" s="679"/>
      <c r="HHL161" s="679"/>
      <c r="HHM161" s="679"/>
      <c r="HHN161" s="679"/>
      <c r="HHO161" s="679"/>
      <c r="HHP161" s="679"/>
      <c r="HHQ161" s="679"/>
      <c r="HHR161" s="679"/>
      <c r="HHS161" s="679"/>
      <c r="HHT161" s="679"/>
      <c r="HHU161" s="679"/>
      <c r="HHV161" s="679"/>
      <c r="HHW161" s="679"/>
      <c r="HHX161" s="679"/>
      <c r="HHY161" s="679"/>
      <c r="HHZ161" s="679"/>
      <c r="HIA161" s="679"/>
      <c r="HIB161" s="679"/>
      <c r="HIC161" s="679"/>
      <c r="HID161" s="679"/>
      <c r="HIE161" s="679"/>
      <c r="HIF161" s="679"/>
      <c r="HIG161" s="679"/>
      <c r="HIH161" s="679"/>
      <c r="HII161" s="679"/>
      <c r="HIJ161" s="679"/>
      <c r="HIK161" s="679"/>
      <c r="HIL161" s="679"/>
      <c r="HIM161" s="679"/>
      <c r="HIN161" s="679"/>
      <c r="HIO161" s="679"/>
      <c r="HIP161" s="679"/>
      <c r="HIQ161" s="679"/>
      <c r="HIR161" s="679"/>
      <c r="HIS161" s="679"/>
      <c r="HIT161" s="679"/>
      <c r="HIU161" s="679"/>
      <c r="HIV161" s="679"/>
      <c r="HIW161" s="679"/>
      <c r="HIX161" s="679"/>
      <c r="HIY161" s="679"/>
      <c r="HIZ161" s="679"/>
      <c r="HJA161" s="679"/>
      <c r="HJB161" s="679"/>
      <c r="HJC161" s="679"/>
      <c r="HJD161" s="679"/>
      <c r="HJE161" s="679"/>
      <c r="HJF161" s="679"/>
      <c r="HJG161" s="679"/>
      <c r="HJH161" s="679"/>
      <c r="HJI161" s="679"/>
      <c r="HJJ161" s="679"/>
      <c r="HJK161" s="679"/>
      <c r="HJL161" s="679"/>
      <c r="HJM161" s="679"/>
      <c r="HJN161" s="679"/>
      <c r="HJO161" s="679"/>
      <c r="HJP161" s="679"/>
      <c r="HJQ161" s="679"/>
      <c r="HJR161" s="679"/>
      <c r="HJS161" s="679"/>
      <c r="HJT161" s="679"/>
      <c r="HJU161" s="679"/>
      <c r="HJV161" s="679"/>
      <c r="HJW161" s="679"/>
      <c r="HJX161" s="679"/>
      <c r="HJY161" s="679"/>
      <c r="HJZ161" s="679"/>
      <c r="HKA161" s="679"/>
      <c r="HKB161" s="679"/>
      <c r="HKC161" s="679"/>
      <c r="HKD161" s="679"/>
      <c r="HKE161" s="679"/>
      <c r="HKF161" s="679"/>
      <c r="HKG161" s="679"/>
      <c r="HKH161" s="679"/>
      <c r="HKI161" s="679"/>
      <c r="HKJ161" s="679"/>
      <c r="HKK161" s="679"/>
      <c r="HKL161" s="679"/>
      <c r="HKM161" s="679"/>
      <c r="HKN161" s="679"/>
      <c r="HKO161" s="679"/>
      <c r="HKP161" s="679"/>
      <c r="HKQ161" s="679"/>
      <c r="HKR161" s="679"/>
      <c r="HKS161" s="679"/>
      <c r="HKT161" s="679"/>
      <c r="HKU161" s="679"/>
      <c r="HKV161" s="679"/>
      <c r="HKW161" s="679"/>
      <c r="HKX161" s="679"/>
      <c r="HKY161" s="679"/>
      <c r="HKZ161" s="679"/>
      <c r="HLA161" s="679"/>
      <c r="HLB161" s="679"/>
      <c r="HLC161" s="679"/>
      <c r="HLD161" s="679"/>
      <c r="HLE161" s="679"/>
      <c r="HLF161" s="679"/>
      <c r="HLG161" s="679"/>
      <c r="HLH161" s="679"/>
      <c r="HLI161" s="679"/>
      <c r="HLJ161" s="679"/>
      <c r="HLK161" s="679"/>
      <c r="HLL161" s="679"/>
      <c r="HLM161" s="679"/>
      <c r="HLN161" s="679"/>
      <c r="HLO161" s="679"/>
      <c r="HLP161" s="679"/>
      <c r="HLQ161" s="679"/>
      <c r="HLR161" s="679"/>
      <c r="HLS161" s="679"/>
      <c r="HLT161" s="679"/>
      <c r="HLU161" s="679"/>
      <c r="HLV161" s="679"/>
      <c r="HLW161" s="679"/>
      <c r="HLX161" s="679"/>
      <c r="HLY161" s="679"/>
      <c r="HLZ161" s="679"/>
      <c r="HMA161" s="679"/>
      <c r="HMB161" s="679"/>
      <c r="HMC161" s="679"/>
      <c r="HMD161" s="679"/>
      <c r="HME161" s="679"/>
      <c r="HMF161" s="679"/>
      <c r="HMG161" s="679"/>
      <c r="HMH161" s="679"/>
      <c r="HMI161" s="679"/>
      <c r="HMJ161" s="679"/>
      <c r="HMK161" s="679"/>
      <c r="HML161" s="679"/>
      <c r="HMM161" s="679"/>
      <c r="HMN161" s="679"/>
      <c r="HMO161" s="679"/>
      <c r="HMP161" s="679"/>
      <c r="HMQ161" s="679"/>
      <c r="HMR161" s="679"/>
      <c r="HMS161" s="679"/>
      <c r="HMT161" s="679"/>
      <c r="HMU161" s="679"/>
      <c r="HMV161" s="679"/>
      <c r="HMW161" s="679"/>
      <c r="HMX161" s="679"/>
      <c r="HMY161" s="679"/>
      <c r="HMZ161" s="679"/>
      <c r="HNA161" s="679"/>
      <c r="HNB161" s="679"/>
      <c r="HNC161" s="679"/>
      <c r="HND161" s="679"/>
      <c r="HNE161" s="679"/>
      <c r="HNF161" s="679"/>
      <c r="HNG161" s="679"/>
      <c r="HNH161" s="679"/>
      <c r="HNI161" s="679"/>
      <c r="HNJ161" s="679"/>
      <c r="HNK161" s="679"/>
      <c r="HNL161" s="679"/>
      <c r="HNM161" s="679"/>
      <c r="HNN161" s="679"/>
      <c r="HNO161" s="679"/>
      <c r="HNP161" s="679"/>
      <c r="HNQ161" s="679"/>
      <c r="HNR161" s="679"/>
      <c r="HNS161" s="679"/>
      <c r="HNT161" s="679"/>
      <c r="HNU161" s="679"/>
      <c r="HNV161" s="679"/>
      <c r="HNW161" s="679"/>
      <c r="HNX161" s="679"/>
      <c r="HNY161" s="679"/>
      <c r="HNZ161" s="679"/>
      <c r="HOA161" s="679"/>
      <c r="HOB161" s="679"/>
      <c r="HOC161" s="679"/>
      <c r="HOD161" s="679"/>
      <c r="HOE161" s="679"/>
      <c r="HOF161" s="679"/>
      <c r="HOG161" s="679"/>
      <c r="HOH161" s="679"/>
      <c r="HOI161" s="679"/>
      <c r="HOJ161" s="679"/>
      <c r="HOK161" s="679"/>
      <c r="HOL161" s="679"/>
      <c r="HOM161" s="679"/>
      <c r="HON161" s="679"/>
      <c r="HOO161" s="679"/>
      <c r="HOP161" s="679"/>
      <c r="HOQ161" s="679"/>
      <c r="HOR161" s="679"/>
      <c r="HOS161" s="679"/>
      <c r="HOT161" s="679"/>
      <c r="HOU161" s="679"/>
      <c r="HOV161" s="679"/>
      <c r="HOW161" s="679"/>
      <c r="HOX161" s="679"/>
      <c r="HOY161" s="679"/>
      <c r="HOZ161" s="679"/>
      <c r="HPA161" s="679"/>
      <c r="HPB161" s="679"/>
      <c r="HPC161" s="679"/>
      <c r="HPD161" s="679"/>
      <c r="HPE161" s="679"/>
      <c r="HPF161" s="679"/>
      <c r="HPG161" s="679"/>
      <c r="HPH161" s="679"/>
      <c r="HPI161" s="679"/>
      <c r="HPJ161" s="679"/>
      <c r="HPK161" s="679"/>
      <c r="HPL161" s="679"/>
      <c r="HPM161" s="679"/>
      <c r="HPN161" s="679"/>
      <c r="HPO161" s="679"/>
      <c r="HPP161" s="679"/>
      <c r="HPQ161" s="679"/>
      <c r="HPR161" s="679"/>
      <c r="HPS161" s="679"/>
      <c r="HPT161" s="679"/>
      <c r="HPU161" s="679"/>
      <c r="HPV161" s="679"/>
      <c r="HPW161" s="679"/>
      <c r="HPX161" s="679"/>
      <c r="HPY161" s="679"/>
      <c r="HPZ161" s="679"/>
      <c r="HQA161" s="679"/>
      <c r="HQB161" s="679"/>
      <c r="HQC161" s="679"/>
      <c r="HQD161" s="679"/>
      <c r="HQE161" s="679"/>
      <c r="HQF161" s="679"/>
      <c r="HQG161" s="679"/>
      <c r="HQH161" s="679"/>
      <c r="HQI161" s="679"/>
      <c r="HQJ161" s="679"/>
      <c r="HQK161" s="679"/>
      <c r="HQL161" s="679"/>
      <c r="HQM161" s="679"/>
      <c r="HQN161" s="679"/>
      <c r="HQO161" s="679"/>
      <c r="HQP161" s="679"/>
      <c r="HQQ161" s="679"/>
      <c r="HQR161" s="679"/>
      <c r="HQS161" s="679"/>
      <c r="HQT161" s="679"/>
      <c r="HQU161" s="679"/>
      <c r="HQV161" s="679"/>
      <c r="HQW161" s="679"/>
      <c r="HQX161" s="679"/>
      <c r="HQY161" s="679"/>
      <c r="HQZ161" s="679"/>
      <c r="HRA161" s="679"/>
      <c r="HRB161" s="679"/>
      <c r="HRC161" s="679"/>
      <c r="HRD161" s="679"/>
      <c r="HRE161" s="679"/>
      <c r="HRF161" s="679"/>
      <c r="HRG161" s="679"/>
      <c r="HRH161" s="679"/>
      <c r="HRI161" s="679"/>
      <c r="HRJ161" s="679"/>
      <c r="HRK161" s="679"/>
      <c r="HRL161" s="679"/>
      <c r="HRM161" s="679"/>
      <c r="HRN161" s="679"/>
      <c r="HRO161" s="679"/>
      <c r="HRP161" s="679"/>
      <c r="HRQ161" s="679"/>
      <c r="HRR161" s="679"/>
      <c r="HRS161" s="679"/>
      <c r="HRT161" s="679"/>
      <c r="HRU161" s="679"/>
      <c r="HRV161" s="679"/>
      <c r="HRW161" s="679"/>
      <c r="HRX161" s="679"/>
      <c r="HRY161" s="679"/>
      <c r="HRZ161" s="679"/>
      <c r="HSA161" s="679"/>
      <c r="HSB161" s="679"/>
      <c r="HSC161" s="679"/>
      <c r="HSD161" s="679"/>
      <c r="HSE161" s="679"/>
      <c r="HSF161" s="679"/>
      <c r="HSG161" s="679"/>
      <c r="HSH161" s="679"/>
      <c r="HSI161" s="679"/>
      <c r="HSJ161" s="679"/>
      <c r="HSK161" s="679"/>
      <c r="HSL161" s="679"/>
      <c r="HSM161" s="679"/>
      <c r="HSN161" s="679"/>
      <c r="HSO161" s="679"/>
      <c r="HSP161" s="679"/>
      <c r="HSQ161" s="679"/>
      <c r="HSR161" s="679"/>
      <c r="HSS161" s="679"/>
      <c r="HST161" s="679"/>
      <c r="HSU161" s="679"/>
      <c r="HSV161" s="679"/>
      <c r="HSW161" s="679"/>
      <c r="HSX161" s="679"/>
      <c r="HSY161" s="679"/>
      <c r="HSZ161" s="679"/>
      <c r="HTA161" s="679"/>
      <c r="HTB161" s="679"/>
      <c r="HTC161" s="679"/>
      <c r="HTD161" s="679"/>
      <c r="HTE161" s="679"/>
      <c r="HTF161" s="679"/>
      <c r="HTG161" s="679"/>
      <c r="HTH161" s="679"/>
      <c r="HTI161" s="679"/>
      <c r="HTJ161" s="679"/>
      <c r="HTK161" s="679"/>
      <c r="HTL161" s="679"/>
      <c r="HTM161" s="679"/>
      <c r="HTN161" s="679"/>
      <c r="HTO161" s="679"/>
      <c r="HTP161" s="679"/>
      <c r="HTQ161" s="679"/>
      <c r="HTR161" s="679"/>
      <c r="HTS161" s="679"/>
      <c r="HTT161" s="679"/>
      <c r="HTU161" s="679"/>
      <c r="HTV161" s="679"/>
      <c r="HTW161" s="679"/>
      <c r="HTX161" s="679"/>
      <c r="HTY161" s="679"/>
      <c r="HTZ161" s="679"/>
      <c r="HUA161" s="679"/>
      <c r="HUB161" s="679"/>
      <c r="HUC161" s="679"/>
      <c r="HUD161" s="679"/>
      <c r="HUE161" s="679"/>
      <c r="HUF161" s="679"/>
      <c r="HUG161" s="679"/>
      <c r="HUH161" s="679"/>
      <c r="HUI161" s="679"/>
      <c r="HUJ161" s="679"/>
      <c r="HUK161" s="679"/>
      <c r="HUL161" s="679"/>
      <c r="HUM161" s="679"/>
      <c r="HUN161" s="679"/>
      <c r="HUO161" s="679"/>
      <c r="HUP161" s="679"/>
      <c r="HUQ161" s="679"/>
      <c r="HUR161" s="679"/>
      <c r="HUS161" s="679"/>
      <c r="HUT161" s="679"/>
      <c r="HUU161" s="679"/>
      <c r="HUV161" s="679"/>
      <c r="HUW161" s="679"/>
      <c r="HUX161" s="679"/>
      <c r="HUY161" s="679"/>
      <c r="HUZ161" s="679"/>
      <c r="HVA161" s="679"/>
      <c r="HVB161" s="679"/>
      <c r="HVC161" s="679"/>
      <c r="HVD161" s="679"/>
      <c r="HVE161" s="679"/>
      <c r="HVF161" s="679"/>
      <c r="HVG161" s="679"/>
      <c r="HVH161" s="679"/>
      <c r="HVI161" s="679"/>
      <c r="HVJ161" s="679"/>
      <c r="HVK161" s="679"/>
      <c r="HVL161" s="679"/>
      <c r="HVM161" s="679"/>
      <c r="HVN161" s="679"/>
      <c r="HVO161" s="679"/>
      <c r="HVP161" s="679"/>
      <c r="HVQ161" s="679"/>
      <c r="HVR161" s="679"/>
      <c r="HVS161" s="679"/>
      <c r="HVT161" s="679"/>
      <c r="HVU161" s="679"/>
      <c r="HVV161" s="679"/>
      <c r="HVW161" s="679"/>
      <c r="HVX161" s="679"/>
      <c r="HVY161" s="679"/>
      <c r="HVZ161" s="679"/>
      <c r="HWA161" s="679"/>
      <c r="HWB161" s="679"/>
      <c r="HWC161" s="679"/>
      <c r="HWD161" s="679"/>
      <c r="HWE161" s="679"/>
      <c r="HWF161" s="679"/>
      <c r="HWG161" s="679"/>
      <c r="HWH161" s="679"/>
      <c r="HWI161" s="679"/>
      <c r="HWJ161" s="679"/>
      <c r="HWK161" s="679"/>
      <c r="HWL161" s="679"/>
      <c r="HWM161" s="679"/>
      <c r="HWN161" s="679"/>
      <c r="HWO161" s="679"/>
      <c r="HWP161" s="679"/>
      <c r="HWQ161" s="679"/>
      <c r="HWR161" s="679"/>
      <c r="HWS161" s="679"/>
      <c r="HWT161" s="679"/>
      <c r="HWU161" s="679"/>
      <c r="HWV161" s="679"/>
      <c r="HWW161" s="679"/>
      <c r="HWX161" s="679"/>
      <c r="HWY161" s="679"/>
      <c r="HWZ161" s="679"/>
      <c r="HXA161" s="679"/>
      <c r="HXB161" s="679"/>
      <c r="HXC161" s="679"/>
      <c r="HXD161" s="679"/>
      <c r="HXE161" s="679"/>
      <c r="HXF161" s="679"/>
      <c r="HXG161" s="679"/>
      <c r="HXH161" s="679"/>
      <c r="HXI161" s="679"/>
      <c r="HXJ161" s="679"/>
      <c r="HXK161" s="679"/>
      <c r="HXL161" s="679"/>
      <c r="HXM161" s="679"/>
      <c r="HXN161" s="679"/>
      <c r="HXO161" s="679"/>
      <c r="HXP161" s="679"/>
      <c r="HXQ161" s="679"/>
      <c r="HXR161" s="679"/>
      <c r="HXS161" s="679"/>
      <c r="HXT161" s="679"/>
      <c r="HXU161" s="679"/>
      <c r="HXV161" s="679"/>
      <c r="HXW161" s="679"/>
      <c r="HXX161" s="679"/>
      <c r="HXY161" s="679"/>
      <c r="HXZ161" s="679"/>
      <c r="HYA161" s="679"/>
      <c r="HYB161" s="679"/>
      <c r="HYC161" s="679"/>
      <c r="HYD161" s="679"/>
      <c r="HYE161" s="679"/>
      <c r="HYF161" s="679"/>
      <c r="HYG161" s="679"/>
      <c r="HYH161" s="679"/>
      <c r="HYI161" s="679"/>
      <c r="HYJ161" s="679"/>
      <c r="HYK161" s="679"/>
      <c r="HYL161" s="679"/>
      <c r="HYM161" s="679"/>
      <c r="HYN161" s="679"/>
      <c r="HYO161" s="679"/>
      <c r="HYP161" s="679"/>
      <c r="HYQ161" s="679"/>
      <c r="HYR161" s="679"/>
      <c r="HYS161" s="679"/>
      <c r="HYT161" s="679"/>
      <c r="HYU161" s="679"/>
      <c r="HYV161" s="679"/>
      <c r="HYW161" s="679"/>
      <c r="HYX161" s="679"/>
      <c r="HYY161" s="679"/>
      <c r="HYZ161" s="679"/>
      <c r="HZA161" s="679"/>
      <c r="HZB161" s="679"/>
      <c r="HZC161" s="679"/>
      <c r="HZD161" s="679"/>
      <c r="HZE161" s="679"/>
      <c r="HZF161" s="679"/>
      <c r="HZG161" s="679"/>
      <c r="HZH161" s="679"/>
      <c r="HZI161" s="679"/>
      <c r="HZJ161" s="679"/>
      <c r="HZK161" s="679"/>
      <c r="HZL161" s="679"/>
      <c r="HZM161" s="679"/>
      <c r="HZN161" s="679"/>
      <c r="HZO161" s="679"/>
      <c r="HZP161" s="679"/>
      <c r="HZQ161" s="679"/>
      <c r="HZR161" s="679"/>
      <c r="HZS161" s="679"/>
      <c r="HZT161" s="679"/>
      <c r="HZU161" s="679"/>
      <c r="HZV161" s="679"/>
      <c r="HZW161" s="679"/>
      <c r="HZX161" s="679"/>
      <c r="HZY161" s="679"/>
      <c r="HZZ161" s="679"/>
      <c r="IAA161" s="679"/>
      <c r="IAB161" s="679"/>
      <c r="IAC161" s="679"/>
      <c r="IAD161" s="679"/>
      <c r="IAE161" s="679"/>
      <c r="IAF161" s="679"/>
      <c r="IAG161" s="679"/>
      <c r="IAH161" s="679"/>
      <c r="IAI161" s="679"/>
      <c r="IAJ161" s="679"/>
      <c r="IAK161" s="679"/>
      <c r="IAL161" s="679"/>
      <c r="IAM161" s="679"/>
      <c r="IAN161" s="679"/>
      <c r="IAO161" s="679"/>
      <c r="IAP161" s="679"/>
      <c r="IAQ161" s="679"/>
      <c r="IAR161" s="679"/>
      <c r="IAS161" s="679"/>
      <c r="IAT161" s="679"/>
      <c r="IAU161" s="679"/>
      <c r="IAV161" s="679"/>
      <c r="IAW161" s="679"/>
      <c r="IAX161" s="679"/>
      <c r="IAY161" s="679"/>
      <c r="IAZ161" s="679"/>
      <c r="IBA161" s="679"/>
      <c r="IBB161" s="679"/>
      <c r="IBC161" s="679"/>
      <c r="IBD161" s="679"/>
      <c r="IBE161" s="679"/>
      <c r="IBF161" s="679"/>
      <c r="IBG161" s="679"/>
      <c r="IBH161" s="679"/>
      <c r="IBI161" s="679"/>
      <c r="IBJ161" s="679"/>
      <c r="IBK161" s="679"/>
      <c r="IBL161" s="679"/>
      <c r="IBM161" s="679"/>
      <c r="IBN161" s="679"/>
      <c r="IBO161" s="679"/>
      <c r="IBP161" s="679"/>
      <c r="IBQ161" s="679"/>
      <c r="IBR161" s="679"/>
      <c r="IBS161" s="679"/>
      <c r="IBT161" s="679"/>
      <c r="IBU161" s="679"/>
      <c r="IBV161" s="679"/>
      <c r="IBW161" s="679"/>
      <c r="IBX161" s="679"/>
      <c r="IBY161" s="679"/>
      <c r="IBZ161" s="679"/>
      <c r="ICA161" s="679"/>
      <c r="ICB161" s="679"/>
      <c r="ICC161" s="679"/>
      <c r="ICD161" s="679"/>
      <c r="ICE161" s="679"/>
      <c r="ICF161" s="679"/>
      <c r="ICG161" s="679"/>
      <c r="ICH161" s="679"/>
      <c r="ICI161" s="679"/>
      <c r="ICJ161" s="679"/>
      <c r="ICK161" s="679"/>
      <c r="ICL161" s="679"/>
      <c r="ICM161" s="679"/>
      <c r="ICN161" s="679"/>
      <c r="ICO161" s="679"/>
      <c r="ICP161" s="679"/>
      <c r="ICQ161" s="679"/>
      <c r="ICR161" s="679"/>
      <c r="ICS161" s="679"/>
      <c r="ICT161" s="679"/>
      <c r="ICU161" s="679"/>
      <c r="ICV161" s="679"/>
      <c r="ICW161" s="679"/>
      <c r="ICX161" s="679"/>
      <c r="ICY161" s="679"/>
      <c r="ICZ161" s="679"/>
      <c r="IDA161" s="679"/>
      <c r="IDB161" s="679"/>
      <c r="IDC161" s="679"/>
      <c r="IDD161" s="679"/>
      <c r="IDE161" s="679"/>
      <c r="IDF161" s="679"/>
      <c r="IDG161" s="679"/>
      <c r="IDH161" s="679"/>
      <c r="IDI161" s="679"/>
      <c r="IDJ161" s="679"/>
      <c r="IDK161" s="679"/>
      <c r="IDL161" s="679"/>
      <c r="IDM161" s="679"/>
      <c r="IDN161" s="679"/>
      <c r="IDO161" s="679"/>
      <c r="IDP161" s="679"/>
      <c r="IDQ161" s="679"/>
      <c r="IDR161" s="679"/>
      <c r="IDS161" s="679"/>
      <c r="IDT161" s="679"/>
      <c r="IDU161" s="679"/>
      <c r="IDV161" s="679"/>
      <c r="IDW161" s="679"/>
      <c r="IDX161" s="679"/>
      <c r="IDY161" s="679"/>
      <c r="IDZ161" s="679"/>
      <c r="IEA161" s="679"/>
      <c r="IEB161" s="679"/>
      <c r="IEC161" s="679"/>
      <c r="IED161" s="679"/>
      <c r="IEE161" s="679"/>
      <c r="IEF161" s="679"/>
      <c r="IEG161" s="679"/>
      <c r="IEH161" s="679"/>
      <c r="IEI161" s="679"/>
      <c r="IEJ161" s="679"/>
      <c r="IEK161" s="679"/>
      <c r="IEL161" s="679"/>
      <c r="IEM161" s="679"/>
      <c r="IEN161" s="679"/>
      <c r="IEO161" s="679"/>
      <c r="IEP161" s="679"/>
      <c r="IEQ161" s="679"/>
      <c r="IER161" s="679"/>
      <c r="IES161" s="679"/>
      <c r="IET161" s="679"/>
      <c r="IEU161" s="679"/>
      <c r="IEV161" s="679"/>
      <c r="IEW161" s="679"/>
      <c r="IEX161" s="679"/>
      <c r="IEY161" s="679"/>
      <c r="IEZ161" s="679"/>
      <c r="IFA161" s="679"/>
      <c r="IFB161" s="679"/>
      <c r="IFC161" s="679"/>
      <c r="IFD161" s="679"/>
      <c r="IFE161" s="679"/>
      <c r="IFF161" s="679"/>
      <c r="IFG161" s="679"/>
      <c r="IFH161" s="679"/>
      <c r="IFI161" s="679"/>
      <c r="IFJ161" s="679"/>
      <c r="IFK161" s="679"/>
      <c r="IFL161" s="679"/>
      <c r="IFM161" s="679"/>
      <c r="IFN161" s="679"/>
      <c r="IFO161" s="679"/>
      <c r="IFP161" s="679"/>
      <c r="IFQ161" s="679"/>
      <c r="IFR161" s="679"/>
      <c r="IFS161" s="679"/>
      <c r="IFT161" s="679"/>
      <c r="IFU161" s="679"/>
      <c r="IFV161" s="679"/>
      <c r="IFW161" s="679"/>
      <c r="IFX161" s="679"/>
      <c r="IFY161" s="679"/>
      <c r="IFZ161" s="679"/>
      <c r="IGA161" s="679"/>
      <c r="IGB161" s="679"/>
      <c r="IGC161" s="679"/>
      <c r="IGD161" s="679"/>
      <c r="IGE161" s="679"/>
      <c r="IGF161" s="679"/>
      <c r="IGG161" s="679"/>
      <c r="IGH161" s="679"/>
      <c r="IGI161" s="679"/>
      <c r="IGJ161" s="679"/>
      <c r="IGK161" s="679"/>
      <c r="IGL161" s="679"/>
      <c r="IGM161" s="679"/>
      <c r="IGN161" s="679"/>
      <c r="IGO161" s="679"/>
      <c r="IGP161" s="679"/>
      <c r="IGQ161" s="679"/>
      <c r="IGR161" s="679"/>
      <c r="IGS161" s="679"/>
      <c r="IGT161" s="679"/>
      <c r="IGU161" s="679"/>
      <c r="IGV161" s="679"/>
      <c r="IGW161" s="679"/>
      <c r="IGX161" s="679"/>
      <c r="IGY161" s="679"/>
      <c r="IGZ161" s="679"/>
      <c r="IHA161" s="679"/>
      <c r="IHB161" s="679"/>
      <c r="IHC161" s="679"/>
      <c r="IHD161" s="679"/>
      <c r="IHE161" s="679"/>
      <c r="IHF161" s="679"/>
      <c r="IHG161" s="679"/>
      <c r="IHH161" s="679"/>
      <c r="IHI161" s="679"/>
      <c r="IHJ161" s="679"/>
      <c r="IHK161" s="679"/>
      <c r="IHL161" s="679"/>
      <c r="IHM161" s="679"/>
      <c r="IHN161" s="679"/>
      <c r="IHO161" s="679"/>
      <c r="IHP161" s="679"/>
      <c r="IHQ161" s="679"/>
      <c r="IHR161" s="679"/>
      <c r="IHS161" s="679"/>
      <c r="IHT161" s="679"/>
      <c r="IHU161" s="679"/>
      <c r="IHV161" s="679"/>
      <c r="IHW161" s="679"/>
      <c r="IHX161" s="679"/>
      <c r="IHY161" s="679"/>
      <c r="IHZ161" s="679"/>
      <c r="IIA161" s="679"/>
      <c r="IIB161" s="679"/>
      <c r="IIC161" s="679"/>
      <c r="IID161" s="679"/>
      <c r="IIE161" s="679"/>
      <c r="IIF161" s="679"/>
      <c r="IIG161" s="679"/>
      <c r="IIH161" s="679"/>
      <c r="III161" s="679"/>
      <c r="IIJ161" s="679"/>
      <c r="IIK161" s="679"/>
      <c r="IIL161" s="679"/>
      <c r="IIM161" s="679"/>
      <c r="IIN161" s="679"/>
      <c r="IIO161" s="679"/>
      <c r="IIP161" s="679"/>
      <c r="IIQ161" s="679"/>
      <c r="IIR161" s="679"/>
      <c r="IIS161" s="679"/>
      <c r="IIT161" s="679"/>
      <c r="IIU161" s="679"/>
      <c r="IIV161" s="679"/>
      <c r="IIW161" s="679"/>
      <c r="IIX161" s="679"/>
      <c r="IIY161" s="679"/>
      <c r="IIZ161" s="679"/>
      <c r="IJA161" s="679"/>
      <c r="IJB161" s="679"/>
      <c r="IJC161" s="679"/>
      <c r="IJD161" s="679"/>
      <c r="IJE161" s="679"/>
      <c r="IJF161" s="679"/>
      <c r="IJG161" s="679"/>
      <c r="IJH161" s="679"/>
      <c r="IJI161" s="679"/>
      <c r="IJJ161" s="679"/>
      <c r="IJK161" s="679"/>
      <c r="IJL161" s="679"/>
      <c r="IJM161" s="679"/>
      <c r="IJN161" s="679"/>
      <c r="IJO161" s="679"/>
      <c r="IJP161" s="679"/>
      <c r="IJQ161" s="679"/>
      <c r="IJR161" s="679"/>
      <c r="IJS161" s="679"/>
      <c r="IJT161" s="679"/>
      <c r="IJU161" s="679"/>
      <c r="IJV161" s="679"/>
      <c r="IJW161" s="679"/>
      <c r="IJX161" s="679"/>
      <c r="IJY161" s="679"/>
      <c r="IJZ161" s="679"/>
      <c r="IKA161" s="679"/>
      <c r="IKB161" s="679"/>
      <c r="IKC161" s="679"/>
      <c r="IKD161" s="679"/>
      <c r="IKE161" s="679"/>
      <c r="IKF161" s="679"/>
      <c r="IKG161" s="679"/>
      <c r="IKH161" s="679"/>
      <c r="IKI161" s="679"/>
      <c r="IKJ161" s="679"/>
      <c r="IKK161" s="679"/>
      <c r="IKL161" s="679"/>
      <c r="IKM161" s="679"/>
      <c r="IKN161" s="679"/>
      <c r="IKO161" s="679"/>
      <c r="IKP161" s="679"/>
      <c r="IKQ161" s="679"/>
      <c r="IKR161" s="679"/>
      <c r="IKS161" s="679"/>
      <c r="IKT161" s="679"/>
      <c r="IKU161" s="679"/>
      <c r="IKV161" s="679"/>
      <c r="IKW161" s="679"/>
      <c r="IKX161" s="679"/>
      <c r="IKY161" s="679"/>
      <c r="IKZ161" s="679"/>
      <c r="ILA161" s="679"/>
      <c r="ILB161" s="679"/>
      <c r="ILC161" s="679"/>
      <c r="ILD161" s="679"/>
      <c r="ILE161" s="679"/>
      <c r="ILF161" s="679"/>
      <c r="ILG161" s="679"/>
      <c r="ILH161" s="679"/>
      <c r="ILI161" s="679"/>
      <c r="ILJ161" s="679"/>
      <c r="ILK161" s="679"/>
      <c r="ILL161" s="679"/>
      <c r="ILM161" s="679"/>
      <c r="ILN161" s="679"/>
      <c r="ILO161" s="679"/>
      <c r="ILP161" s="679"/>
      <c r="ILQ161" s="679"/>
      <c r="ILR161" s="679"/>
      <c r="ILS161" s="679"/>
      <c r="ILT161" s="679"/>
      <c r="ILU161" s="679"/>
      <c r="ILV161" s="679"/>
      <c r="ILW161" s="679"/>
      <c r="ILX161" s="679"/>
      <c r="ILY161" s="679"/>
      <c r="ILZ161" s="679"/>
      <c r="IMA161" s="679"/>
      <c r="IMB161" s="679"/>
      <c r="IMC161" s="679"/>
      <c r="IMD161" s="679"/>
      <c r="IME161" s="679"/>
      <c r="IMF161" s="679"/>
      <c r="IMG161" s="679"/>
      <c r="IMH161" s="679"/>
      <c r="IMI161" s="679"/>
      <c r="IMJ161" s="679"/>
      <c r="IMK161" s="679"/>
      <c r="IML161" s="679"/>
      <c r="IMM161" s="679"/>
      <c r="IMN161" s="679"/>
      <c r="IMO161" s="679"/>
      <c r="IMP161" s="679"/>
      <c r="IMQ161" s="679"/>
      <c r="IMR161" s="679"/>
      <c r="IMS161" s="679"/>
      <c r="IMT161" s="679"/>
      <c r="IMU161" s="679"/>
      <c r="IMV161" s="679"/>
      <c r="IMW161" s="679"/>
      <c r="IMX161" s="679"/>
      <c r="IMY161" s="679"/>
      <c r="IMZ161" s="679"/>
      <c r="INA161" s="679"/>
      <c r="INB161" s="679"/>
      <c r="INC161" s="679"/>
      <c r="IND161" s="679"/>
      <c r="INE161" s="679"/>
      <c r="INF161" s="679"/>
      <c r="ING161" s="679"/>
      <c r="INH161" s="679"/>
      <c r="INI161" s="679"/>
      <c r="INJ161" s="679"/>
      <c r="INK161" s="679"/>
      <c r="INL161" s="679"/>
      <c r="INM161" s="679"/>
      <c r="INN161" s="679"/>
      <c r="INO161" s="679"/>
      <c r="INP161" s="679"/>
      <c r="INQ161" s="679"/>
      <c r="INR161" s="679"/>
      <c r="INS161" s="679"/>
      <c r="INT161" s="679"/>
      <c r="INU161" s="679"/>
      <c r="INV161" s="679"/>
      <c r="INW161" s="679"/>
      <c r="INX161" s="679"/>
      <c r="INY161" s="679"/>
      <c r="INZ161" s="679"/>
      <c r="IOA161" s="679"/>
      <c r="IOB161" s="679"/>
      <c r="IOC161" s="679"/>
      <c r="IOD161" s="679"/>
      <c r="IOE161" s="679"/>
      <c r="IOF161" s="679"/>
      <c r="IOG161" s="679"/>
      <c r="IOH161" s="679"/>
      <c r="IOI161" s="679"/>
      <c r="IOJ161" s="679"/>
      <c r="IOK161" s="679"/>
      <c r="IOL161" s="679"/>
      <c r="IOM161" s="679"/>
      <c r="ION161" s="679"/>
      <c r="IOO161" s="679"/>
      <c r="IOP161" s="679"/>
      <c r="IOQ161" s="679"/>
      <c r="IOR161" s="679"/>
      <c r="IOS161" s="679"/>
      <c r="IOT161" s="679"/>
      <c r="IOU161" s="679"/>
      <c r="IOV161" s="679"/>
      <c r="IOW161" s="679"/>
      <c r="IOX161" s="679"/>
      <c r="IOY161" s="679"/>
      <c r="IOZ161" s="679"/>
      <c r="IPA161" s="679"/>
      <c r="IPB161" s="679"/>
      <c r="IPC161" s="679"/>
      <c r="IPD161" s="679"/>
      <c r="IPE161" s="679"/>
      <c r="IPF161" s="679"/>
      <c r="IPG161" s="679"/>
      <c r="IPH161" s="679"/>
      <c r="IPI161" s="679"/>
      <c r="IPJ161" s="679"/>
      <c r="IPK161" s="679"/>
      <c r="IPL161" s="679"/>
      <c r="IPM161" s="679"/>
      <c r="IPN161" s="679"/>
      <c r="IPO161" s="679"/>
      <c r="IPP161" s="679"/>
      <c r="IPQ161" s="679"/>
      <c r="IPR161" s="679"/>
      <c r="IPS161" s="679"/>
      <c r="IPT161" s="679"/>
      <c r="IPU161" s="679"/>
      <c r="IPV161" s="679"/>
      <c r="IPW161" s="679"/>
      <c r="IPX161" s="679"/>
      <c r="IPY161" s="679"/>
      <c r="IPZ161" s="679"/>
      <c r="IQA161" s="679"/>
      <c r="IQB161" s="679"/>
      <c r="IQC161" s="679"/>
      <c r="IQD161" s="679"/>
      <c r="IQE161" s="679"/>
      <c r="IQF161" s="679"/>
      <c r="IQG161" s="679"/>
      <c r="IQH161" s="679"/>
      <c r="IQI161" s="679"/>
      <c r="IQJ161" s="679"/>
      <c r="IQK161" s="679"/>
      <c r="IQL161" s="679"/>
      <c r="IQM161" s="679"/>
      <c r="IQN161" s="679"/>
      <c r="IQO161" s="679"/>
      <c r="IQP161" s="679"/>
      <c r="IQQ161" s="679"/>
      <c r="IQR161" s="679"/>
      <c r="IQS161" s="679"/>
      <c r="IQT161" s="679"/>
      <c r="IQU161" s="679"/>
      <c r="IQV161" s="679"/>
      <c r="IQW161" s="679"/>
      <c r="IQX161" s="679"/>
      <c r="IQY161" s="679"/>
      <c r="IQZ161" s="679"/>
      <c r="IRA161" s="679"/>
      <c r="IRB161" s="679"/>
      <c r="IRC161" s="679"/>
      <c r="IRD161" s="679"/>
      <c r="IRE161" s="679"/>
      <c r="IRF161" s="679"/>
      <c r="IRG161" s="679"/>
      <c r="IRH161" s="679"/>
      <c r="IRI161" s="679"/>
      <c r="IRJ161" s="679"/>
      <c r="IRK161" s="679"/>
      <c r="IRL161" s="679"/>
      <c r="IRM161" s="679"/>
      <c r="IRN161" s="679"/>
      <c r="IRO161" s="679"/>
      <c r="IRP161" s="679"/>
      <c r="IRQ161" s="679"/>
      <c r="IRR161" s="679"/>
      <c r="IRS161" s="679"/>
      <c r="IRT161" s="679"/>
      <c r="IRU161" s="679"/>
      <c r="IRV161" s="679"/>
      <c r="IRW161" s="679"/>
      <c r="IRX161" s="679"/>
      <c r="IRY161" s="679"/>
      <c r="IRZ161" s="679"/>
      <c r="ISA161" s="679"/>
      <c r="ISB161" s="679"/>
      <c r="ISC161" s="679"/>
      <c r="ISD161" s="679"/>
      <c r="ISE161" s="679"/>
      <c r="ISF161" s="679"/>
      <c r="ISG161" s="679"/>
      <c r="ISH161" s="679"/>
      <c r="ISI161" s="679"/>
      <c r="ISJ161" s="679"/>
      <c r="ISK161" s="679"/>
      <c r="ISL161" s="679"/>
      <c r="ISM161" s="679"/>
      <c r="ISN161" s="679"/>
      <c r="ISO161" s="679"/>
      <c r="ISP161" s="679"/>
      <c r="ISQ161" s="679"/>
      <c r="ISR161" s="679"/>
      <c r="ISS161" s="679"/>
      <c r="IST161" s="679"/>
      <c r="ISU161" s="679"/>
      <c r="ISV161" s="679"/>
      <c r="ISW161" s="679"/>
      <c r="ISX161" s="679"/>
      <c r="ISY161" s="679"/>
      <c r="ISZ161" s="679"/>
      <c r="ITA161" s="679"/>
      <c r="ITB161" s="679"/>
      <c r="ITC161" s="679"/>
      <c r="ITD161" s="679"/>
      <c r="ITE161" s="679"/>
      <c r="ITF161" s="679"/>
      <c r="ITG161" s="679"/>
      <c r="ITH161" s="679"/>
      <c r="ITI161" s="679"/>
      <c r="ITJ161" s="679"/>
      <c r="ITK161" s="679"/>
      <c r="ITL161" s="679"/>
      <c r="ITM161" s="679"/>
      <c r="ITN161" s="679"/>
      <c r="ITO161" s="679"/>
      <c r="ITP161" s="679"/>
      <c r="ITQ161" s="679"/>
      <c r="ITR161" s="679"/>
      <c r="ITS161" s="679"/>
      <c r="ITT161" s="679"/>
      <c r="ITU161" s="679"/>
      <c r="ITV161" s="679"/>
      <c r="ITW161" s="679"/>
      <c r="ITX161" s="679"/>
      <c r="ITY161" s="679"/>
      <c r="ITZ161" s="679"/>
      <c r="IUA161" s="679"/>
      <c r="IUB161" s="679"/>
      <c r="IUC161" s="679"/>
      <c r="IUD161" s="679"/>
      <c r="IUE161" s="679"/>
      <c r="IUF161" s="679"/>
      <c r="IUG161" s="679"/>
      <c r="IUH161" s="679"/>
      <c r="IUI161" s="679"/>
      <c r="IUJ161" s="679"/>
      <c r="IUK161" s="679"/>
      <c r="IUL161" s="679"/>
      <c r="IUM161" s="679"/>
      <c r="IUN161" s="679"/>
      <c r="IUO161" s="679"/>
      <c r="IUP161" s="679"/>
      <c r="IUQ161" s="679"/>
      <c r="IUR161" s="679"/>
      <c r="IUS161" s="679"/>
      <c r="IUT161" s="679"/>
      <c r="IUU161" s="679"/>
      <c r="IUV161" s="679"/>
      <c r="IUW161" s="679"/>
      <c r="IUX161" s="679"/>
      <c r="IUY161" s="679"/>
      <c r="IUZ161" s="679"/>
      <c r="IVA161" s="679"/>
      <c r="IVB161" s="679"/>
      <c r="IVC161" s="679"/>
      <c r="IVD161" s="679"/>
      <c r="IVE161" s="679"/>
      <c r="IVF161" s="679"/>
      <c r="IVG161" s="679"/>
      <c r="IVH161" s="679"/>
      <c r="IVI161" s="679"/>
      <c r="IVJ161" s="679"/>
      <c r="IVK161" s="679"/>
      <c r="IVL161" s="679"/>
      <c r="IVM161" s="679"/>
      <c r="IVN161" s="679"/>
      <c r="IVO161" s="679"/>
      <c r="IVP161" s="679"/>
      <c r="IVQ161" s="679"/>
      <c r="IVR161" s="679"/>
      <c r="IVS161" s="679"/>
      <c r="IVT161" s="679"/>
      <c r="IVU161" s="679"/>
      <c r="IVV161" s="679"/>
      <c r="IVW161" s="679"/>
      <c r="IVX161" s="679"/>
      <c r="IVY161" s="679"/>
      <c r="IVZ161" s="679"/>
      <c r="IWA161" s="679"/>
      <c r="IWB161" s="679"/>
      <c r="IWC161" s="679"/>
      <c r="IWD161" s="679"/>
      <c r="IWE161" s="679"/>
      <c r="IWF161" s="679"/>
      <c r="IWG161" s="679"/>
      <c r="IWH161" s="679"/>
      <c r="IWI161" s="679"/>
      <c r="IWJ161" s="679"/>
      <c r="IWK161" s="679"/>
      <c r="IWL161" s="679"/>
      <c r="IWM161" s="679"/>
      <c r="IWN161" s="679"/>
      <c r="IWO161" s="679"/>
      <c r="IWP161" s="679"/>
      <c r="IWQ161" s="679"/>
      <c r="IWR161" s="679"/>
      <c r="IWS161" s="679"/>
      <c r="IWT161" s="679"/>
      <c r="IWU161" s="679"/>
      <c r="IWV161" s="679"/>
      <c r="IWW161" s="679"/>
      <c r="IWX161" s="679"/>
      <c r="IWY161" s="679"/>
      <c r="IWZ161" s="679"/>
      <c r="IXA161" s="679"/>
      <c r="IXB161" s="679"/>
      <c r="IXC161" s="679"/>
      <c r="IXD161" s="679"/>
      <c r="IXE161" s="679"/>
      <c r="IXF161" s="679"/>
      <c r="IXG161" s="679"/>
      <c r="IXH161" s="679"/>
      <c r="IXI161" s="679"/>
      <c r="IXJ161" s="679"/>
      <c r="IXK161" s="679"/>
      <c r="IXL161" s="679"/>
      <c r="IXM161" s="679"/>
      <c r="IXN161" s="679"/>
      <c r="IXO161" s="679"/>
      <c r="IXP161" s="679"/>
      <c r="IXQ161" s="679"/>
      <c r="IXR161" s="679"/>
      <c r="IXS161" s="679"/>
      <c r="IXT161" s="679"/>
      <c r="IXU161" s="679"/>
      <c r="IXV161" s="679"/>
      <c r="IXW161" s="679"/>
      <c r="IXX161" s="679"/>
      <c r="IXY161" s="679"/>
      <c r="IXZ161" s="679"/>
      <c r="IYA161" s="679"/>
      <c r="IYB161" s="679"/>
      <c r="IYC161" s="679"/>
      <c r="IYD161" s="679"/>
      <c r="IYE161" s="679"/>
      <c r="IYF161" s="679"/>
      <c r="IYG161" s="679"/>
      <c r="IYH161" s="679"/>
      <c r="IYI161" s="679"/>
      <c r="IYJ161" s="679"/>
      <c r="IYK161" s="679"/>
      <c r="IYL161" s="679"/>
      <c r="IYM161" s="679"/>
      <c r="IYN161" s="679"/>
      <c r="IYO161" s="679"/>
      <c r="IYP161" s="679"/>
      <c r="IYQ161" s="679"/>
      <c r="IYR161" s="679"/>
      <c r="IYS161" s="679"/>
      <c r="IYT161" s="679"/>
      <c r="IYU161" s="679"/>
      <c r="IYV161" s="679"/>
      <c r="IYW161" s="679"/>
      <c r="IYX161" s="679"/>
      <c r="IYY161" s="679"/>
      <c r="IYZ161" s="679"/>
      <c r="IZA161" s="679"/>
      <c r="IZB161" s="679"/>
      <c r="IZC161" s="679"/>
      <c r="IZD161" s="679"/>
      <c r="IZE161" s="679"/>
      <c r="IZF161" s="679"/>
      <c r="IZG161" s="679"/>
      <c r="IZH161" s="679"/>
      <c r="IZI161" s="679"/>
      <c r="IZJ161" s="679"/>
      <c r="IZK161" s="679"/>
      <c r="IZL161" s="679"/>
      <c r="IZM161" s="679"/>
      <c r="IZN161" s="679"/>
      <c r="IZO161" s="679"/>
      <c r="IZP161" s="679"/>
      <c r="IZQ161" s="679"/>
      <c r="IZR161" s="679"/>
      <c r="IZS161" s="679"/>
      <c r="IZT161" s="679"/>
      <c r="IZU161" s="679"/>
      <c r="IZV161" s="679"/>
      <c r="IZW161" s="679"/>
      <c r="IZX161" s="679"/>
      <c r="IZY161" s="679"/>
      <c r="IZZ161" s="679"/>
      <c r="JAA161" s="679"/>
      <c r="JAB161" s="679"/>
      <c r="JAC161" s="679"/>
      <c r="JAD161" s="679"/>
      <c r="JAE161" s="679"/>
      <c r="JAF161" s="679"/>
      <c r="JAG161" s="679"/>
      <c r="JAH161" s="679"/>
      <c r="JAI161" s="679"/>
      <c r="JAJ161" s="679"/>
      <c r="JAK161" s="679"/>
      <c r="JAL161" s="679"/>
      <c r="JAM161" s="679"/>
      <c r="JAN161" s="679"/>
      <c r="JAO161" s="679"/>
      <c r="JAP161" s="679"/>
      <c r="JAQ161" s="679"/>
      <c r="JAR161" s="679"/>
      <c r="JAS161" s="679"/>
      <c r="JAT161" s="679"/>
      <c r="JAU161" s="679"/>
      <c r="JAV161" s="679"/>
      <c r="JAW161" s="679"/>
      <c r="JAX161" s="679"/>
      <c r="JAY161" s="679"/>
      <c r="JAZ161" s="679"/>
      <c r="JBA161" s="679"/>
      <c r="JBB161" s="679"/>
      <c r="JBC161" s="679"/>
      <c r="JBD161" s="679"/>
      <c r="JBE161" s="679"/>
      <c r="JBF161" s="679"/>
      <c r="JBG161" s="679"/>
      <c r="JBH161" s="679"/>
      <c r="JBI161" s="679"/>
      <c r="JBJ161" s="679"/>
      <c r="JBK161" s="679"/>
      <c r="JBL161" s="679"/>
      <c r="JBM161" s="679"/>
      <c r="JBN161" s="679"/>
      <c r="JBO161" s="679"/>
      <c r="JBP161" s="679"/>
      <c r="JBQ161" s="679"/>
      <c r="JBR161" s="679"/>
      <c r="JBS161" s="679"/>
      <c r="JBT161" s="679"/>
      <c r="JBU161" s="679"/>
      <c r="JBV161" s="679"/>
      <c r="JBW161" s="679"/>
      <c r="JBX161" s="679"/>
      <c r="JBY161" s="679"/>
      <c r="JBZ161" s="679"/>
      <c r="JCA161" s="679"/>
      <c r="JCB161" s="679"/>
      <c r="JCC161" s="679"/>
      <c r="JCD161" s="679"/>
      <c r="JCE161" s="679"/>
      <c r="JCF161" s="679"/>
      <c r="JCG161" s="679"/>
      <c r="JCH161" s="679"/>
      <c r="JCI161" s="679"/>
      <c r="JCJ161" s="679"/>
      <c r="JCK161" s="679"/>
      <c r="JCL161" s="679"/>
      <c r="JCM161" s="679"/>
      <c r="JCN161" s="679"/>
      <c r="JCO161" s="679"/>
      <c r="JCP161" s="679"/>
      <c r="JCQ161" s="679"/>
      <c r="JCR161" s="679"/>
      <c r="JCS161" s="679"/>
      <c r="JCT161" s="679"/>
      <c r="JCU161" s="679"/>
      <c r="JCV161" s="679"/>
      <c r="JCW161" s="679"/>
      <c r="JCX161" s="679"/>
      <c r="JCY161" s="679"/>
      <c r="JCZ161" s="679"/>
      <c r="JDA161" s="679"/>
      <c r="JDB161" s="679"/>
      <c r="JDC161" s="679"/>
      <c r="JDD161" s="679"/>
      <c r="JDE161" s="679"/>
      <c r="JDF161" s="679"/>
      <c r="JDG161" s="679"/>
      <c r="JDH161" s="679"/>
      <c r="JDI161" s="679"/>
      <c r="JDJ161" s="679"/>
      <c r="JDK161" s="679"/>
      <c r="JDL161" s="679"/>
      <c r="JDM161" s="679"/>
      <c r="JDN161" s="679"/>
      <c r="JDO161" s="679"/>
      <c r="JDP161" s="679"/>
      <c r="JDQ161" s="679"/>
      <c r="JDR161" s="679"/>
      <c r="JDS161" s="679"/>
      <c r="JDT161" s="679"/>
      <c r="JDU161" s="679"/>
      <c r="JDV161" s="679"/>
      <c r="JDW161" s="679"/>
      <c r="JDX161" s="679"/>
      <c r="JDY161" s="679"/>
      <c r="JDZ161" s="679"/>
      <c r="JEA161" s="679"/>
      <c r="JEB161" s="679"/>
      <c r="JEC161" s="679"/>
      <c r="JED161" s="679"/>
      <c r="JEE161" s="679"/>
      <c r="JEF161" s="679"/>
      <c r="JEG161" s="679"/>
      <c r="JEH161" s="679"/>
      <c r="JEI161" s="679"/>
      <c r="JEJ161" s="679"/>
      <c r="JEK161" s="679"/>
      <c r="JEL161" s="679"/>
      <c r="JEM161" s="679"/>
      <c r="JEN161" s="679"/>
      <c r="JEO161" s="679"/>
      <c r="JEP161" s="679"/>
      <c r="JEQ161" s="679"/>
      <c r="JER161" s="679"/>
      <c r="JES161" s="679"/>
      <c r="JET161" s="679"/>
      <c r="JEU161" s="679"/>
      <c r="JEV161" s="679"/>
      <c r="JEW161" s="679"/>
      <c r="JEX161" s="679"/>
      <c r="JEY161" s="679"/>
      <c r="JEZ161" s="679"/>
      <c r="JFA161" s="679"/>
      <c r="JFB161" s="679"/>
      <c r="JFC161" s="679"/>
      <c r="JFD161" s="679"/>
      <c r="JFE161" s="679"/>
      <c r="JFF161" s="679"/>
      <c r="JFG161" s="679"/>
      <c r="JFH161" s="679"/>
      <c r="JFI161" s="679"/>
      <c r="JFJ161" s="679"/>
      <c r="JFK161" s="679"/>
      <c r="JFL161" s="679"/>
      <c r="JFM161" s="679"/>
      <c r="JFN161" s="679"/>
      <c r="JFO161" s="679"/>
      <c r="JFP161" s="679"/>
      <c r="JFQ161" s="679"/>
      <c r="JFR161" s="679"/>
      <c r="JFS161" s="679"/>
      <c r="JFT161" s="679"/>
      <c r="JFU161" s="679"/>
      <c r="JFV161" s="679"/>
      <c r="JFW161" s="679"/>
      <c r="JFX161" s="679"/>
      <c r="JFY161" s="679"/>
      <c r="JFZ161" s="679"/>
      <c r="JGA161" s="679"/>
      <c r="JGB161" s="679"/>
      <c r="JGC161" s="679"/>
      <c r="JGD161" s="679"/>
      <c r="JGE161" s="679"/>
      <c r="JGF161" s="679"/>
      <c r="JGG161" s="679"/>
      <c r="JGH161" s="679"/>
      <c r="JGI161" s="679"/>
      <c r="JGJ161" s="679"/>
      <c r="JGK161" s="679"/>
      <c r="JGL161" s="679"/>
      <c r="JGM161" s="679"/>
      <c r="JGN161" s="679"/>
      <c r="JGO161" s="679"/>
      <c r="JGP161" s="679"/>
      <c r="JGQ161" s="679"/>
      <c r="JGR161" s="679"/>
      <c r="JGS161" s="679"/>
      <c r="JGT161" s="679"/>
      <c r="JGU161" s="679"/>
      <c r="JGV161" s="679"/>
      <c r="JGW161" s="679"/>
      <c r="JGX161" s="679"/>
      <c r="JGY161" s="679"/>
      <c r="JGZ161" s="679"/>
      <c r="JHA161" s="679"/>
      <c r="JHB161" s="679"/>
      <c r="JHC161" s="679"/>
      <c r="JHD161" s="679"/>
      <c r="JHE161" s="679"/>
      <c r="JHF161" s="679"/>
      <c r="JHG161" s="679"/>
      <c r="JHH161" s="679"/>
      <c r="JHI161" s="679"/>
      <c r="JHJ161" s="679"/>
      <c r="JHK161" s="679"/>
      <c r="JHL161" s="679"/>
      <c r="JHM161" s="679"/>
      <c r="JHN161" s="679"/>
      <c r="JHO161" s="679"/>
      <c r="JHP161" s="679"/>
      <c r="JHQ161" s="679"/>
      <c r="JHR161" s="679"/>
      <c r="JHS161" s="679"/>
      <c r="JHT161" s="679"/>
      <c r="JHU161" s="679"/>
      <c r="JHV161" s="679"/>
      <c r="JHW161" s="679"/>
      <c r="JHX161" s="679"/>
      <c r="JHY161" s="679"/>
      <c r="JHZ161" s="679"/>
      <c r="JIA161" s="679"/>
      <c r="JIB161" s="679"/>
      <c r="JIC161" s="679"/>
      <c r="JID161" s="679"/>
      <c r="JIE161" s="679"/>
      <c r="JIF161" s="679"/>
      <c r="JIG161" s="679"/>
      <c r="JIH161" s="679"/>
      <c r="JII161" s="679"/>
      <c r="JIJ161" s="679"/>
      <c r="JIK161" s="679"/>
      <c r="JIL161" s="679"/>
      <c r="JIM161" s="679"/>
      <c r="JIN161" s="679"/>
      <c r="JIO161" s="679"/>
      <c r="JIP161" s="679"/>
      <c r="JIQ161" s="679"/>
      <c r="JIR161" s="679"/>
      <c r="JIS161" s="679"/>
      <c r="JIT161" s="679"/>
      <c r="JIU161" s="679"/>
      <c r="JIV161" s="679"/>
      <c r="JIW161" s="679"/>
      <c r="JIX161" s="679"/>
      <c r="JIY161" s="679"/>
      <c r="JIZ161" s="679"/>
      <c r="JJA161" s="679"/>
      <c r="JJB161" s="679"/>
      <c r="JJC161" s="679"/>
      <c r="JJD161" s="679"/>
      <c r="JJE161" s="679"/>
      <c r="JJF161" s="679"/>
      <c r="JJG161" s="679"/>
      <c r="JJH161" s="679"/>
      <c r="JJI161" s="679"/>
      <c r="JJJ161" s="679"/>
      <c r="JJK161" s="679"/>
      <c r="JJL161" s="679"/>
      <c r="JJM161" s="679"/>
      <c r="JJN161" s="679"/>
      <c r="JJO161" s="679"/>
      <c r="JJP161" s="679"/>
      <c r="JJQ161" s="679"/>
      <c r="JJR161" s="679"/>
      <c r="JJS161" s="679"/>
      <c r="JJT161" s="679"/>
      <c r="JJU161" s="679"/>
      <c r="JJV161" s="679"/>
      <c r="JJW161" s="679"/>
      <c r="JJX161" s="679"/>
      <c r="JJY161" s="679"/>
      <c r="JJZ161" s="679"/>
      <c r="JKA161" s="679"/>
      <c r="JKB161" s="679"/>
      <c r="JKC161" s="679"/>
      <c r="JKD161" s="679"/>
      <c r="JKE161" s="679"/>
      <c r="JKF161" s="679"/>
      <c r="JKG161" s="679"/>
      <c r="JKH161" s="679"/>
      <c r="JKI161" s="679"/>
      <c r="JKJ161" s="679"/>
      <c r="JKK161" s="679"/>
      <c r="JKL161" s="679"/>
      <c r="JKM161" s="679"/>
      <c r="JKN161" s="679"/>
      <c r="JKO161" s="679"/>
      <c r="JKP161" s="679"/>
      <c r="JKQ161" s="679"/>
      <c r="JKR161" s="679"/>
      <c r="JKS161" s="679"/>
      <c r="JKT161" s="679"/>
      <c r="JKU161" s="679"/>
      <c r="JKV161" s="679"/>
      <c r="JKW161" s="679"/>
      <c r="JKX161" s="679"/>
      <c r="JKY161" s="679"/>
      <c r="JKZ161" s="679"/>
      <c r="JLA161" s="679"/>
      <c r="JLB161" s="679"/>
      <c r="JLC161" s="679"/>
      <c r="JLD161" s="679"/>
      <c r="JLE161" s="679"/>
      <c r="JLF161" s="679"/>
      <c r="JLG161" s="679"/>
      <c r="JLH161" s="679"/>
      <c r="JLI161" s="679"/>
      <c r="JLJ161" s="679"/>
      <c r="JLK161" s="679"/>
      <c r="JLL161" s="679"/>
      <c r="JLM161" s="679"/>
      <c r="JLN161" s="679"/>
      <c r="JLO161" s="679"/>
      <c r="JLP161" s="679"/>
      <c r="JLQ161" s="679"/>
      <c r="JLR161" s="679"/>
      <c r="JLS161" s="679"/>
      <c r="JLT161" s="679"/>
      <c r="JLU161" s="679"/>
      <c r="JLV161" s="679"/>
      <c r="JLW161" s="679"/>
      <c r="JLX161" s="679"/>
      <c r="JLY161" s="679"/>
      <c r="JLZ161" s="679"/>
      <c r="JMA161" s="679"/>
      <c r="JMB161" s="679"/>
      <c r="JMC161" s="679"/>
      <c r="JMD161" s="679"/>
      <c r="JME161" s="679"/>
      <c r="JMF161" s="679"/>
      <c r="JMG161" s="679"/>
      <c r="JMH161" s="679"/>
      <c r="JMI161" s="679"/>
      <c r="JMJ161" s="679"/>
      <c r="JMK161" s="679"/>
      <c r="JML161" s="679"/>
      <c r="JMM161" s="679"/>
      <c r="JMN161" s="679"/>
      <c r="JMO161" s="679"/>
      <c r="JMP161" s="679"/>
      <c r="JMQ161" s="679"/>
      <c r="JMR161" s="679"/>
      <c r="JMS161" s="679"/>
      <c r="JMT161" s="679"/>
      <c r="JMU161" s="679"/>
      <c r="JMV161" s="679"/>
      <c r="JMW161" s="679"/>
      <c r="JMX161" s="679"/>
      <c r="JMY161" s="679"/>
      <c r="JMZ161" s="679"/>
      <c r="JNA161" s="679"/>
      <c r="JNB161" s="679"/>
      <c r="JNC161" s="679"/>
      <c r="JND161" s="679"/>
      <c r="JNE161" s="679"/>
      <c r="JNF161" s="679"/>
      <c r="JNG161" s="679"/>
      <c r="JNH161" s="679"/>
      <c r="JNI161" s="679"/>
      <c r="JNJ161" s="679"/>
      <c r="JNK161" s="679"/>
      <c r="JNL161" s="679"/>
      <c r="JNM161" s="679"/>
      <c r="JNN161" s="679"/>
      <c r="JNO161" s="679"/>
      <c r="JNP161" s="679"/>
      <c r="JNQ161" s="679"/>
      <c r="JNR161" s="679"/>
      <c r="JNS161" s="679"/>
      <c r="JNT161" s="679"/>
      <c r="JNU161" s="679"/>
      <c r="JNV161" s="679"/>
      <c r="JNW161" s="679"/>
      <c r="JNX161" s="679"/>
      <c r="JNY161" s="679"/>
      <c r="JNZ161" s="679"/>
      <c r="JOA161" s="679"/>
      <c r="JOB161" s="679"/>
      <c r="JOC161" s="679"/>
      <c r="JOD161" s="679"/>
      <c r="JOE161" s="679"/>
      <c r="JOF161" s="679"/>
      <c r="JOG161" s="679"/>
      <c r="JOH161" s="679"/>
      <c r="JOI161" s="679"/>
      <c r="JOJ161" s="679"/>
      <c r="JOK161" s="679"/>
      <c r="JOL161" s="679"/>
      <c r="JOM161" s="679"/>
      <c r="JON161" s="679"/>
      <c r="JOO161" s="679"/>
      <c r="JOP161" s="679"/>
      <c r="JOQ161" s="679"/>
      <c r="JOR161" s="679"/>
      <c r="JOS161" s="679"/>
      <c r="JOT161" s="679"/>
      <c r="JOU161" s="679"/>
      <c r="JOV161" s="679"/>
      <c r="JOW161" s="679"/>
      <c r="JOX161" s="679"/>
      <c r="JOY161" s="679"/>
      <c r="JOZ161" s="679"/>
      <c r="JPA161" s="679"/>
      <c r="JPB161" s="679"/>
      <c r="JPC161" s="679"/>
      <c r="JPD161" s="679"/>
      <c r="JPE161" s="679"/>
      <c r="JPF161" s="679"/>
      <c r="JPG161" s="679"/>
      <c r="JPH161" s="679"/>
      <c r="JPI161" s="679"/>
      <c r="JPJ161" s="679"/>
      <c r="JPK161" s="679"/>
      <c r="JPL161" s="679"/>
      <c r="JPM161" s="679"/>
      <c r="JPN161" s="679"/>
      <c r="JPO161" s="679"/>
      <c r="JPP161" s="679"/>
      <c r="JPQ161" s="679"/>
      <c r="JPR161" s="679"/>
      <c r="JPS161" s="679"/>
      <c r="JPT161" s="679"/>
      <c r="JPU161" s="679"/>
      <c r="JPV161" s="679"/>
      <c r="JPW161" s="679"/>
      <c r="JPX161" s="679"/>
      <c r="JPY161" s="679"/>
      <c r="JPZ161" s="679"/>
      <c r="JQA161" s="679"/>
      <c r="JQB161" s="679"/>
      <c r="JQC161" s="679"/>
      <c r="JQD161" s="679"/>
      <c r="JQE161" s="679"/>
      <c r="JQF161" s="679"/>
      <c r="JQG161" s="679"/>
      <c r="JQH161" s="679"/>
      <c r="JQI161" s="679"/>
      <c r="JQJ161" s="679"/>
      <c r="JQK161" s="679"/>
      <c r="JQL161" s="679"/>
      <c r="JQM161" s="679"/>
      <c r="JQN161" s="679"/>
      <c r="JQO161" s="679"/>
      <c r="JQP161" s="679"/>
      <c r="JQQ161" s="679"/>
      <c r="JQR161" s="679"/>
      <c r="JQS161" s="679"/>
      <c r="JQT161" s="679"/>
      <c r="JQU161" s="679"/>
      <c r="JQV161" s="679"/>
      <c r="JQW161" s="679"/>
      <c r="JQX161" s="679"/>
      <c r="JQY161" s="679"/>
      <c r="JQZ161" s="679"/>
      <c r="JRA161" s="679"/>
      <c r="JRB161" s="679"/>
      <c r="JRC161" s="679"/>
      <c r="JRD161" s="679"/>
      <c r="JRE161" s="679"/>
      <c r="JRF161" s="679"/>
      <c r="JRG161" s="679"/>
      <c r="JRH161" s="679"/>
      <c r="JRI161" s="679"/>
      <c r="JRJ161" s="679"/>
      <c r="JRK161" s="679"/>
      <c r="JRL161" s="679"/>
      <c r="JRM161" s="679"/>
      <c r="JRN161" s="679"/>
      <c r="JRO161" s="679"/>
      <c r="JRP161" s="679"/>
      <c r="JRQ161" s="679"/>
      <c r="JRR161" s="679"/>
      <c r="JRS161" s="679"/>
      <c r="JRT161" s="679"/>
      <c r="JRU161" s="679"/>
      <c r="JRV161" s="679"/>
      <c r="JRW161" s="679"/>
      <c r="JRX161" s="679"/>
      <c r="JRY161" s="679"/>
      <c r="JRZ161" s="679"/>
      <c r="JSA161" s="679"/>
      <c r="JSB161" s="679"/>
      <c r="JSC161" s="679"/>
      <c r="JSD161" s="679"/>
      <c r="JSE161" s="679"/>
      <c r="JSF161" s="679"/>
      <c r="JSG161" s="679"/>
      <c r="JSH161" s="679"/>
      <c r="JSI161" s="679"/>
      <c r="JSJ161" s="679"/>
      <c r="JSK161" s="679"/>
      <c r="JSL161" s="679"/>
      <c r="JSM161" s="679"/>
      <c r="JSN161" s="679"/>
      <c r="JSO161" s="679"/>
      <c r="JSP161" s="679"/>
      <c r="JSQ161" s="679"/>
      <c r="JSR161" s="679"/>
      <c r="JSS161" s="679"/>
      <c r="JST161" s="679"/>
      <c r="JSU161" s="679"/>
      <c r="JSV161" s="679"/>
      <c r="JSW161" s="679"/>
      <c r="JSX161" s="679"/>
      <c r="JSY161" s="679"/>
      <c r="JSZ161" s="679"/>
      <c r="JTA161" s="679"/>
      <c r="JTB161" s="679"/>
      <c r="JTC161" s="679"/>
      <c r="JTD161" s="679"/>
      <c r="JTE161" s="679"/>
      <c r="JTF161" s="679"/>
      <c r="JTG161" s="679"/>
      <c r="JTH161" s="679"/>
      <c r="JTI161" s="679"/>
      <c r="JTJ161" s="679"/>
      <c r="JTK161" s="679"/>
      <c r="JTL161" s="679"/>
      <c r="JTM161" s="679"/>
      <c r="JTN161" s="679"/>
      <c r="JTO161" s="679"/>
      <c r="JTP161" s="679"/>
      <c r="JTQ161" s="679"/>
      <c r="JTR161" s="679"/>
      <c r="JTS161" s="679"/>
      <c r="JTT161" s="679"/>
      <c r="JTU161" s="679"/>
      <c r="JTV161" s="679"/>
      <c r="JTW161" s="679"/>
      <c r="JTX161" s="679"/>
      <c r="JTY161" s="679"/>
      <c r="JTZ161" s="679"/>
      <c r="JUA161" s="679"/>
      <c r="JUB161" s="679"/>
      <c r="JUC161" s="679"/>
      <c r="JUD161" s="679"/>
      <c r="JUE161" s="679"/>
      <c r="JUF161" s="679"/>
      <c r="JUG161" s="679"/>
      <c r="JUH161" s="679"/>
      <c r="JUI161" s="679"/>
      <c r="JUJ161" s="679"/>
      <c r="JUK161" s="679"/>
      <c r="JUL161" s="679"/>
      <c r="JUM161" s="679"/>
      <c r="JUN161" s="679"/>
      <c r="JUO161" s="679"/>
      <c r="JUP161" s="679"/>
      <c r="JUQ161" s="679"/>
      <c r="JUR161" s="679"/>
      <c r="JUS161" s="679"/>
      <c r="JUT161" s="679"/>
      <c r="JUU161" s="679"/>
      <c r="JUV161" s="679"/>
      <c r="JUW161" s="679"/>
      <c r="JUX161" s="679"/>
      <c r="JUY161" s="679"/>
      <c r="JUZ161" s="679"/>
      <c r="JVA161" s="679"/>
      <c r="JVB161" s="679"/>
      <c r="JVC161" s="679"/>
      <c r="JVD161" s="679"/>
      <c r="JVE161" s="679"/>
      <c r="JVF161" s="679"/>
      <c r="JVG161" s="679"/>
      <c r="JVH161" s="679"/>
      <c r="JVI161" s="679"/>
      <c r="JVJ161" s="679"/>
      <c r="JVK161" s="679"/>
      <c r="JVL161" s="679"/>
      <c r="JVM161" s="679"/>
      <c r="JVN161" s="679"/>
      <c r="JVO161" s="679"/>
      <c r="JVP161" s="679"/>
      <c r="JVQ161" s="679"/>
      <c r="JVR161" s="679"/>
      <c r="JVS161" s="679"/>
      <c r="JVT161" s="679"/>
      <c r="JVU161" s="679"/>
      <c r="JVV161" s="679"/>
      <c r="JVW161" s="679"/>
      <c r="JVX161" s="679"/>
      <c r="JVY161" s="679"/>
      <c r="JVZ161" s="679"/>
      <c r="JWA161" s="679"/>
      <c r="JWB161" s="679"/>
      <c r="JWC161" s="679"/>
      <c r="JWD161" s="679"/>
      <c r="JWE161" s="679"/>
      <c r="JWF161" s="679"/>
      <c r="JWG161" s="679"/>
      <c r="JWH161" s="679"/>
      <c r="JWI161" s="679"/>
      <c r="JWJ161" s="679"/>
      <c r="JWK161" s="679"/>
      <c r="JWL161" s="679"/>
      <c r="JWM161" s="679"/>
      <c r="JWN161" s="679"/>
      <c r="JWO161" s="679"/>
      <c r="JWP161" s="679"/>
      <c r="JWQ161" s="679"/>
      <c r="JWR161" s="679"/>
      <c r="JWS161" s="679"/>
      <c r="JWT161" s="679"/>
      <c r="JWU161" s="679"/>
      <c r="JWV161" s="679"/>
      <c r="JWW161" s="679"/>
      <c r="JWX161" s="679"/>
      <c r="JWY161" s="679"/>
      <c r="JWZ161" s="679"/>
      <c r="JXA161" s="679"/>
      <c r="JXB161" s="679"/>
      <c r="JXC161" s="679"/>
      <c r="JXD161" s="679"/>
      <c r="JXE161" s="679"/>
      <c r="JXF161" s="679"/>
      <c r="JXG161" s="679"/>
      <c r="JXH161" s="679"/>
      <c r="JXI161" s="679"/>
      <c r="JXJ161" s="679"/>
      <c r="JXK161" s="679"/>
      <c r="JXL161" s="679"/>
      <c r="JXM161" s="679"/>
      <c r="JXN161" s="679"/>
      <c r="JXO161" s="679"/>
      <c r="JXP161" s="679"/>
      <c r="JXQ161" s="679"/>
      <c r="JXR161" s="679"/>
      <c r="JXS161" s="679"/>
      <c r="JXT161" s="679"/>
      <c r="JXU161" s="679"/>
      <c r="JXV161" s="679"/>
      <c r="JXW161" s="679"/>
      <c r="JXX161" s="679"/>
      <c r="JXY161" s="679"/>
      <c r="JXZ161" s="679"/>
      <c r="JYA161" s="679"/>
      <c r="JYB161" s="679"/>
      <c r="JYC161" s="679"/>
      <c r="JYD161" s="679"/>
      <c r="JYE161" s="679"/>
      <c r="JYF161" s="679"/>
      <c r="JYG161" s="679"/>
      <c r="JYH161" s="679"/>
      <c r="JYI161" s="679"/>
      <c r="JYJ161" s="679"/>
      <c r="JYK161" s="679"/>
      <c r="JYL161" s="679"/>
      <c r="JYM161" s="679"/>
      <c r="JYN161" s="679"/>
      <c r="JYO161" s="679"/>
      <c r="JYP161" s="679"/>
      <c r="JYQ161" s="679"/>
      <c r="JYR161" s="679"/>
      <c r="JYS161" s="679"/>
      <c r="JYT161" s="679"/>
      <c r="JYU161" s="679"/>
      <c r="JYV161" s="679"/>
      <c r="JYW161" s="679"/>
      <c r="JYX161" s="679"/>
      <c r="JYY161" s="679"/>
      <c r="JYZ161" s="679"/>
      <c r="JZA161" s="679"/>
      <c r="JZB161" s="679"/>
      <c r="JZC161" s="679"/>
      <c r="JZD161" s="679"/>
      <c r="JZE161" s="679"/>
      <c r="JZF161" s="679"/>
      <c r="JZG161" s="679"/>
      <c r="JZH161" s="679"/>
      <c r="JZI161" s="679"/>
      <c r="JZJ161" s="679"/>
      <c r="JZK161" s="679"/>
      <c r="JZL161" s="679"/>
      <c r="JZM161" s="679"/>
      <c r="JZN161" s="679"/>
      <c r="JZO161" s="679"/>
      <c r="JZP161" s="679"/>
      <c r="JZQ161" s="679"/>
      <c r="JZR161" s="679"/>
      <c r="JZS161" s="679"/>
      <c r="JZT161" s="679"/>
      <c r="JZU161" s="679"/>
      <c r="JZV161" s="679"/>
      <c r="JZW161" s="679"/>
      <c r="JZX161" s="679"/>
      <c r="JZY161" s="679"/>
      <c r="JZZ161" s="679"/>
      <c r="KAA161" s="679"/>
      <c r="KAB161" s="679"/>
      <c r="KAC161" s="679"/>
      <c r="KAD161" s="679"/>
      <c r="KAE161" s="679"/>
      <c r="KAF161" s="679"/>
      <c r="KAG161" s="679"/>
      <c r="KAH161" s="679"/>
      <c r="KAI161" s="679"/>
      <c r="KAJ161" s="679"/>
      <c r="KAK161" s="679"/>
      <c r="KAL161" s="679"/>
      <c r="KAM161" s="679"/>
      <c r="KAN161" s="679"/>
      <c r="KAO161" s="679"/>
      <c r="KAP161" s="679"/>
      <c r="KAQ161" s="679"/>
      <c r="KAR161" s="679"/>
      <c r="KAS161" s="679"/>
      <c r="KAT161" s="679"/>
      <c r="KAU161" s="679"/>
      <c r="KAV161" s="679"/>
      <c r="KAW161" s="679"/>
      <c r="KAX161" s="679"/>
      <c r="KAY161" s="679"/>
      <c r="KAZ161" s="679"/>
      <c r="KBA161" s="679"/>
      <c r="KBB161" s="679"/>
      <c r="KBC161" s="679"/>
      <c r="KBD161" s="679"/>
      <c r="KBE161" s="679"/>
      <c r="KBF161" s="679"/>
      <c r="KBG161" s="679"/>
      <c r="KBH161" s="679"/>
      <c r="KBI161" s="679"/>
      <c r="KBJ161" s="679"/>
      <c r="KBK161" s="679"/>
      <c r="KBL161" s="679"/>
      <c r="KBM161" s="679"/>
      <c r="KBN161" s="679"/>
      <c r="KBO161" s="679"/>
      <c r="KBP161" s="679"/>
      <c r="KBQ161" s="679"/>
      <c r="KBR161" s="679"/>
      <c r="KBS161" s="679"/>
      <c r="KBT161" s="679"/>
      <c r="KBU161" s="679"/>
      <c r="KBV161" s="679"/>
      <c r="KBW161" s="679"/>
      <c r="KBX161" s="679"/>
      <c r="KBY161" s="679"/>
      <c r="KBZ161" s="679"/>
      <c r="KCA161" s="679"/>
      <c r="KCB161" s="679"/>
      <c r="KCC161" s="679"/>
      <c r="KCD161" s="679"/>
      <c r="KCE161" s="679"/>
      <c r="KCF161" s="679"/>
      <c r="KCG161" s="679"/>
      <c r="KCH161" s="679"/>
      <c r="KCI161" s="679"/>
      <c r="KCJ161" s="679"/>
      <c r="KCK161" s="679"/>
      <c r="KCL161" s="679"/>
      <c r="KCM161" s="679"/>
      <c r="KCN161" s="679"/>
      <c r="KCO161" s="679"/>
      <c r="KCP161" s="679"/>
      <c r="KCQ161" s="679"/>
      <c r="KCR161" s="679"/>
      <c r="KCS161" s="679"/>
      <c r="KCT161" s="679"/>
      <c r="KCU161" s="679"/>
      <c r="KCV161" s="679"/>
      <c r="KCW161" s="679"/>
      <c r="KCX161" s="679"/>
      <c r="KCY161" s="679"/>
      <c r="KCZ161" s="679"/>
      <c r="KDA161" s="679"/>
      <c r="KDB161" s="679"/>
      <c r="KDC161" s="679"/>
      <c r="KDD161" s="679"/>
      <c r="KDE161" s="679"/>
      <c r="KDF161" s="679"/>
      <c r="KDG161" s="679"/>
      <c r="KDH161" s="679"/>
      <c r="KDI161" s="679"/>
      <c r="KDJ161" s="679"/>
      <c r="KDK161" s="679"/>
      <c r="KDL161" s="679"/>
      <c r="KDM161" s="679"/>
      <c r="KDN161" s="679"/>
      <c r="KDO161" s="679"/>
      <c r="KDP161" s="679"/>
      <c r="KDQ161" s="679"/>
      <c r="KDR161" s="679"/>
      <c r="KDS161" s="679"/>
      <c r="KDT161" s="679"/>
      <c r="KDU161" s="679"/>
      <c r="KDV161" s="679"/>
      <c r="KDW161" s="679"/>
      <c r="KDX161" s="679"/>
      <c r="KDY161" s="679"/>
      <c r="KDZ161" s="679"/>
      <c r="KEA161" s="679"/>
      <c r="KEB161" s="679"/>
      <c r="KEC161" s="679"/>
      <c r="KED161" s="679"/>
      <c r="KEE161" s="679"/>
      <c r="KEF161" s="679"/>
      <c r="KEG161" s="679"/>
      <c r="KEH161" s="679"/>
      <c r="KEI161" s="679"/>
      <c r="KEJ161" s="679"/>
      <c r="KEK161" s="679"/>
      <c r="KEL161" s="679"/>
      <c r="KEM161" s="679"/>
      <c r="KEN161" s="679"/>
      <c r="KEO161" s="679"/>
      <c r="KEP161" s="679"/>
      <c r="KEQ161" s="679"/>
      <c r="KER161" s="679"/>
      <c r="KES161" s="679"/>
      <c r="KET161" s="679"/>
      <c r="KEU161" s="679"/>
      <c r="KEV161" s="679"/>
      <c r="KEW161" s="679"/>
      <c r="KEX161" s="679"/>
      <c r="KEY161" s="679"/>
      <c r="KEZ161" s="679"/>
      <c r="KFA161" s="679"/>
      <c r="KFB161" s="679"/>
      <c r="KFC161" s="679"/>
      <c r="KFD161" s="679"/>
      <c r="KFE161" s="679"/>
      <c r="KFF161" s="679"/>
      <c r="KFG161" s="679"/>
      <c r="KFH161" s="679"/>
      <c r="KFI161" s="679"/>
      <c r="KFJ161" s="679"/>
      <c r="KFK161" s="679"/>
      <c r="KFL161" s="679"/>
      <c r="KFM161" s="679"/>
      <c r="KFN161" s="679"/>
      <c r="KFO161" s="679"/>
      <c r="KFP161" s="679"/>
      <c r="KFQ161" s="679"/>
      <c r="KFR161" s="679"/>
      <c r="KFS161" s="679"/>
      <c r="KFT161" s="679"/>
      <c r="KFU161" s="679"/>
      <c r="KFV161" s="679"/>
      <c r="KFW161" s="679"/>
      <c r="KFX161" s="679"/>
      <c r="KFY161" s="679"/>
      <c r="KFZ161" s="679"/>
      <c r="KGA161" s="679"/>
      <c r="KGB161" s="679"/>
      <c r="KGC161" s="679"/>
      <c r="KGD161" s="679"/>
      <c r="KGE161" s="679"/>
      <c r="KGF161" s="679"/>
      <c r="KGG161" s="679"/>
      <c r="KGH161" s="679"/>
      <c r="KGI161" s="679"/>
      <c r="KGJ161" s="679"/>
      <c r="KGK161" s="679"/>
      <c r="KGL161" s="679"/>
      <c r="KGM161" s="679"/>
      <c r="KGN161" s="679"/>
      <c r="KGO161" s="679"/>
      <c r="KGP161" s="679"/>
      <c r="KGQ161" s="679"/>
      <c r="KGR161" s="679"/>
      <c r="KGS161" s="679"/>
      <c r="KGT161" s="679"/>
      <c r="KGU161" s="679"/>
      <c r="KGV161" s="679"/>
      <c r="KGW161" s="679"/>
      <c r="KGX161" s="679"/>
      <c r="KGY161" s="679"/>
      <c r="KGZ161" s="679"/>
      <c r="KHA161" s="679"/>
      <c r="KHB161" s="679"/>
      <c r="KHC161" s="679"/>
      <c r="KHD161" s="679"/>
      <c r="KHE161" s="679"/>
      <c r="KHF161" s="679"/>
      <c r="KHG161" s="679"/>
      <c r="KHH161" s="679"/>
      <c r="KHI161" s="679"/>
      <c r="KHJ161" s="679"/>
      <c r="KHK161" s="679"/>
      <c r="KHL161" s="679"/>
      <c r="KHM161" s="679"/>
      <c r="KHN161" s="679"/>
      <c r="KHO161" s="679"/>
      <c r="KHP161" s="679"/>
      <c r="KHQ161" s="679"/>
      <c r="KHR161" s="679"/>
      <c r="KHS161" s="679"/>
      <c r="KHT161" s="679"/>
      <c r="KHU161" s="679"/>
      <c r="KHV161" s="679"/>
      <c r="KHW161" s="679"/>
      <c r="KHX161" s="679"/>
      <c r="KHY161" s="679"/>
      <c r="KHZ161" s="679"/>
      <c r="KIA161" s="679"/>
      <c r="KIB161" s="679"/>
      <c r="KIC161" s="679"/>
      <c r="KID161" s="679"/>
      <c r="KIE161" s="679"/>
      <c r="KIF161" s="679"/>
      <c r="KIG161" s="679"/>
      <c r="KIH161" s="679"/>
      <c r="KII161" s="679"/>
      <c r="KIJ161" s="679"/>
      <c r="KIK161" s="679"/>
      <c r="KIL161" s="679"/>
      <c r="KIM161" s="679"/>
      <c r="KIN161" s="679"/>
      <c r="KIO161" s="679"/>
      <c r="KIP161" s="679"/>
      <c r="KIQ161" s="679"/>
      <c r="KIR161" s="679"/>
      <c r="KIS161" s="679"/>
      <c r="KIT161" s="679"/>
      <c r="KIU161" s="679"/>
      <c r="KIV161" s="679"/>
      <c r="KIW161" s="679"/>
      <c r="KIX161" s="679"/>
      <c r="KIY161" s="679"/>
      <c r="KIZ161" s="679"/>
      <c r="KJA161" s="679"/>
      <c r="KJB161" s="679"/>
      <c r="KJC161" s="679"/>
      <c r="KJD161" s="679"/>
      <c r="KJE161" s="679"/>
      <c r="KJF161" s="679"/>
      <c r="KJG161" s="679"/>
      <c r="KJH161" s="679"/>
      <c r="KJI161" s="679"/>
      <c r="KJJ161" s="679"/>
      <c r="KJK161" s="679"/>
      <c r="KJL161" s="679"/>
      <c r="KJM161" s="679"/>
      <c r="KJN161" s="679"/>
      <c r="KJO161" s="679"/>
      <c r="KJP161" s="679"/>
      <c r="KJQ161" s="679"/>
      <c r="KJR161" s="679"/>
      <c r="KJS161" s="679"/>
      <c r="KJT161" s="679"/>
      <c r="KJU161" s="679"/>
      <c r="KJV161" s="679"/>
      <c r="KJW161" s="679"/>
      <c r="KJX161" s="679"/>
      <c r="KJY161" s="679"/>
      <c r="KJZ161" s="679"/>
      <c r="KKA161" s="679"/>
      <c r="KKB161" s="679"/>
      <c r="KKC161" s="679"/>
      <c r="KKD161" s="679"/>
      <c r="KKE161" s="679"/>
      <c r="KKF161" s="679"/>
      <c r="KKG161" s="679"/>
      <c r="KKH161" s="679"/>
      <c r="KKI161" s="679"/>
      <c r="KKJ161" s="679"/>
      <c r="KKK161" s="679"/>
      <c r="KKL161" s="679"/>
      <c r="KKM161" s="679"/>
      <c r="KKN161" s="679"/>
      <c r="KKO161" s="679"/>
      <c r="KKP161" s="679"/>
      <c r="KKQ161" s="679"/>
      <c r="KKR161" s="679"/>
      <c r="KKS161" s="679"/>
      <c r="KKT161" s="679"/>
      <c r="KKU161" s="679"/>
      <c r="KKV161" s="679"/>
      <c r="KKW161" s="679"/>
      <c r="KKX161" s="679"/>
      <c r="KKY161" s="679"/>
      <c r="KKZ161" s="679"/>
      <c r="KLA161" s="679"/>
      <c r="KLB161" s="679"/>
      <c r="KLC161" s="679"/>
      <c r="KLD161" s="679"/>
      <c r="KLE161" s="679"/>
      <c r="KLF161" s="679"/>
      <c r="KLG161" s="679"/>
      <c r="KLH161" s="679"/>
      <c r="KLI161" s="679"/>
      <c r="KLJ161" s="679"/>
      <c r="KLK161" s="679"/>
      <c r="KLL161" s="679"/>
      <c r="KLM161" s="679"/>
      <c r="KLN161" s="679"/>
      <c r="KLO161" s="679"/>
      <c r="KLP161" s="679"/>
      <c r="KLQ161" s="679"/>
      <c r="KLR161" s="679"/>
      <c r="KLS161" s="679"/>
      <c r="KLT161" s="679"/>
      <c r="KLU161" s="679"/>
      <c r="KLV161" s="679"/>
      <c r="KLW161" s="679"/>
      <c r="KLX161" s="679"/>
      <c r="KLY161" s="679"/>
      <c r="KLZ161" s="679"/>
      <c r="KMA161" s="679"/>
      <c r="KMB161" s="679"/>
      <c r="KMC161" s="679"/>
      <c r="KMD161" s="679"/>
      <c r="KME161" s="679"/>
      <c r="KMF161" s="679"/>
      <c r="KMG161" s="679"/>
      <c r="KMH161" s="679"/>
      <c r="KMI161" s="679"/>
      <c r="KMJ161" s="679"/>
      <c r="KMK161" s="679"/>
      <c r="KML161" s="679"/>
      <c r="KMM161" s="679"/>
      <c r="KMN161" s="679"/>
      <c r="KMO161" s="679"/>
      <c r="KMP161" s="679"/>
      <c r="KMQ161" s="679"/>
      <c r="KMR161" s="679"/>
      <c r="KMS161" s="679"/>
      <c r="KMT161" s="679"/>
      <c r="KMU161" s="679"/>
      <c r="KMV161" s="679"/>
      <c r="KMW161" s="679"/>
      <c r="KMX161" s="679"/>
      <c r="KMY161" s="679"/>
      <c r="KMZ161" s="679"/>
      <c r="KNA161" s="679"/>
      <c r="KNB161" s="679"/>
      <c r="KNC161" s="679"/>
      <c r="KND161" s="679"/>
      <c r="KNE161" s="679"/>
      <c r="KNF161" s="679"/>
      <c r="KNG161" s="679"/>
      <c r="KNH161" s="679"/>
      <c r="KNI161" s="679"/>
      <c r="KNJ161" s="679"/>
      <c r="KNK161" s="679"/>
      <c r="KNL161" s="679"/>
      <c r="KNM161" s="679"/>
      <c r="KNN161" s="679"/>
      <c r="KNO161" s="679"/>
      <c r="KNP161" s="679"/>
      <c r="KNQ161" s="679"/>
      <c r="KNR161" s="679"/>
      <c r="KNS161" s="679"/>
      <c r="KNT161" s="679"/>
      <c r="KNU161" s="679"/>
      <c r="KNV161" s="679"/>
      <c r="KNW161" s="679"/>
      <c r="KNX161" s="679"/>
      <c r="KNY161" s="679"/>
      <c r="KNZ161" s="679"/>
      <c r="KOA161" s="679"/>
      <c r="KOB161" s="679"/>
      <c r="KOC161" s="679"/>
      <c r="KOD161" s="679"/>
      <c r="KOE161" s="679"/>
      <c r="KOF161" s="679"/>
      <c r="KOG161" s="679"/>
      <c r="KOH161" s="679"/>
      <c r="KOI161" s="679"/>
      <c r="KOJ161" s="679"/>
      <c r="KOK161" s="679"/>
      <c r="KOL161" s="679"/>
      <c r="KOM161" s="679"/>
      <c r="KON161" s="679"/>
      <c r="KOO161" s="679"/>
      <c r="KOP161" s="679"/>
      <c r="KOQ161" s="679"/>
      <c r="KOR161" s="679"/>
      <c r="KOS161" s="679"/>
      <c r="KOT161" s="679"/>
      <c r="KOU161" s="679"/>
      <c r="KOV161" s="679"/>
      <c r="KOW161" s="679"/>
      <c r="KOX161" s="679"/>
      <c r="KOY161" s="679"/>
      <c r="KOZ161" s="679"/>
      <c r="KPA161" s="679"/>
      <c r="KPB161" s="679"/>
      <c r="KPC161" s="679"/>
      <c r="KPD161" s="679"/>
      <c r="KPE161" s="679"/>
      <c r="KPF161" s="679"/>
      <c r="KPG161" s="679"/>
      <c r="KPH161" s="679"/>
      <c r="KPI161" s="679"/>
      <c r="KPJ161" s="679"/>
      <c r="KPK161" s="679"/>
      <c r="KPL161" s="679"/>
      <c r="KPM161" s="679"/>
      <c r="KPN161" s="679"/>
      <c r="KPO161" s="679"/>
      <c r="KPP161" s="679"/>
      <c r="KPQ161" s="679"/>
      <c r="KPR161" s="679"/>
      <c r="KPS161" s="679"/>
      <c r="KPT161" s="679"/>
      <c r="KPU161" s="679"/>
      <c r="KPV161" s="679"/>
      <c r="KPW161" s="679"/>
      <c r="KPX161" s="679"/>
      <c r="KPY161" s="679"/>
      <c r="KPZ161" s="679"/>
      <c r="KQA161" s="679"/>
      <c r="KQB161" s="679"/>
      <c r="KQC161" s="679"/>
      <c r="KQD161" s="679"/>
      <c r="KQE161" s="679"/>
      <c r="KQF161" s="679"/>
      <c r="KQG161" s="679"/>
      <c r="KQH161" s="679"/>
      <c r="KQI161" s="679"/>
      <c r="KQJ161" s="679"/>
      <c r="KQK161" s="679"/>
      <c r="KQL161" s="679"/>
      <c r="KQM161" s="679"/>
      <c r="KQN161" s="679"/>
      <c r="KQO161" s="679"/>
      <c r="KQP161" s="679"/>
      <c r="KQQ161" s="679"/>
      <c r="KQR161" s="679"/>
      <c r="KQS161" s="679"/>
      <c r="KQT161" s="679"/>
      <c r="KQU161" s="679"/>
      <c r="KQV161" s="679"/>
      <c r="KQW161" s="679"/>
      <c r="KQX161" s="679"/>
      <c r="KQY161" s="679"/>
      <c r="KQZ161" s="679"/>
      <c r="KRA161" s="679"/>
      <c r="KRB161" s="679"/>
      <c r="KRC161" s="679"/>
      <c r="KRD161" s="679"/>
      <c r="KRE161" s="679"/>
      <c r="KRF161" s="679"/>
      <c r="KRG161" s="679"/>
      <c r="KRH161" s="679"/>
      <c r="KRI161" s="679"/>
      <c r="KRJ161" s="679"/>
      <c r="KRK161" s="679"/>
      <c r="KRL161" s="679"/>
      <c r="KRM161" s="679"/>
      <c r="KRN161" s="679"/>
      <c r="KRO161" s="679"/>
      <c r="KRP161" s="679"/>
      <c r="KRQ161" s="679"/>
      <c r="KRR161" s="679"/>
      <c r="KRS161" s="679"/>
      <c r="KRT161" s="679"/>
      <c r="KRU161" s="679"/>
      <c r="KRV161" s="679"/>
      <c r="KRW161" s="679"/>
      <c r="KRX161" s="679"/>
      <c r="KRY161" s="679"/>
      <c r="KRZ161" s="679"/>
      <c r="KSA161" s="679"/>
      <c r="KSB161" s="679"/>
      <c r="KSC161" s="679"/>
      <c r="KSD161" s="679"/>
      <c r="KSE161" s="679"/>
      <c r="KSF161" s="679"/>
      <c r="KSG161" s="679"/>
      <c r="KSH161" s="679"/>
      <c r="KSI161" s="679"/>
      <c r="KSJ161" s="679"/>
      <c r="KSK161" s="679"/>
      <c r="KSL161" s="679"/>
      <c r="KSM161" s="679"/>
      <c r="KSN161" s="679"/>
      <c r="KSO161" s="679"/>
      <c r="KSP161" s="679"/>
      <c r="KSQ161" s="679"/>
      <c r="KSR161" s="679"/>
      <c r="KSS161" s="679"/>
      <c r="KST161" s="679"/>
      <c r="KSU161" s="679"/>
      <c r="KSV161" s="679"/>
      <c r="KSW161" s="679"/>
      <c r="KSX161" s="679"/>
      <c r="KSY161" s="679"/>
      <c r="KSZ161" s="679"/>
      <c r="KTA161" s="679"/>
      <c r="KTB161" s="679"/>
      <c r="KTC161" s="679"/>
      <c r="KTD161" s="679"/>
      <c r="KTE161" s="679"/>
      <c r="KTF161" s="679"/>
      <c r="KTG161" s="679"/>
      <c r="KTH161" s="679"/>
      <c r="KTI161" s="679"/>
      <c r="KTJ161" s="679"/>
      <c r="KTK161" s="679"/>
      <c r="KTL161" s="679"/>
      <c r="KTM161" s="679"/>
      <c r="KTN161" s="679"/>
      <c r="KTO161" s="679"/>
      <c r="KTP161" s="679"/>
      <c r="KTQ161" s="679"/>
      <c r="KTR161" s="679"/>
      <c r="KTS161" s="679"/>
      <c r="KTT161" s="679"/>
      <c r="KTU161" s="679"/>
      <c r="KTV161" s="679"/>
      <c r="KTW161" s="679"/>
      <c r="KTX161" s="679"/>
      <c r="KTY161" s="679"/>
      <c r="KTZ161" s="679"/>
      <c r="KUA161" s="679"/>
      <c r="KUB161" s="679"/>
      <c r="KUC161" s="679"/>
      <c r="KUD161" s="679"/>
      <c r="KUE161" s="679"/>
      <c r="KUF161" s="679"/>
      <c r="KUG161" s="679"/>
      <c r="KUH161" s="679"/>
      <c r="KUI161" s="679"/>
      <c r="KUJ161" s="679"/>
      <c r="KUK161" s="679"/>
      <c r="KUL161" s="679"/>
      <c r="KUM161" s="679"/>
      <c r="KUN161" s="679"/>
      <c r="KUO161" s="679"/>
      <c r="KUP161" s="679"/>
      <c r="KUQ161" s="679"/>
      <c r="KUR161" s="679"/>
      <c r="KUS161" s="679"/>
      <c r="KUT161" s="679"/>
      <c r="KUU161" s="679"/>
      <c r="KUV161" s="679"/>
      <c r="KUW161" s="679"/>
      <c r="KUX161" s="679"/>
      <c r="KUY161" s="679"/>
      <c r="KUZ161" s="679"/>
      <c r="KVA161" s="679"/>
      <c r="KVB161" s="679"/>
      <c r="KVC161" s="679"/>
      <c r="KVD161" s="679"/>
      <c r="KVE161" s="679"/>
      <c r="KVF161" s="679"/>
      <c r="KVG161" s="679"/>
      <c r="KVH161" s="679"/>
      <c r="KVI161" s="679"/>
      <c r="KVJ161" s="679"/>
      <c r="KVK161" s="679"/>
      <c r="KVL161" s="679"/>
      <c r="KVM161" s="679"/>
      <c r="KVN161" s="679"/>
      <c r="KVO161" s="679"/>
      <c r="KVP161" s="679"/>
      <c r="KVQ161" s="679"/>
      <c r="KVR161" s="679"/>
      <c r="KVS161" s="679"/>
      <c r="KVT161" s="679"/>
      <c r="KVU161" s="679"/>
      <c r="KVV161" s="679"/>
      <c r="KVW161" s="679"/>
      <c r="KVX161" s="679"/>
      <c r="KVY161" s="679"/>
      <c r="KVZ161" s="679"/>
      <c r="KWA161" s="679"/>
      <c r="KWB161" s="679"/>
      <c r="KWC161" s="679"/>
      <c r="KWD161" s="679"/>
      <c r="KWE161" s="679"/>
      <c r="KWF161" s="679"/>
      <c r="KWG161" s="679"/>
      <c r="KWH161" s="679"/>
      <c r="KWI161" s="679"/>
      <c r="KWJ161" s="679"/>
      <c r="KWK161" s="679"/>
      <c r="KWL161" s="679"/>
      <c r="KWM161" s="679"/>
      <c r="KWN161" s="679"/>
      <c r="KWO161" s="679"/>
      <c r="KWP161" s="679"/>
      <c r="KWQ161" s="679"/>
      <c r="KWR161" s="679"/>
      <c r="KWS161" s="679"/>
      <c r="KWT161" s="679"/>
      <c r="KWU161" s="679"/>
      <c r="KWV161" s="679"/>
      <c r="KWW161" s="679"/>
      <c r="KWX161" s="679"/>
      <c r="KWY161" s="679"/>
      <c r="KWZ161" s="679"/>
      <c r="KXA161" s="679"/>
      <c r="KXB161" s="679"/>
      <c r="KXC161" s="679"/>
      <c r="KXD161" s="679"/>
      <c r="KXE161" s="679"/>
      <c r="KXF161" s="679"/>
      <c r="KXG161" s="679"/>
      <c r="KXH161" s="679"/>
      <c r="KXI161" s="679"/>
      <c r="KXJ161" s="679"/>
      <c r="KXK161" s="679"/>
      <c r="KXL161" s="679"/>
      <c r="KXM161" s="679"/>
      <c r="KXN161" s="679"/>
      <c r="KXO161" s="679"/>
      <c r="KXP161" s="679"/>
      <c r="KXQ161" s="679"/>
      <c r="KXR161" s="679"/>
      <c r="KXS161" s="679"/>
      <c r="KXT161" s="679"/>
      <c r="KXU161" s="679"/>
      <c r="KXV161" s="679"/>
      <c r="KXW161" s="679"/>
      <c r="KXX161" s="679"/>
      <c r="KXY161" s="679"/>
      <c r="KXZ161" s="679"/>
      <c r="KYA161" s="679"/>
      <c r="KYB161" s="679"/>
      <c r="KYC161" s="679"/>
      <c r="KYD161" s="679"/>
      <c r="KYE161" s="679"/>
      <c r="KYF161" s="679"/>
      <c r="KYG161" s="679"/>
      <c r="KYH161" s="679"/>
      <c r="KYI161" s="679"/>
      <c r="KYJ161" s="679"/>
      <c r="KYK161" s="679"/>
      <c r="KYL161" s="679"/>
      <c r="KYM161" s="679"/>
      <c r="KYN161" s="679"/>
      <c r="KYO161" s="679"/>
      <c r="KYP161" s="679"/>
      <c r="KYQ161" s="679"/>
      <c r="KYR161" s="679"/>
      <c r="KYS161" s="679"/>
      <c r="KYT161" s="679"/>
      <c r="KYU161" s="679"/>
      <c r="KYV161" s="679"/>
      <c r="KYW161" s="679"/>
      <c r="KYX161" s="679"/>
      <c r="KYY161" s="679"/>
      <c r="KYZ161" s="679"/>
      <c r="KZA161" s="679"/>
      <c r="KZB161" s="679"/>
      <c r="KZC161" s="679"/>
      <c r="KZD161" s="679"/>
      <c r="KZE161" s="679"/>
      <c r="KZF161" s="679"/>
      <c r="KZG161" s="679"/>
      <c r="KZH161" s="679"/>
      <c r="KZI161" s="679"/>
      <c r="KZJ161" s="679"/>
      <c r="KZK161" s="679"/>
      <c r="KZL161" s="679"/>
      <c r="KZM161" s="679"/>
      <c r="KZN161" s="679"/>
      <c r="KZO161" s="679"/>
      <c r="KZP161" s="679"/>
      <c r="KZQ161" s="679"/>
      <c r="KZR161" s="679"/>
      <c r="KZS161" s="679"/>
      <c r="KZT161" s="679"/>
      <c r="KZU161" s="679"/>
      <c r="KZV161" s="679"/>
      <c r="KZW161" s="679"/>
      <c r="KZX161" s="679"/>
      <c r="KZY161" s="679"/>
      <c r="KZZ161" s="679"/>
      <c r="LAA161" s="679"/>
      <c r="LAB161" s="679"/>
      <c r="LAC161" s="679"/>
      <c r="LAD161" s="679"/>
      <c r="LAE161" s="679"/>
      <c r="LAF161" s="679"/>
      <c r="LAG161" s="679"/>
      <c r="LAH161" s="679"/>
      <c r="LAI161" s="679"/>
      <c r="LAJ161" s="679"/>
      <c r="LAK161" s="679"/>
      <c r="LAL161" s="679"/>
      <c r="LAM161" s="679"/>
      <c r="LAN161" s="679"/>
      <c r="LAO161" s="679"/>
      <c r="LAP161" s="679"/>
      <c r="LAQ161" s="679"/>
      <c r="LAR161" s="679"/>
      <c r="LAS161" s="679"/>
      <c r="LAT161" s="679"/>
      <c r="LAU161" s="679"/>
      <c r="LAV161" s="679"/>
      <c r="LAW161" s="679"/>
      <c r="LAX161" s="679"/>
      <c r="LAY161" s="679"/>
      <c r="LAZ161" s="679"/>
      <c r="LBA161" s="679"/>
      <c r="LBB161" s="679"/>
      <c r="LBC161" s="679"/>
      <c r="LBD161" s="679"/>
      <c r="LBE161" s="679"/>
      <c r="LBF161" s="679"/>
      <c r="LBG161" s="679"/>
      <c r="LBH161" s="679"/>
      <c r="LBI161" s="679"/>
      <c r="LBJ161" s="679"/>
      <c r="LBK161" s="679"/>
      <c r="LBL161" s="679"/>
      <c r="LBM161" s="679"/>
      <c r="LBN161" s="679"/>
      <c r="LBO161" s="679"/>
      <c r="LBP161" s="679"/>
      <c r="LBQ161" s="679"/>
      <c r="LBR161" s="679"/>
      <c r="LBS161" s="679"/>
      <c r="LBT161" s="679"/>
      <c r="LBU161" s="679"/>
      <c r="LBV161" s="679"/>
      <c r="LBW161" s="679"/>
      <c r="LBX161" s="679"/>
      <c r="LBY161" s="679"/>
      <c r="LBZ161" s="679"/>
      <c r="LCA161" s="679"/>
      <c r="LCB161" s="679"/>
      <c r="LCC161" s="679"/>
      <c r="LCD161" s="679"/>
      <c r="LCE161" s="679"/>
      <c r="LCF161" s="679"/>
      <c r="LCG161" s="679"/>
      <c r="LCH161" s="679"/>
      <c r="LCI161" s="679"/>
      <c r="LCJ161" s="679"/>
      <c r="LCK161" s="679"/>
      <c r="LCL161" s="679"/>
      <c r="LCM161" s="679"/>
      <c r="LCN161" s="679"/>
      <c r="LCO161" s="679"/>
      <c r="LCP161" s="679"/>
      <c r="LCQ161" s="679"/>
      <c r="LCR161" s="679"/>
      <c r="LCS161" s="679"/>
      <c r="LCT161" s="679"/>
      <c r="LCU161" s="679"/>
      <c r="LCV161" s="679"/>
      <c r="LCW161" s="679"/>
      <c r="LCX161" s="679"/>
      <c r="LCY161" s="679"/>
      <c r="LCZ161" s="679"/>
      <c r="LDA161" s="679"/>
      <c r="LDB161" s="679"/>
      <c r="LDC161" s="679"/>
      <c r="LDD161" s="679"/>
      <c r="LDE161" s="679"/>
      <c r="LDF161" s="679"/>
      <c r="LDG161" s="679"/>
      <c r="LDH161" s="679"/>
      <c r="LDI161" s="679"/>
      <c r="LDJ161" s="679"/>
      <c r="LDK161" s="679"/>
      <c r="LDL161" s="679"/>
      <c r="LDM161" s="679"/>
      <c r="LDN161" s="679"/>
      <c r="LDO161" s="679"/>
      <c r="LDP161" s="679"/>
      <c r="LDQ161" s="679"/>
      <c r="LDR161" s="679"/>
      <c r="LDS161" s="679"/>
      <c r="LDT161" s="679"/>
      <c r="LDU161" s="679"/>
      <c r="LDV161" s="679"/>
      <c r="LDW161" s="679"/>
      <c r="LDX161" s="679"/>
      <c r="LDY161" s="679"/>
      <c r="LDZ161" s="679"/>
      <c r="LEA161" s="679"/>
      <c r="LEB161" s="679"/>
      <c r="LEC161" s="679"/>
      <c r="LED161" s="679"/>
      <c r="LEE161" s="679"/>
      <c r="LEF161" s="679"/>
      <c r="LEG161" s="679"/>
      <c r="LEH161" s="679"/>
      <c r="LEI161" s="679"/>
      <c r="LEJ161" s="679"/>
      <c r="LEK161" s="679"/>
      <c r="LEL161" s="679"/>
      <c r="LEM161" s="679"/>
      <c r="LEN161" s="679"/>
      <c r="LEO161" s="679"/>
      <c r="LEP161" s="679"/>
      <c r="LEQ161" s="679"/>
      <c r="LER161" s="679"/>
      <c r="LES161" s="679"/>
      <c r="LET161" s="679"/>
      <c r="LEU161" s="679"/>
      <c r="LEV161" s="679"/>
      <c r="LEW161" s="679"/>
      <c r="LEX161" s="679"/>
      <c r="LEY161" s="679"/>
      <c r="LEZ161" s="679"/>
      <c r="LFA161" s="679"/>
      <c r="LFB161" s="679"/>
      <c r="LFC161" s="679"/>
      <c r="LFD161" s="679"/>
      <c r="LFE161" s="679"/>
      <c r="LFF161" s="679"/>
      <c r="LFG161" s="679"/>
      <c r="LFH161" s="679"/>
      <c r="LFI161" s="679"/>
      <c r="LFJ161" s="679"/>
      <c r="LFK161" s="679"/>
      <c r="LFL161" s="679"/>
      <c r="LFM161" s="679"/>
      <c r="LFN161" s="679"/>
      <c r="LFO161" s="679"/>
      <c r="LFP161" s="679"/>
      <c r="LFQ161" s="679"/>
      <c r="LFR161" s="679"/>
      <c r="LFS161" s="679"/>
      <c r="LFT161" s="679"/>
      <c r="LFU161" s="679"/>
      <c r="LFV161" s="679"/>
      <c r="LFW161" s="679"/>
      <c r="LFX161" s="679"/>
      <c r="LFY161" s="679"/>
      <c r="LFZ161" s="679"/>
      <c r="LGA161" s="679"/>
      <c r="LGB161" s="679"/>
      <c r="LGC161" s="679"/>
      <c r="LGD161" s="679"/>
      <c r="LGE161" s="679"/>
      <c r="LGF161" s="679"/>
      <c r="LGG161" s="679"/>
      <c r="LGH161" s="679"/>
      <c r="LGI161" s="679"/>
      <c r="LGJ161" s="679"/>
      <c r="LGK161" s="679"/>
      <c r="LGL161" s="679"/>
      <c r="LGM161" s="679"/>
      <c r="LGN161" s="679"/>
      <c r="LGO161" s="679"/>
      <c r="LGP161" s="679"/>
      <c r="LGQ161" s="679"/>
      <c r="LGR161" s="679"/>
      <c r="LGS161" s="679"/>
      <c r="LGT161" s="679"/>
      <c r="LGU161" s="679"/>
      <c r="LGV161" s="679"/>
      <c r="LGW161" s="679"/>
      <c r="LGX161" s="679"/>
      <c r="LGY161" s="679"/>
      <c r="LGZ161" s="679"/>
      <c r="LHA161" s="679"/>
      <c r="LHB161" s="679"/>
      <c r="LHC161" s="679"/>
      <c r="LHD161" s="679"/>
      <c r="LHE161" s="679"/>
      <c r="LHF161" s="679"/>
      <c r="LHG161" s="679"/>
      <c r="LHH161" s="679"/>
      <c r="LHI161" s="679"/>
      <c r="LHJ161" s="679"/>
      <c r="LHK161" s="679"/>
      <c r="LHL161" s="679"/>
      <c r="LHM161" s="679"/>
      <c r="LHN161" s="679"/>
      <c r="LHO161" s="679"/>
      <c r="LHP161" s="679"/>
      <c r="LHQ161" s="679"/>
      <c r="LHR161" s="679"/>
      <c r="LHS161" s="679"/>
      <c r="LHT161" s="679"/>
      <c r="LHU161" s="679"/>
      <c r="LHV161" s="679"/>
      <c r="LHW161" s="679"/>
      <c r="LHX161" s="679"/>
      <c r="LHY161" s="679"/>
      <c r="LHZ161" s="679"/>
      <c r="LIA161" s="679"/>
      <c r="LIB161" s="679"/>
      <c r="LIC161" s="679"/>
      <c r="LID161" s="679"/>
      <c r="LIE161" s="679"/>
      <c r="LIF161" s="679"/>
      <c r="LIG161" s="679"/>
      <c r="LIH161" s="679"/>
      <c r="LII161" s="679"/>
      <c r="LIJ161" s="679"/>
      <c r="LIK161" s="679"/>
      <c r="LIL161" s="679"/>
      <c r="LIM161" s="679"/>
      <c r="LIN161" s="679"/>
      <c r="LIO161" s="679"/>
      <c r="LIP161" s="679"/>
      <c r="LIQ161" s="679"/>
      <c r="LIR161" s="679"/>
      <c r="LIS161" s="679"/>
      <c r="LIT161" s="679"/>
      <c r="LIU161" s="679"/>
      <c r="LIV161" s="679"/>
      <c r="LIW161" s="679"/>
      <c r="LIX161" s="679"/>
      <c r="LIY161" s="679"/>
      <c r="LIZ161" s="679"/>
      <c r="LJA161" s="679"/>
      <c r="LJB161" s="679"/>
      <c r="LJC161" s="679"/>
      <c r="LJD161" s="679"/>
      <c r="LJE161" s="679"/>
      <c r="LJF161" s="679"/>
      <c r="LJG161" s="679"/>
      <c r="LJH161" s="679"/>
      <c r="LJI161" s="679"/>
      <c r="LJJ161" s="679"/>
      <c r="LJK161" s="679"/>
      <c r="LJL161" s="679"/>
      <c r="LJM161" s="679"/>
      <c r="LJN161" s="679"/>
      <c r="LJO161" s="679"/>
      <c r="LJP161" s="679"/>
      <c r="LJQ161" s="679"/>
      <c r="LJR161" s="679"/>
      <c r="LJS161" s="679"/>
      <c r="LJT161" s="679"/>
      <c r="LJU161" s="679"/>
      <c r="LJV161" s="679"/>
      <c r="LJW161" s="679"/>
      <c r="LJX161" s="679"/>
      <c r="LJY161" s="679"/>
      <c r="LJZ161" s="679"/>
      <c r="LKA161" s="679"/>
      <c r="LKB161" s="679"/>
      <c r="LKC161" s="679"/>
      <c r="LKD161" s="679"/>
      <c r="LKE161" s="679"/>
      <c r="LKF161" s="679"/>
      <c r="LKG161" s="679"/>
      <c r="LKH161" s="679"/>
      <c r="LKI161" s="679"/>
      <c r="LKJ161" s="679"/>
      <c r="LKK161" s="679"/>
      <c r="LKL161" s="679"/>
      <c r="LKM161" s="679"/>
      <c r="LKN161" s="679"/>
      <c r="LKO161" s="679"/>
      <c r="LKP161" s="679"/>
      <c r="LKQ161" s="679"/>
      <c r="LKR161" s="679"/>
      <c r="LKS161" s="679"/>
      <c r="LKT161" s="679"/>
      <c r="LKU161" s="679"/>
      <c r="LKV161" s="679"/>
      <c r="LKW161" s="679"/>
      <c r="LKX161" s="679"/>
      <c r="LKY161" s="679"/>
      <c r="LKZ161" s="679"/>
      <c r="LLA161" s="679"/>
      <c r="LLB161" s="679"/>
      <c r="LLC161" s="679"/>
      <c r="LLD161" s="679"/>
      <c r="LLE161" s="679"/>
      <c r="LLF161" s="679"/>
      <c r="LLG161" s="679"/>
      <c r="LLH161" s="679"/>
      <c r="LLI161" s="679"/>
      <c r="LLJ161" s="679"/>
      <c r="LLK161" s="679"/>
      <c r="LLL161" s="679"/>
      <c r="LLM161" s="679"/>
      <c r="LLN161" s="679"/>
      <c r="LLO161" s="679"/>
      <c r="LLP161" s="679"/>
      <c r="LLQ161" s="679"/>
      <c r="LLR161" s="679"/>
      <c r="LLS161" s="679"/>
      <c r="LLT161" s="679"/>
      <c r="LLU161" s="679"/>
      <c r="LLV161" s="679"/>
      <c r="LLW161" s="679"/>
      <c r="LLX161" s="679"/>
      <c r="LLY161" s="679"/>
      <c r="LLZ161" s="679"/>
      <c r="LMA161" s="679"/>
      <c r="LMB161" s="679"/>
      <c r="LMC161" s="679"/>
      <c r="LMD161" s="679"/>
      <c r="LME161" s="679"/>
      <c r="LMF161" s="679"/>
      <c r="LMG161" s="679"/>
      <c r="LMH161" s="679"/>
      <c r="LMI161" s="679"/>
      <c r="LMJ161" s="679"/>
      <c r="LMK161" s="679"/>
      <c r="LML161" s="679"/>
      <c r="LMM161" s="679"/>
      <c r="LMN161" s="679"/>
      <c r="LMO161" s="679"/>
      <c r="LMP161" s="679"/>
      <c r="LMQ161" s="679"/>
      <c r="LMR161" s="679"/>
      <c r="LMS161" s="679"/>
      <c r="LMT161" s="679"/>
      <c r="LMU161" s="679"/>
      <c r="LMV161" s="679"/>
      <c r="LMW161" s="679"/>
      <c r="LMX161" s="679"/>
      <c r="LMY161" s="679"/>
      <c r="LMZ161" s="679"/>
      <c r="LNA161" s="679"/>
      <c r="LNB161" s="679"/>
      <c r="LNC161" s="679"/>
      <c r="LND161" s="679"/>
      <c r="LNE161" s="679"/>
      <c r="LNF161" s="679"/>
      <c r="LNG161" s="679"/>
      <c r="LNH161" s="679"/>
      <c r="LNI161" s="679"/>
      <c r="LNJ161" s="679"/>
      <c r="LNK161" s="679"/>
      <c r="LNL161" s="679"/>
      <c r="LNM161" s="679"/>
      <c r="LNN161" s="679"/>
      <c r="LNO161" s="679"/>
      <c r="LNP161" s="679"/>
      <c r="LNQ161" s="679"/>
      <c r="LNR161" s="679"/>
      <c r="LNS161" s="679"/>
      <c r="LNT161" s="679"/>
      <c r="LNU161" s="679"/>
      <c r="LNV161" s="679"/>
      <c r="LNW161" s="679"/>
      <c r="LNX161" s="679"/>
      <c r="LNY161" s="679"/>
      <c r="LNZ161" s="679"/>
      <c r="LOA161" s="679"/>
      <c r="LOB161" s="679"/>
      <c r="LOC161" s="679"/>
      <c r="LOD161" s="679"/>
      <c r="LOE161" s="679"/>
      <c r="LOF161" s="679"/>
      <c r="LOG161" s="679"/>
      <c r="LOH161" s="679"/>
      <c r="LOI161" s="679"/>
      <c r="LOJ161" s="679"/>
      <c r="LOK161" s="679"/>
      <c r="LOL161" s="679"/>
      <c r="LOM161" s="679"/>
      <c r="LON161" s="679"/>
      <c r="LOO161" s="679"/>
      <c r="LOP161" s="679"/>
      <c r="LOQ161" s="679"/>
      <c r="LOR161" s="679"/>
      <c r="LOS161" s="679"/>
      <c r="LOT161" s="679"/>
      <c r="LOU161" s="679"/>
      <c r="LOV161" s="679"/>
      <c r="LOW161" s="679"/>
      <c r="LOX161" s="679"/>
      <c r="LOY161" s="679"/>
      <c r="LOZ161" s="679"/>
      <c r="LPA161" s="679"/>
      <c r="LPB161" s="679"/>
      <c r="LPC161" s="679"/>
      <c r="LPD161" s="679"/>
      <c r="LPE161" s="679"/>
      <c r="LPF161" s="679"/>
      <c r="LPG161" s="679"/>
      <c r="LPH161" s="679"/>
      <c r="LPI161" s="679"/>
      <c r="LPJ161" s="679"/>
      <c r="LPK161" s="679"/>
      <c r="LPL161" s="679"/>
      <c r="LPM161" s="679"/>
      <c r="LPN161" s="679"/>
      <c r="LPO161" s="679"/>
      <c r="LPP161" s="679"/>
      <c r="LPQ161" s="679"/>
      <c r="LPR161" s="679"/>
      <c r="LPS161" s="679"/>
      <c r="LPT161" s="679"/>
      <c r="LPU161" s="679"/>
      <c r="LPV161" s="679"/>
      <c r="LPW161" s="679"/>
      <c r="LPX161" s="679"/>
      <c r="LPY161" s="679"/>
      <c r="LPZ161" s="679"/>
      <c r="LQA161" s="679"/>
      <c r="LQB161" s="679"/>
      <c r="LQC161" s="679"/>
      <c r="LQD161" s="679"/>
      <c r="LQE161" s="679"/>
      <c r="LQF161" s="679"/>
      <c r="LQG161" s="679"/>
      <c r="LQH161" s="679"/>
      <c r="LQI161" s="679"/>
      <c r="LQJ161" s="679"/>
      <c r="LQK161" s="679"/>
      <c r="LQL161" s="679"/>
      <c r="LQM161" s="679"/>
      <c r="LQN161" s="679"/>
      <c r="LQO161" s="679"/>
      <c r="LQP161" s="679"/>
      <c r="LQQ161" s="679"/>
      <c r="LQR161" s="679"/>
      <c r="LQS161" s="679"/>
      <c r="LQT161" s="679"/>
      <c r="LQU161" s="679"/>
      <c r="LQV161" s="679"/>
      <c r="LQW161" s="679"/>
      <c r="LQX161" s="679"/>
      <c r="LQY161" s="679"/>
      <c r="LQZ161" s="679"/>
      <c r="LRA161" s="679"/>
      <c r="LRB161" s="679"/>
      <c r="LRC161" s="679"/>
      <c r="LRD161" s="679"/>
      <c r="LRE161" s="679"/>
      <c r="LRF161" s="679"/>
      <c r="LRG161" s="679"/>
      <c r="LRH161" s="679"/>
      <c r="LRI161" s="679"/>
      <c r="LRJ161" s="679"/>
      <c r="LRK161" s="679"/>
      <c r="LRL161" s="679"/>
      <c r="LRM161" s="679"/>
      <c r="LRN161" s="679"/>
      <c r="LRO161" s="679"/>
      <c r="LRP161" s="679"/>
      <c r="LRQ161" s="679"/>
      <c r="LRR161" s="679"/>
      <c r="LRS161" s="679"/>
      <c r="LRT161" s="679"/>
      <c r="LRU161" s="679"/>
      <c r="LRV161" s="679"/>
      <c r="LRW161" s="679"/>
      <c r="LRX161" s="679"/>
      <c r="LRY161" s="679"/>
      <c r="LRZ161" s="679"/>
      <c r="LSA161" s="679"/>
      <c r="LSB161" s="679"/>
      <c r="LSC161" s="679"/>
      <c r="LSD161" s="679"/>
      <c r="LSE161" s="679"/>
      <c r="LSF161" s="679"/>
      <c r="LSG161" s="679"/>
      <c r="LSH161" s="679"/>
      <c r="LSI161" s="679"/>
      <c r="LSJ161" s="679"/>
      <c r="LSK161" s="679"/>
      <c r="LSL161" s="679"/>
      <c r="LSM161" s="679"/>
      <c r="LSN161" s="679"/>
      <c r="LSO161" s="679"/>
      <c r="LSP161" s="679"/>
      <c r="LSQ161" s="679"/>
      <c r="LSR161" s="679"/>
      <c r="LSS161" s="679"/>
      <c r="LST161" s="679"/>
      <c r="LSU161" s="679"/>
      <c r="LSV161" s="679"/>
      <c r="LSW161" s="679"/>
      <c r="LSX161" s="679"/>
      <c r="LSY161" s="679"/>
      <c r="LSZ161" s="679"/>
      <c r="LTA161" s="679"/>
      <c r="LTB161" s="679"/>
      <c r="LTC161" s="679"/>
      <c r="LTD161" s="679"/>
      <c r="LTE161" s="679"/>
      <c r="LTF161" s="679"/>
      <c r="LTG161" s="679"/>
      <c r="LTH161" s="679"/>
      <c r="LTI161" s="679"/>
      <c r="LTJ161" s="679"/>
      <c r="LTK161" s="679"/>
      <c r="LTL161" s="679"/>
      <c r="LTM161" s="679"/>
      <c r="LTN161" s="679"/>
      <c r="LTO161" s="679"/>
      <c r="LTP161" s="679"/>
      <c r="LTQ161" s="679"/>
      <c r="LTR161" s="679"/>
      <c r="LTS161" s="679"/>
      <c r="LTT161" s="679"/>
      <c r="LTU161" s="679"/>
      <c r="LTV161" s="679"/>
      <c r="LTW161" s="679"/>
      <c r="LTX161" s="679"/>
      <c r="LTY161" s="679"/>
      <c r="LTZ161" s="679"/>
      <c r="LUA161" s="679"/>
      <c r="LUB161" s="679"/>
      <c r="LUC161" s="679"/>
      <c r="LUD161" s="679"/>
      <c r="LUE161" s="679"/>
      <c r="LUF161" s="679"/>
      <c r="LUG161" s="679"/>
      <c r="LUH161" s="679"/>
      <c r="LUI161" s="679"/>
      <c r="LUJ161" s="679"/>
      <c r="LUK161" s="679"/>
      <c r="LUL161" s="679"/>
      <c r="LUM161" s="679"/>
      <c r="LUN161" s="679"/>
      <c r="LUO161" s="679"/>
      <c r="LUP161" s="679"/>
      <c r="LUQ161" s="679"/>
      <c r="LUR161" s="679"/>
      <c r="LUS161" s="679"/>
      <c r="LUT161" s="679"/>
      <c r="LUU161" s="679"/>
      <c r="LUV161" s="679"/>
      <c r="LUW161" s="679"/>
      <c r="LUX161" s="679"/>
      <c r="LUY161" s="679"/>
      <c r="LUZ161" s="679"/>
      <c r="LVA161" s="679"/>
      <c r="LVB161" s="679"/>
      <c r="LVC161" s="679"/>
      <c r="LVD161" s="679"/>
      <c r="LVE161" s="679"/>
      <c r="LVF161" s="679"/>
      <c r="LVG161" s="679"/>
      <c r="LVH161" s="679"/>
      <c r="LVI161" s="679"/>
      <c r="LVJ161" s="679"/>
      <c r="LVK161" s="679"/>
      <c r="LVL161" s="679"/>
      <c r="LVM161" s="679"/>
      <c r="LVN161" s="679"/>
      <c r="LVO161" s="679"/>
      <c r="LVP161" s="679"/>
      <c r="LVQ161" s="679"/>
      <c r="LVR161" s="679"/>
      <c r="LVS161" s="679"/>
      <c r="LVT161" s="679"/>
      <c r="LVU161" s="679"/>
      <c r="LVV161" s="679"/>
      <c r="LVW161" s="679"/>
      <c r="LVX161" s="679"/>
      <c r="LVY161" s="679"/>
      <c r="LVZ161" s="679"/>
      <c r="LWA161" s="679"/>
      <c r="LWB161" s="679"/>
      <c r="LWC161" s="679"/>
      <c r="LWD161" s="679"/>
      <c r="LWE161" s="679"/>
      <c r="LWF161" s="679"/>
      <c r="LWG161" s="679"/>
      <c r="LWH161" s="679"/>
      <c r="LWI161" s="679"/>
      <c r="LWJ161" s="679"/>
      <c r="LWK161" s="679"/>
      <c r="LWL161" s="679"/>
      <c r="LWM161" s="679"/>
      <c r="LWN161" s="679"/>
      <c r="LWO161" s="679"/>
      <c r="LWP161" s="679"/>
      <c r="LWQ161" s="679"/>
      <c r="LWR161" s="679"/>
      <c r="LWS161" s="679"/>
      <c r="LWT161" s="679"/>
      <c r="LWU161" s="679"/>
      <c r="LWV161" s="679"/>
      <c r="LWW161" s="679"/>
      <c r="LWX161" s="679"/>
      <c r="LWY161" s="679"/>
      <c r="LWZ161" s="679"/>
      <c r="LXA161" s="679"/>
      <c r="LXB161" s="679"/>
      <c r="LXC161" s="679"/>
      <c r="LXD161" s="679"/>
      <c r="LXE161" s="679"/>
      <c r="LXF161" s="679"/>
      <c r="LXG161" s="679"/>
      <c r="LXH161" s="679"/>
      <c r="LXI161" s="679"/>
      <c r="LXJ161" s="679"/>
      <c r="LXK161" s="679"/>
      <c r="LXL161" s="679"/>
      <c r="LXM161" s="679"/>
      <c r="LXN161" s="679"/>
      <c r="LXO161" s="679"/>
      <c r="LXP161" s="679"/>
      <c r="LXQ161" s="679"/>
      <c r="LXR161" s="679"/>
      <c r="LXS161" s="679"/>
      <c r="LXT161" s="679"/>
      <c r="LXU161" s="679"/>
      <c r="LXV161" s="679"/>
      <c r="LXW161" s="679"/>
      <c r="LXX161" s="679"/>
      <c r="LXY161" s="679"/>
      <c r="LXZ161" s="679"/>
      <c r="LYA161" s="679"/>
      <c r="LYB161" s="679"/>
      <c r="LYC161" s="679"/>
      <c r="LYD161" s="679"/>
      <c r="LYE161" s="679"/>
      <c r="LYF161" s="679"/>
      <c r="LYG161" s="679"/>
      <c r="LYH161" s="679"/>
      <c r="LYI161" s="679"/>
      <c r="LYJ161" s="679"/>
      <c r="LYK161" s="679"/>
      <c r="LYL161" s="679"/>
      <c r="LYM161" s="679"/>
      <c r="LYN161" s="679"/>
      <c r="LYO161" s="679"/>
      <c r="LYP161" s="679"/>
      <c r="LYQ161" s="679"/>
      <c r="LYR161" s="679"/>
      <c r="LYS161" s="679"/>
      <c r="LYT161" s="679"/>
      <c r="LYU161" s="679"/>
      <c r="LYV161" s="679"/>
      <c r="LYW161" s="679"/>
      <c r="LYX161" s="679"/>
      <c r="LYY161" s="679"/>
      <c r="LYZ161" s="679"/>
      <c r="LZA161" s="679"/>
      <c r="LZB161" s="679"/>
      <c r="LZC161" s="679"/>
      <c r="LZD161" s="679"/>
      <c r="LZE161" s="679"/>
      <c r="LZF161" s="679"/>
      <c r="LZG161" s="679"/>
      <c r="LZH161" s="679"/>
      <c r="LZI161" s="679"/>
      <c r="LZJ161" s="679"/>
      <c r="LZK161" s="679"/>
      <c r="LZL161" s="679"/>
      <c r="LZM161" s="679"/>
      <c r="LZN161" s="679"/>
      <c r="LZO161" s="679"/>
      <c r="LZP161" s="679"/>
      <c r="LZQ161" s="679"/>
      <c r="LZR161" s="679"/>
      <c r="LZS161" s="679"/>
      <c r="LZT161" s="679"/>
      <c r="LZU161" s="679"/>
      <c r="LZV161" s="679"/>
      <c r="LZW161" s="679"/>
      <c r="LZX161" s="679"/>
      <c r="LZY161" s="679"/>
      <c r="LZZ161" s="679"/>
      <c r="MAA161" s="679"/>
      <c r="MAB161" s="679"/>
      <c r="MAC161" s="679"/>
      <c r="MAD161" s="679"/>
      <c r="MAE161" s="679"/>
      <c r="MAF161" s="679"/>
      <c r="MAG161" s="679"/>
      <c r="MAH161" s="679"/>
      <c r="MAI161" s="679"/>
      <c r="MAJ161" s="679"/>
      <c r="MAK161" s="679"/>
      <c r="MAL161" s="679"/>
      <c r="MAM161" s="679"/>
      <c r="MAN161" s="679"/>
      <c r="MAO161" s="679"/>
      <c r="MAP161" s="679"/>
      <c r="MAQ161" s="679"/>
      <c r="MAR161" s="679"/>
      <c r="MAS161" s="679"/>
      <c r="MAT161" s="679"/>
      <c r="MAU161" s="679"/>
      <c r="MAV161" s="679"/>
      <c r="MAW161" s="679"/>
      <c r="MAX161" s="679"/>
      <c r="MAY161" s="679"/>
      <c r="MAZ161" s="679"/>
      <c r="MBA161" s="679"/>
      <c r="MBB161" s="679"/>
      <c r="MBC161" s="679"/>
      <c r="MBD161" s="679"/>
      <c r="MBE161" s="679"/>
      <c r="MBF161" s="679"/>
      <c r="MBG161" s="679"/>
      <c r="MBH161" s="679"/>
      <c r="MBI161" s="679"/>
      <c r="MBJ161" s="679"/>
      <c r="MBK161" s="679"/>
      <c r="MBL161" s="679"/>
      <c r="MBM161" s="679"/>
      <c r="MBN161" s="679"/>
      <c r="MBO161" s="679"/>
      <c r="MBP161" s="679"/>
      <c r="MBQ161" s="679"/>
      <c r="MBR161" s="679"/>
      <c r="MBS161" s="679"/>
      <c r="MBT161" s="679"/>
      <c r="MBU161" s="679"/>
      <c r="MBV161" s="679"/>
      <c r="MBW161" s="679"/>
      <c r="MBX161" s="679"/>
      <c r="MBY161" s="679"/>
      <c r="MBZ161" s="679"/>
      <c r="MCA161" s="679"/>
      <c r="MCB161" s="679"/>
      <c r="MCC161" s="679"/>
      <c r="MCD161" s="679"/>
      <c r="MCE161" s="679"/>
      <c r="MCF161" s="679"/>
      <c r="MCG161" s="679"/>
      <c r="MCH161" s="679"/>
      <c r="MCI161" s="679"/>
      <c r="MCJ161" s="679"/>
      <c r="MCK161" s="679"/>
      <c r="MCL161" s="679"/>
      <c r="MCM161" s="679"/>
      <c r="MCN161" s="679"/>
      <c r="MCO161" s="679"/>
      <c r="MCP161" s="679"/>
      <c r="MCQ161" s="679"/>
      <c r="MCR161" s="679"/>
      <c r="MCS161" s="679"/>
      <c r="MCT161" s="679"/>
      <c r="MCU161" s="679"/>
      <c r="MCV161" s="679"/>
      <c r="MCW161" s="679"/>
      <c r="MCX161" s="679"/>
      <c r="MCY161" s="679"/>
      <c r="MCZ161" s="679"/>
      <c r="MDA161" s="679"/>
      <c r="MDB161" s="679"/>
      <c r="MDC161" s="679"/>
      <c r="MDD161" s="679"/>
      <c r="MDE161" s="679"/>
      <c r="MDF161" s="679"/>
      <c r="MDG161" s="679"/>
      <c r="MDH161" s="679"/>
      <c r="MDI161" s="679"/>
      <c r="MDJ161" s="679"/>
      <c r="MDK161" s="679"/>
      <c r="MDL161" s="679"/>
      <c r="MDM161" s="679"/>
      <c r="MDN161" s="679"/>
      <c r="MDO161" s="679"/>
      <c r="MDP161" s="679"/>
      <c r="MDQ161" s="679"/>
      <c r="MDR161" s="679"/>
      <c r="MDS161" s="679"/>
      <c r="MDT161" s="679"/>
      <c r="MDU161" s="679"/>
      <c r="MDV161" s="679"/>
      <c r="MDW161" s="679"/>
      <c r="MDX161" s="679"/>
      <c r="MDY161" s="679"/>
      <c r="MDZ161" s="679"/>
      <c r="MEA161" s="679"/>
      <c r="MEB161" s="679"/>
      <c r="MEC161" s="679"/>
      <c r="MED161" s="679"/>
      <c r="MEE161" s="679"/>
      <c r="MEF161" s="679"/>
      <c r="MEG161" s="679"/>
      <c r="MEH161" s="679"/>
      <c r="MEI161" s="679"/>
      <c r="MEJ161" s="679"/>
      <c r="MEK161" s="679"/>
      <c r="MEL161" s="679"/>
      <c r="MEM161" s="679"/>
      <c r="MEN161" s="679"/>
      <c r="MEO161" s="679"/>
      <c r="MEP161" s="679"/>
      <c r="MEQ161" s="679"/>
      <c r="MER161" s="679"/>
      <c r="MES161" s="679"/>
      <c r="MET161" s="679"/>
      <c r="MEU161" s="679"/>
      <c r="MEV161" s="679"/>
      <c r="MEW161" s="679"/>
      <c r="MEX161" s="679"/>
      <c r="MEY161" s="679"/>
      <c r="MEZ161" s="679"/>
      <c r="MFA161" s="679"/>
      <c r="MFB161" s="679"/>
      <c r="MFC161" s="679"/>
      <c r="MFD161" s="679"/>
      <c r="MFE161" s="679"/>
      <c r="MFF161" s="679"/>
      <c r="MFG161" s="679"/>
      <c r="MFH161" s="679"/>
      <c r="MFI161" s="679"/>
      <c r="MFJ161" s="679"/>
      <c r="MFK161" s="679"/>
      <c r="MFL161" s="679"/>
      <c r="MFM161" s="679"/>
      <c r="MFN161" s="679"/>
      <c r="MFO161" s="679"/>
      <c r="MFP161" s="679"/>
      <c r="MFQ161" s="679"/>
      <c r="MFR161" s="679"/>
      <c r="MFS161" s="679"/>
      <c r="MFT161" s="679"/>
      <c r="MFU161" s="679"/>
      <c r="MFV161" s="679"/>
      <c r="MFW161" s="679"/>
      <c r="MFX161" s="679"/>
      <c r="MFY161" s="679"/>
      <c r="MFZ161" s="679"/>
      <c r="MGA161" s="679"/>
      <c r="MGB161" s="679"/>
      <c r="MGC161" s="679"/>
      <c r="MGD161" s="679"/>
      <c r="MGE161" s="679"/>
      <c r="MGF161" s="679"/>
      <c r="MGG161" s="679"/>
      <c r="MGH161" s="679"/>
      <c r="MGI161" s="679"/>
      <c r="MGJ161" s="679"/>
      <c r="MGK161" s="679"/>
      <c r="MGL161" s="679"/>
      <c r="MGM161" s="679"/>
      <c r="MGN161" s="679"/>
      <c r="MGO161" s="679"/>
      <c r="MGP161" s="679"/>
      <c r="MGQ161" s="679"/>
      <c r="MGR161" s="679"/>
      <c r="MGS161" s="679"/>
      <c r="MGT161" s="679"/>
      <c r="MGU161" s="679"/>
      <c r="MGV161" s="679"/>
      <c r="MGW161" s="679"/>
      <c r="MGX161" s="679"/>
      <c r="MGY161" s="679"/>
      <c r="MGZ161" s="679"/>
      <c r="MHA161" s="679"/>
      <c r="MHB161" s="679"/>
      <c r="MHC161" s="679"/>
      <c r="MHD161" s="679"/>
      <c r="MHE161" s="679"/>
      <c r="MHF161" s="679"/>
      <c r="MHG161" s="679"/>
      <c r="MHH161" s="679"/>
      <c r="MHI161" s="679"/>
      <c r="MHJ161" s="679"/>
      <c r="MHK161" s="679"/>
      <c r="MHL161" s="679"/>
      <c r="MHM161" s="679"/>
      <c r="MHN161" s="679"/>
      <c r="MHO161" s="679"/>
      <c r="MHP161" s="679"/>
      <c r="MHQ161" s="679"/>
      <c r="MHR161" s="679"/>
      <c r="MHS161" s="679"/>
      <c r="MHT161" s="679"/>
      <c r="MHU161" s="679"/>
      <c r="MHV161" s="679"/>
      <c r="MHW161" s="679"/>
      <c r="MHX161" s="679"/>
      <c r="MHY161" s="679"/>
      <c r="MHZ161" s="679"/>
      <c r="MIA161" s="679"/>
      <c r="MIB161" s="679"/>
      <c r="MIC161" s="679"/>
      <c r="MID161" s="679"/>
      <c r="MIE161" s="679"/>
      <c r="MIF161" s="679"/>
      <c r="MIG161" s="679"/>
      <c r="MIH161" s="679"/>
      <c r="MII161" s="679"/>
      <c r="MIJ161" s="679"/>
      <c r="MIK161" s="679"/>
      <c r="MIL161" s="679"/>
      <c r="MIM161" s="679"/>
      <c r="MIN161" s="679"/>
      <c r="MIO161" s="679"/>
      <c r="MIP161" s="679"/>
      <c r="MIQ161" s="679"/>
      <c r="MIR161" s="679"/>
      <c r="MIS161" s="679"/>
      <c r="MIT161" s="679"/>
      <c r="MIU161" s="679"/>
      <c r="MIV161" s="679"/>
      <c r="MIW161" s="679"/>
      <c r="MIX161" s="679"/>
      <c r="MIY161" s="679"/>
      <c r="MIZ161" s="679"/>
      <c r="MJA161" s="679"/>
      <c r="MJB161" s="679"/>
      <c r="MJC161" s="679"/>
      <c r="MJD161" s="679"/>
      <c r="MJE161" s="679"/>
      <c r="MJF161" s="679"/>
      <c r="MJG161" s="679"/>
      <c r="MJH161" s="679"/>
      <c r="MJI161" s="679"/>
      <c r="MJJ161" s="679"/>
      <c r="MJK161" s="679"/>
      <c r="MJL161" s="679"/>
      <c r="MJM161" s="679"/>
      <c r="MJN161" s="679"/>
      <c r="MJO161" s="679"/>
      <c r="MJP161" s="679"/>
      <c r="MJQ161" s="679"/>
      <c r="MJR161" s="679"/>
      <c r="MJS161" s="679"/>
      <c r="MJT161" s="679"/>
      <c r="MJU161" s="679"/>
      <c r="MJV161" s="679"/>
      <c r="MJW161" s="679"/>
      <c r="MJX161" s="679"/>
      <c r="MJY161" s="679"/>
      <c r="MJZ161" s="679"/>
      <c r="MKA161" s="679"/>
      <c r="MKB161" s="679"/>
      <c r="MKC161" s="679"/>
      <c r="MKD161" s="679"/>
      <c r="MKE161" s="679"/>
      <c r="MKF161" s="679"/>
      <c r="MKG161" s="679"/>
      <c r="MKH161" s="679"/>
      <c r="MKI161" s="679"/>
      <c r="MKJ161" s="679"/>
      <c r="MKK161" s="679"/>
      <c r="MKL161" s="679"/>
      <c r="MKM161" s="679"/>
      <c r="MKN161" s="679"/>
      <c r="MKO161" s="679"/>
      <c r="MKP161" s="679"/>
      <c r="MKQ161" s="679"/>
      <c r="MKR161" s="679"/>
      <c r="MKS161" s="679"/>
      <c r="MKT161" s="679"/>
      <c r="MKU161" s="679"/>
      <c r="MKV161" s="679"/>
      <c r="MKW161" s="679"/>
      <c r="MKX161" s="679"/>
      <c r="MKY161" s="679"/>
      <c r="MKZ161" s="679"/>
      <c r="MLA161" s="679"/>
      <c r="MLB161" s="679"/>
      <c r="MLC161" s="679"/>
      <c r="MLD161" s="679"/>
      <c r="MLE161" s="679"/>
      <c r="MLF161" s="679"/>
      <c r="MLG161" s="679"/>
      <c r="MLH161" s="679"/>
      <c r="MLI161" s="679"/>
      <c r="MLJ161" s="679"/>
      <c r="MLK161" s="679"/>
      <c r="MLL161" s="679"/>
      <c r="MLM161" s="679"/>
      <c r="MLN161" s="679"/>
      <c r="MLO161" s="679"/>
      <c r="MLP161" s="679"/>
      <c r="MLQ161" s="679"/>
      <c r="MLR161" s="679"/>
      <c r="MLS161" s="679"/>
      <c r="MLT161" s="679"/>
      <c r="MLU161" s="679"/>
      <c r="MLV161" s="679"/>
      <c r="MLW161" s="679"/>
      <c r="MLX161" s="679"/>
      <c r="MLY161" s="679"/>
      <c r="MLZ161" s="679"/>
      <c r="MMA161" s="679"/>
      <c r="MMB161" s="679"/>
      <c r="MMC161" s="679"/>
      <c r="MMD161" s="679"/>
      <c r="MME161" s="679"/>
      <c r="MMF161" s="679"/>
      <c r="MMG161" s="679"/>
      <c r="MMH161" s="679"/>
      <c r="MMI161" s="679"/>
      <c r="MMJ161" s="679"/>
      <c r="MMK161" s="679"/>
      <c r="MML161" s="679"/>
      <c r="MMM161" s="679"/>
      <c r="MMN161" s="679"/>
      <c r="MMO161" s="679"/>
      <c r="MMP161" s="679"/>
      <c r="MMQ161" s="679"/>
      <c r="MMR161" s="679"/>
      <c r="MMS161" s="679"/>
      <c r="MMT161" s="679"/>
      <c r="MMU161" s="679"/>
      <c r="MMV161" s="679"/>
      <c r="MMW161" s="679"/>
      <c r="MMX161" s="679"/>
      <c r="MMY161" s="679"/>
      <c r="MMZ161" s="679"/>
      <c r="MNA161" s="679"/>
      <c r="MNB161" s="679"/>
      <c r="MNC161" s="679"/>
      <c r="MND161" s="679"/>
      <c r="MNE161" s="679"/>
      <c r="MNF161" s="679"/>
      <c r="MNG161" s="679"/>
      <c r="MNH161" s="679"/>
      <c r="MNI161" s="679"/>
      <c r="MNJ161" s="679"/>
      <c r="MNK161" s="679"/>
      <c r="MNL161" s="679"/>
      <c r="MNM161" s="679"/>
      <c r="MNN161" s="679"/>
      <c r="MNO161" s="679"/>
      <c r="MNP161" s="679"/>
      <c r="MNQ161" s="679"/>
      <c r="MNR161" s="679"/>
      <c r="MNS161" s="679"/>
      <c r="MNT161" s="679"/>
      <c r="MNU161" s="679"/>
      <c r="MNV161" s="679"/>
      <c r="MNW161" s="679"/>
      <c r="MNX161" s="679"/>
      <c r="MNY161" s="679"/>
      <c r="MNZ161" s="679"/>
      <c r="MOA161" s="679"/>
      <c r="MOB161" s="679"/>
      <c r="MOC161" s="679"/>
      <c r="MOD161" s="679"/>
      <c r="MOE161" s="679"/>
      <c r="MOF161" s="679"/>
      <c r="MOG161" s="679"/>
      <c r="MOH161" s="679"/>
      <c r="MOI161" s="679"/>
      <c r="MOJ161" s="679"/>
      <c r="MOK161" s="679"/>
      <c r="MOL161" s="679"/>
      <c r="MOM161" s="679"/>
      <c r="MON161" s="679"/>
      <c r="MOO161" s="679"/>
      <c r="MOP161" s="679"/>
      <c r="MOQ161" s="679"/>
      <c r="MOR161" s="679"/>
      <c r="MOS161" s="679"/>
      <c r="MOT161" s="679"/>
      <c r="MOU161" s="679"/>
      <c r="MOV161" s="679"/>
      <c r="MOW161" s="679"/>
      <c r="MOX161" s="679"/>
      <c r="MOY161" s="679"/>
      <c r="MOZ161" s="679"/>
      <c r="MPA161" s="679"/>
      <c r="MPB161" s="679"/>
      <c r="MPC161" s="679"/>
      <c r="MPD161" s="679"/>
      <c r="MPE161" s="679"/>
      <c r="MPF161" s="679"/>
      <c r="MPG161" s="679"/>
      <c r="MPH161" s="679"/>
      <c r="MPI161" s="679"/>
      <c r="MPJ161" s="679"/>
      <c r="MPK161" s="679"/>
      <c r="MPL161" s="679"/>
      <c r="MPM161" s="679"/>
      <c r="MPN161" s="679"/>
      <c r="MPO161" s="679"/>
      <c r="MPP161" s="679"/>
      <c r="MPQ161" s="679"/>
      <c r="MPR161" s="679"/>
      <c r="MPS161" s="679"/>
      <c r="MPT161" s="679"/>
      <c r="MPU161" s="679"/>
      <c r="MPV161" s="679"/>
      <c r="MPW161" s="679"/>
      <c r="MPX161" s="679"/>
      <c r="MPY161" s="679"/>
      <c r="MPZ161" s="679"/>
      <c r="MQA161" s="679"/>
      <c r="MQB161" s="679"/>
      <c r="MQC161" s="679"/>
      <c r="MQD161" s="679"/>
      <c r="MQE161" s="679"/>
      <c r="MQF161" s="679"/>
      <c r="MQG161" s="679"/>
      <c r="MQH161" s="679"/>
      <c r="MQI161" s="679"/>
      <c r="MQJ161" s="679"/>
      <c r="MQK161" s="679"/>
      <c r="MQL161" s="679"/>
      <c r="MQM161" s="679"/>
      <c r="MQN161" s="679"/>
      <c r="MQO161" s="679"/>
      <c r="MQP161" s="679"/>
      <c r="MQQ161" s="679"/>
      <c r="MQR161" s="679"/>
      <c r="MQS161" s="679"/>
      <c r="MQT161" s="679"/>
      <c r="MQU161" s="679"/>
      <c r="MQV161" s="679"/>
      <c r="MQW161" s="679"/>
      <c r="MQX161" s="679"/>
      <c r="MQY161" s="679"/>
      <c r="MQZ161" s="679"/>
      <c r="MRA161" s="679"/>
      <c r="MRB161" s="679"/>
      <c r="MRC161" s="679"/>
      <c r="MRD161" s="679"/>
      <c r="MRE161" s="679"/>
      <c r="MRF161" s="679"/>
      <c r="MRG161" s="679"/>
      <c r="MRH161" s="679"/>
      <c r="MRI161" s="679"/>
      <c r="MRJ161" s="679"/>
      <c r="MRK161" s="679"/>
      <c r="MRL161" s="679"/>
      <c r="MRM161" s="679"/>
      <c r="MRN161" s="679"/>
      <c r="MRO161" s="679"/>
      <c r="MRP161" s="679"/>
      <c r="MRQ161" s="679"/>
      <c r="MRR161" s="679"/>
      <c r="MRS161" s="679"/>
      <c r="MRT161" s="679"/>
      <c r="MRU161" s="679"/>
      <c r="MRV161" s="679"/>
      <c r="MRW161" s="679"/>
      <c r="MRX161" s="679"/>
      <c r="MRY161" s="679"/>
      <c r="MRZ161" s="679"/>
      <c r="MSA161" s="679"/>
      <c r="MSB161" s="679"/>
      <c r="MSC161" s="679"/>
      <c r="MSD161" s="679"/>
      <c r="MSE161" s="679"/>
      <c r="MSF161" s="679"/>
      <c r="MSG161" s="679"/>
      <c r="MSH161" s="679"/>
      <c r="MSI161" s="679"/>
      <c r="MSJ161" s="679"/>
      <c r="MSK161" s="679"/>
      <c r="MSL161" s="679"/>
      <c r="MSM161" s="679"/>
      <c r="MSN161" s="679"/>
      <c r="MSO161" s="679"/>
      <c r="MSP161" s="679"/>
      <c r="MSQ161" s="679"/>
      <c r="MSR161" s="679"/>
      <c r="MSS161" s="679"/>
      <c r="MST161" s="679"/>
      <c r="MSU161" s="679"/>
      <c r="MSV161" s="679"/>
      <c r="MSW161" s="679"/>
      <c r="MSX161" s="679"/>
      <c r="MSY161" s="679"/>
      <c r="MSZ161" s="679"/>
      <c r="MTA161" s="679"/>
      <c r="MTB161" s="679"/>
      <c r="MTC161" s="679"/>
      <c r="MTD161" s="679"/>
      <c r="MTE161" s="679"/>
      <c r="MTF161" s="679"/>
      <c r="MTG161" s="679"/>
      <c r="MTH161" s="679"/>
      <c r="MTI161" s="679"/>
      <c r="MTJ161" s="679"/>
      <c r="MTK161" s="679"/>
      <c r="MTL161" s="679"/>
      <c r="MTM161" s="679"/>
      <c r="MTN161" s="679"/>
      <c r="MTO161" s="679"/>
      <c r="MTP161" s="679"/>
      <c r="MTQ161" s="679"/>
      <c r="MTR161" s="679"/>
      <c r="MTS161" s="679"/>
      <c r="MTT161" s="679"/>
      <c r="MTU161" s="679"/>
      <c r="MTV161" s="679"/>
      <c r="MTW161" s="679"/>
      <c r="MTX161" s="679"/>
      <c r="MTY161" s="679"/>
      <c r="MTZ161" s="679"/>
      <c r="MUA161" s="679"/>
      <c r="MUB161" s="679"/>
      <c r="MUC161" s="679"/>
      <c r="MUD161" s="679"/>
      <c r="MUE161" s="679"/>
      <c r="MUF161" s="679"/>
      <c r="MUG161" s="679"/>
      <c r="MUH161" s="679"/>
      <c r="MUI161" s="679"/>
      <c r="MUJ161" s="679"/>
      <c r="MUK161" s="679"/>
      <c r="MUL161" s="679"/>
      <c r="MUM161" s="679"/>
      <c r="MUN161" s="679"/>
      <c r="MUO161" s="679"/>
      <c r="MUP161" s="679"/>
      <c r="MUQ161" s="679"/>
      <c r="MUR161" s="679"/>
      <c r="MUS161" s="679"/>
      <c r="MUT161" s="679"/>
      <c r="MUU161" s="679"/>
      <c r="MUV161" s="679"/>
      <c r="MUW161" s="679"/>
      <c r="MUX161" s="679"/>
      <c r="MUY161" s="679"/>
      <c r="MUZ161" s="679"/>
      <c r="MVA161" s="679"/>
      <c r="MVB161" s="679"/>
      <c r="MVC161" s="679"/>
      <c r="MVD161" s="679"/>
      <c r="MVE161" s="679"/>
      <c r="MVF161" s="679"/>
      <c r="MVG161" s="679"/>
      <c r="MVH161" s="679"/>
      <c r="MVI161" s="679"/>
      <c r="MVJ161" s="679"/>
      <c r="MVK161" s="679"/>
      <c r="MVL161" s="679"/>
      <c r="MVM161" s="679"/>
      <c r="MVN161" s="679"/>
      <c r="MVO161" s="679"/>
      <c r="MVP161" s="679"/>
      <c r="MVQ161" s="679"/>
      <c r="MVR161" s="679"/>
      <c r="MVS161" s="679"/>
      <c r="MVT161" s="679"/>
      <c r="MVU161" s="679"/>
      <c r="MVV161" s="679"/>
      <c r="MVW161" s="679"/>
      <c r="MVX161" s="679"/>
      <c r="MVY161" s="679"/>
      <c r="MVZ161" s="679"/>
      <c r="MWA161" s="679"/>
      <c r="MWB161" s="679"/>
      <c r="MWC161" s="679"/>
      <c r="MWD161" s="679"/>
      <c r="MWE161" s="679"/>
      <c r="MWF161" s="679"/>
      <c r="MWG161" s="679"/>
      <c r="MWH161" s="679"/>
      <c r="MWI161" s="679"/>
      <c r="MWJ161" s="679"/>
      <c r="MWK161" s="679"/>
      <c r="MWL161" s="679"/>
      <c r="MWM161" s="679"/>
      <c r="MWN161" s="679"/>
      <c r="MWO161" s="679"/>
      <c r="MWP161" s="679"/>
      <c r="MWQ161" s="679"/>
      <c r="MWR161" s="679"/>
      <c r="MWS161" s="679"/>
      <c r="MWT161" s="679"/>
      <c r="MWU161" s="679"/>
      <c r="MWV161" s="679"/>
      <c r="MWW161" s="679"/>
      <c r="MWX161" s="679"/>
      <c r="MWY161" s="679"/>
      <c r="MWZ161" s="679"/>
      <c r="MXA161" s="679"/>
      <c r="MXB161" s="679"/>
      <c r="MXC161" s="679"/>
      <c r="MXD161" s="679"/>
      <c r="MXE161" s="679"/>
      <c r="MXF161" s="679"/>
      <c r="MXG161" s="679"/>
      <c r="MXH161" s="679"/>
      <c r="MXI161" s="679"/>
      <c r="MXJ161" s="679"/>
      <c r="MXK161" s="679"/>
      <c r="MXL161" s="679"/>
      <c r="MXM161" s="679"/>
      <c r="MXN161" s="679"/>
      <c r="MXO161" s="679"/>
      <c r="MXP161" s="679"/>
      <c r="MXQ161" s="679"/>
      <c r="MXR161" s="679"/>
      <c r="MXS161" s="679"/>
      <c r="MXT161" s="679"/>
      <c r="MXU161" s="679"/>
      <c r="MXV161" s="679"/>
      <c r="MXW161" s="679"/>
      <c r="MXX161" s="679"/>
      <c r="MXY161" s="679"/>
      <c r="MXZ161" s="679"/>
      <c r="MYA161" s="679"/>
      <c r="MYB161" s="679"/>
      <c r="MYC161" s="679"/>
      <c r="MYD161" s="679"/>
      <c r="MYE161" s="679"/>
      <c r="MYF161" s="679"/>
      <c r="MYG161" s="679"/>
      <c r="MYH161" s="679"/>
      <c r="MYI161" s="679"/>
      <c r="MYJ161" s="679"/>
      <c r="MYK161" s="679"/>
      <c r="MYL161" s="679"/>
      <c r="MYM161" s="679"/>
      <c r="MYN161" s="679"/>
      <c r="MYO161" s="679"/>
      <c r="MYP161" s="679"/>
      <c r="MYQ161" s="679"/>
      <c r="MYR161" s="679"/>
      <c r="MYS161" s="679"/>
      <c r="MYT161" s="679"/>
      <c r="MYU161" s="679"/>
      <c r="MYV161" s="679"/>
      <c r="MYW161" s="679"/>
      <c r="MYX161" s="679"/>
      <c r="MYY161" s="679"/>
      <c r="MYZ161" s="679"/>
      <c r="MZA161" s="679"/>
      <c r="MZB161" s="679"/>
      <c r="MZC161" s="679"/>
      <c r="MZD161" s="679"/>
      <c r="MZE161" s="679"/>
      <c r="MZF161" s="679"/>
      <c r="MZG161" s="679"/>
      <c r="MZH161" s="679"/>
      <c r="MZI161" s="679"/>
      <c r="MZJ161" s="679"/>
      <c r="MZK161" s="679"/>
      <c r="MZL161" s="679"/>
      <c r="MZM161" s="679"/>
      <c r="MZN161" s="679"/>
      <c r="MZO161" s="679"/>
      <c r="MZP161" s="679"/>
      <c r="MZQ161" s="679"/>
      <c r="MZR161" s="679"/>
      <c r="MZS161" s="679"/>
      <c r="MZT161" s="679"/>
      <c r="MZU161" s="679"/>
      <c r="MZV161" s="679"/>
      <c r="MZW161" s="679"/>
      <c r="MZX161" s="679"/>
      <c r="MZY161" s="679"/>
      <c r="MZZ161" s="679"/>
      <c r="NAA161" s="679"/>
      <c r="NAB161" s="679"/>
      <c r="NAC161" s="679"/>
      <c r="NAD161" s="679"/>
      <c r="NAE161" s="679"/>
      <c r="NAF161" s="679"/>
      <c r="NAG161" s="679"/>
      <c r="NAH161" s="679"/>
      <c r="NAI161" s="679"/>
      <c r="NAJ161" s="679"/>
      <c r="NAK161" s="679"/>
      <c r="NAL161" s="679"/>
      <c r="NAM161" s="679"/>
      <c r="NAN161" s="679"/>
      <c r="NAO161" s="679"/>
      <c r="NAP161" s="679"/>
      <c r="NAQ161" s="679"/>
      <c r="NAR161" s="679"/>
      <c r="NAS161" s="679"/>
      <c r="NAT161" s="679"/>
      <c r="NAU161" s="679"/>
      <c r="NAV161" s="679"/>
      <c r="NAW161" s="679"/>
      <c r="NAX161" s="679"/>
      <c r="NAY161" s="679"/>
      <c r="NAZ161" s="679"/>
      <c r="NBA161" s="679"/>
      <c r="NBB161" s="679"/>
      <c r="NBC161" s="679"/>
      <c r="NBD161" s="679"/>
      <c r="NBE161" s="679"/>
      <c r="NBF161" s="679"/>
      <c r="NBG161" s="679"/>
      <c r="NBH161" s="679"/>
      <c r="NBI161" s="679"/>
      <c r="NBJ161" s="679"/>
      <c r="NBK161" s="679"/>
      <c r="NBL161" s="679"/>
      <c r="NBM161" s="679"/>
      <c r="NBN161" s="679"/>
      <c r="NBO161" s="679"/>
      <c r="NBP161" s="679"/>
      <c r="NBQ161" s="679"/>
      <c r="NBR161" s="679"/>
      <c r="NBS161" s="679"/>
      <c r="NBT161" s="679"/>
      <c r="NBU161" s="679"/>
      <c r="NBV161" s="679"/>
      <c r="NBW161" s="679"/>
      <c r="NBX161" s="679"/>
      <c r="NBY161" s="679"/>
      <c r="NBZ161" s="679"/>
      <c r="NCA161" s="679"/>
      <c r="NCB161" s="679"/>
      <c r="NCC161" s="679"/>
      <c r="NCD161" s="679"/>
      <c r="NCE161" s="679"/>
      <c r="NCF161" s="679"/>
      <c r="NCG161" s="679"/>
      <c r="NCH161" s="679"/>
      <c r="NCI161" s="679"/>
      <c r="NCJ161" s="679"/>
      <c r="NCK161" s="679"/>
      <c r="NCL161" s="679"/>
      <c r="NCM161" s="679"/>
      <c r="NCN161" s="679"/>
      <c r="NCO161" s="679"/>
      <c r="NCP161" s="679"/>
      <c r="NCQ161" s="679"/>
      <c r="NCR161" s="679"/>
      <c r="NCS161" s="679"/>
      <c r="NCT161" s="679"/>
      <c r="NCU161" s="679"/>
      <c r="NCV161" s="679"/>
      <c r="NCW161" s="679"/>
      <c r="NCX161" s="679"/>
      <c r="NCY161" s="679"/>
      <c r="NCZ161" s="679"/>
      <c r="NDA161" s="679"/>
      <c r="NDB161" s="679"/>
      <c r="NDC161" s="679"/>
      <c r="NDD161" s="679"/>
      <c r="NDE161" s="679"/>
      <c r="NDF161" s="679"/>
      <c r="NDG161" s="679"/>
      <c r="NDH161" s="679"/>
      <c r="NDI161" s="679"/>
      <c r="NDJ161" s="679"/>
      <c r="NDK161" s="679"/>
      <c r="NDL161" s="679"/>
      <c r="NDM161" s="679"/>
      <c r="NDN161" s="679"/>
      <c r="NDO161" s="679"/>
      <c r="NDP161" s="679"/>
      <c r="NDQ161" s="679"/>
      <c r="NDR161" s="679"/>
      <c r="NDS161" s="679"/>
      <c r="NDT161" s="679"/>
      <c r="NDU161" s="679"/>
      <c r="NDV161" s="679"/>
      <c r="NDW161" s="679"/>
      <c r="NDX161" s="679"/>
      <c r="NDY161" s="679"/>
      <c r="NDZ161" s="679"/>
      <c r="NEA161" s="679"/>
      <c r="NEB161" s="679"/>
      <c r="NEC161" s="679"/>
      <c r="NED161" s="679"/>
      <c r="NEE161" s="679"/>
      <c r="NEF161" s="679"/>
      <c r="NEG161" s="679"/>
      <c r="NEH161" s="679"/>
      <c r="NEI161" s="679"/>
      <c r="NEJ161" s="679"/>
      <c r="NEK161" s="679"/>
      <c r="NEL161" s="679"/>
      <c r="NEM161" s="679"/>
      <c r="NEN161" s="679"/>
      <c r="NEO161" s="679"/>
      <c r="NEP161" s="679"/>
      <c r="NEQ161" s="679"/>
      <c r="NER161" s="679"/>
      <c r="NES161" s="679"/>
      <c r="NET161" s="679"/>
      <c r="NEU161" s="679"/>
      <c r="NEV161" s="679"/>
      <c r="NEW161" s="679"/>
      <c r="NEX161" s="679"/>
      <c r="NEY161" s="679"/>
      <c r="NEZ161" s="679"/>
      <c r="NFA161" s="679"/>
      <c r="NFB161" s="679"/>
      <c r="NFC161" s="679"/>
      <c r="NFD161" s="679"/>
      <c r="NFE161" s="679"/>
      <c r="NFF161" s="679"/>
      <c r="NFG161" s="679"/>
      <c r="NFH161" s="679"/>
      <c r="NFI161" s="679"/>
      <c r="NFJ161" s="679"/>
      <c r="NFK161" s="679"/>
      <c r="NFL161" s="679"/>
      <c r="NFM161" s="679"/>
      <c r="NFN161" s="679"/>
      <c r="NFO161" s="679"/>
      <c r="NFP161" s="679"/>
      <c r="NFQ161" s="679"/>
      <c r="NFR161" s="679"/>
      <c r="NFS161" s="679"/>
      <c r="NFT161" s="679"/>
      <c r="NFU161" s="679"/>
      <c r="NFV161" s="679"/>
      <c r="NFW161" s="679"/>
      <c r="NFX161" s="679"/>
      <c r="NFY161" s="679"/>
      <c r="NFZ161" s="679"/>
      <c r="NGA161" s="679"/>
      <c r="NGB161" s="679"/>
      <c r="NGC161" s="679"/>
      <c r="NGD161" s="679"/>
      <c r="NGE161" s="679"/>
      <c r="NGF161" s="679"/>
      <c r="NGG161" s="679"/>
      <c r="NGH161" s="679"/>
      <c r="NGI161" s="679"/>
      <c r="NGJ161" s="679"/>
      <c r="NGK161" s="679"/>
      <c r="NGL161" s="679"/>
      <c r="NGM161" s="679"/>
      <c r="NGN161" s="679"/>
      <c r="NGO161" s="679"/>
      <c r="NGP161" s="679"/>
      <c r="NGQ161" s="679"/>
      <c r="NGR161" s="679"/>
      <c r="NGS161" s="679"/>
      <c r="NGT161" s="679"/>
      <c r="NGU161" s="679"/>
      <c r="NGV161" s="679"/>
      <c r="NGW161" s="679"/>
      <c r="NGX161" s="679"/>
      <c r="NGY161" s="679"/>
      <c r="NGZ161" s="679"/>
      <c r="NHA161" s="679"/>
      <c r="NHB161" s="679"/>
      <c r="NHC161" s="679"/>
      <c r="NHD161" s="679"/>
      <c r="NHE161" s="679"/>
      <c r="NHF161" s="679"/>
      <c r="NHG161" s="679"/>
      <c r="NHH161" s="679"/>
      <c r="NHI161" s="679"/>
      <c r="NHJ161" s="679"/>
      <c r="NHK161" s="679"/>
      <c r="NHL161" s="679"/>
      <c r="NHM161" s="679"/>
      <c r="NHN161" s="679"/>
      <c r="NHO161" s="679"/>
      <c r="NHP161" s="679"/>
      <c r="NHQ161" s="679"/>
      <c r="NHR161" s="679"/>
      <c r="NHS161" s="679"/>
      <c r="NHT161" s="679"/>
      <c r="NHU161" s="679"/>
      <c r="NHV161" s="679"/>
      <c r="NHW161" s="679"/>
      <c r="NHX161" s="679"/>
      <c r="NHY161" s="679"/>
      <c r="NHZ161" s="679"/>
      <c r="NIA161" s="679"/>
      <c r="NIB161" s="679"/>
      <c r="NIC161" s="679"/>
      <c r="NID161" s="679"/>
      <c r="NIE161" s="679"/>
      <c r="NIF161" s="679"/>
      <c r="NIG161" s="679"/>
      <c r="NIH161" s="679"/>
      <c r="NII161" s="679"/>
      <c r="NIJ161" s="679"/>
      <c r="NIK161" s="679"/>
      <c r="NIL161" s="679"/>
      <c r="NIM161" s="679"/>
      <c r="NIN161" s="679"/>
      <c r="NIO161" s="679"/>
      <c r="NIP161" s="679"/>
      <c r="NIQ161" s="679"/>
      <c r="NIR161" s="679"/>
      <c r="NIS161" s="679"/>
      <c r="NIT161" s="679"/>
      <c r="NIU161" s="679"/>
      <c r="NIV161" s="679"/>
      <c r="NIW161" s="679"/>
      <c r="NIX161" s="679"/>
      <c r="NIY161" s="679"/>
      <c r="NIZ161" s="679"/>
      <c r="NJA161" s="679"/>
      <c r="NJB161" s="679"/>
      <c r="NJC161" s="679"/>
      <c r="NJD161" s="679"/>
      <c r="NJE161" s="679"/>
      <c r="NJF161" s="679"/>
      <c r="NJG161" s="679"/>
      <c r="NJH161" s="679"/>
      <c r="NJI161" s="679"/>
      <c r="NJJ161" s="679"/>
      <c r="NJK161" s="679"/>
      <c r="NJL161" s="679"/>
      <c r="NJM161" s="679"/>
      <c r="NJN161" s="679"/>
      <c r="NJO161" s="679"/>
      <c r="NJP161" s="679"/>
      <c r="NJQ161" s="679"/>
      <c r="NJR161" s="679"/>
      <c r="NJS161" s="679"/>
      <c r="NJT161" s="679"/>
      <c r="NJU161" s="679"/>
      <c r="NJV161" s="679"/>
      <c r="NJW161" s="679"/>
      <c r="NJX161" s="679"/>
      <c r="NJY161" s="679"/>
      <c r="NJZ161" s="679"/>
      <c r="NKA161" s="679"/>
      <c r="NKB161" s="679"/>
      <c r="NKC161" s="679"/>
      <c r="NKD161" s="679"/>
      <c r="NKE161" s="679"/>
      <c r="NKF161" s="679"/>
      <c r="NKG161" s="679"/>
      <c r="NKH161" s="679"/>
      <c r="NKI161" s="679"/>
      <c r="NKJ161" s="679"/>
      <c r="NKK161" s="679"/>
      <c r="NKL161" s="679"/>
      <c r="NKM161" s="679"/>
      <c r="NKN161" s="679"/>
      <c r="NKO161" s="679"/>
      <c r="NKP161" s="679"/>
      <c r="NKQ161" s="679"/>
      <c r="NKR161" s="679"/>
      <c r="NKS161" s="679"/>
      <c r="NKT161" s="679"/>
      <c r="NKU161" s="679"/>
      <c r="NKV161" s="679"/>
      <c r="NKW161" s="679"/>
      <c r="NKX161" s="679"/>
      <c r="NKY161" s="679"/>
      <c r="NKZ161" s="679"/>
      <c r="NLA161" s="679"/>
      <c r="NLB161" s="679"/>
      <c r="NLC161" s="679"/>
      <c r="NLD161" s="679"/>
      <c r="NLE161" s="679"/>
      <c r="NLF161" s="679"/>
      <c r="NLG161" s="679"/>
      <c r="NLH161" s="679"/>
      <c r="NLI161" s="679"/>
      <c r="NLJ161" s="679"/>
      <c r="NLK161" s="679"/>
      <c r="NLL161" s="679"/>
      <c r="NLM161" s="679"/>
      <c r="NLN161" s="679"/>
      <c r="NLO161" s="679"/>
      <c r="NLP161" s="679"/>
      <c r="NLQ161" s="679"/>
      <c r="NLR161" s="679"/>
      <c r="NLS161" s="679"/>
      <c r="NLT161" s="679"/>
      <c r="NLU161" s="679"/>
      <c r="NLV161" s="679"/>
      <c r="NLW161" s="679"/>
      <c r="NLX161" s="679"/>
      <c r="NLY161" s="679"/>
      <c r="NLZ161" s="679"/>
      <c r="NMA161" s="679"/>
      <c r="NMB161" s="679"/>
      <c r="NMC161" s="679"/>
      <c r="NMD161" s="679"/>
      <c r="NME161" s="679"/>
      <c r="NMF161" s="679"/>
      <c r="NMG161" s="679"/>
      <c r="NMH161" s="679"/>
      <c r="NMI161" s="679"/>
      <c r="NMJ161" s="679"/>
      <c r="NMK161" s="679"/>
      <c r="NML161" s="679"/>
      <c r="NMM161" s="679"/>
      <c r="NMN161" s="679"/>
      <c r="NMO161" s="679"/>
      <c r="NMP161" s="679"/>
      <c r="NMQ161" s="679"/>
      <c r="NMR161" s="679"/>
      <c r="NMS161" s="679"/>
      <c r="NMT161" s="679"/>
      <c r="NMU161" s="679"/>
      <c r="NMV161" s="679"/>
      <c r="NMW161" s="679"/>
      <c r="NMX161" s="679"/>
      <c r="NMY161" s="679"/>
      <c r="NMZ161" s="679"/>
      <c r="NNA161" s="679"/>
      <c r="NNB161" s="679"/>
      <c r="NNC161" s="679"/>
      <c r="NND161" s="679"/>
      <c r="NNE161" s="679"/>
      <c r="NNF161" s="679"/>
      <c r="NNG161" s="679"/>
      <c r="NNH161" s="679"/>
      <c r="NNI161" s="679"/>
      <c r="NNJ161" s="679"/>
      <c r="NNK161" s="679"/>
      <c r="NNL161" s="679"/>
      <c r="NNM161" s="679"/>
      <c r="NNN161" s="679"/>
      <c r="NNO161" s="679"/>
      <c r="NNP161" s="679"/>
      <c r="NNQ161" s="679"/>
      <c r="NNR161" s="679"/>
      <c r="NNS161" s="679"/>
      <c r="NNT161" s="679"/>
      <c r="NNU161" s="679"/>
      <c r="NNV161" s="679"/>
      <c r="NNW161" s="679"/>
      <c r="NNX161" s="679"/>
      <c r="NNY161" s="679"/>
      <c r="NNZ161" s="679"/>
      <c r="NOA161" s="679"/>
      <c r="NOB161" s="679"/>
      <c r="NOC161" s="679"/>
      <c r="NOD161" s="679"/>
      <c r="NOE161" s="679"/>
      <c r="NOF161" s="679"/>
      <c r="NOG161" s="679"/>
      <c r="NOH161" s="679"/>
      <c r="NOI161" s="679"/>
      <c r="NOJ161" s="679"/>
      <c r="NOK161" s="679"/>
      <c r="NOL161" s="679"/>
      <c r="NOM161" s="679"/>
      <c r="NON161" s="679"/>
      <c r="NOO161" s="679"/>
      <c r="NOP161" s="679"/>
      <c r="NOQ161" s="679"/>
      <c r="NOR161" s="679"/>
      <c r="NOS161" s="679"/>
      <c r="NOT161" s="679"/>
      <c r="NOU161" s="679"/>
      <c r="NOV161" s="679"/>
      <c r="NOW161" s="679"/>
      <c r="NOX161" s="679"/>
      <c r="NOY161" s="679"/>
      <c r="NOZ161" s="679"/>
      <c r="NPA161" s="679"/>
      <c r="NPB161" s="679"/>
      <c r="NPC161" s="679"/>
      <c r="NPD161" s="679"/>
      <c r="NPE161" s="679"/>
      <c r="NPF161" s="679"/>
      <c r="NPG161" s="679"/>
      <c r="NPH161" s="679"/>
      <c r="NPI161" s="679"/>
      <c r="NPJ161" s="679"/>
      <c r="NPK161" s="679"/>
      <c r="NPL161" s="679"/>
      <c r="NPM161" s="679"/>
      <c r="NPN161" s="679"/>
      <c r="NPO161" s="679"/>
      <c r="NPP161" s="679"/>
      <c r="NPQ161" s="679"/>
      <c r="NPR161" s="679"/>
      <c r="NPS161" s="679"/>
      <c r="NPT161" s="679"/>
      <c r="NPU161" s="679"/>
      <c r="NPV161" s="679"/>
      <c r="NPW161" s="679"/>
      <c r="NPX161" s="679"/>
      <c r="NPY161" s="679"/>
      <c r="NPZ161" s="679"/>
      <c r="NQA161" s="679"/>
      <c r="NQB161" s="679"/>
      <c r="NQC161" s="679"/>
      <c r="NQD161" s="679"/>
      <c r="NQE161" s="679"/>
      <c r="NQF161" s="679"/>
      <c r="NQG161" s="679"/>
      <c r="NQH161" s="679"/>
      <c r="NQI161" s="679"/>
      <c r="NQJ161" s="679"/>
      <c r="NQK161" s="679"/>
      <c r="NQL161" s="679"/>
      <c r="NQM161" s="679"/>
      <c r="NQN161" s="679"/>
      <c r="NQO161" s="679"/>
      <c r="NQP161" s="679"/>
      <c r="NQQ161" s="679"/>
      <c r="NQR161" s="679"/>
      <c r="NQS161" s="679"/>
      <c r="NQT161" s="679"/>
      <c r="NQU161" s="679"/>
      <c r="NQV161" s="679"/>
      <c r="NQW161" s="679"/>
      <c r="NQX161" s="679"/>
      <c r="NQY161" s="679"/>
      <c r="NQZ161" s="679"/>
      <c r="NRA161" s="679"/>
      <c r="NRB161" s="679"/>
      <c r="NRC161" s="679"/>
      <c r="NRD161" s="679"/>
      <c r="NRE161" s="679"/>
      <c r="NRF161" s="679"/>
      <c r="NRG161" s="679"/>
      <c r="NRH161" s="679"/>
      <c r="NRI161" s="679"/>
      <c r="NRJ161" s="679"/>
      <c r="NRK161" s="679"/>
      <c r="NRL161" s="679"/>
      <c r="NRM161" s="679"/>
      <c r="NRN161" s="679"/>
      <c r="NRO161" s="679"/>
      <c r="NRP161" s="679"/>
      <c r="NRQ161" s="679"/>
      <c r="NRR161" s="679"/>
      <c r="NRS161" s="679"/>
      <c r="NRT161" s="679"/>
      <c r="NRU161" s="679"/>
      <c r="NRV161" s="679"/>
      <c r="NRW161" s="679"/>
      <c r="NRX161" s="679"/>
      <c r="NRY161" s="679"/>
      <c r="NRZ161" s="679"/>
      <c r="NSA161" s="679"/>
      <c r="NSB161" s="679"/>
      <c r="NSC161" s="679"/>
      <c r="NSD161" s="679"/>
      <c r="NSE161" s="679"/>
      <c r="NSF161" s="679"/>
      <c r="NSG161" s="679"/>
      <c r="NSH161" s="679"/>
      <c r="NSI161" s="679"/>
      <c r="NSJ161" s="679"/>
      <c r="NSK161" s="679"/>
      <c r="NSL161" s="679"/>
      <c r="NSM161" s="679"/>
      <c r="NSN161" s="679"/>
      <c r="NSO161" s="679"/>
      <c r="NSP161" s="679"/>
      <c r="NSQ161" s="679"/>
      <c r="NSR161" s="679"/>
      <c r="NSS161" s="679"/>
      <c r="NST161" s="679"/>
      <c r="NSU161" s="679"/>
      <c r="NSV161" s="679"/>
      <c r="NSW161" s="679"/>
      <c r="NSX161" s="679"/>
      <c r="NSY161" s="679"/>
      <c r="NSZ161" s="679"/>
      <c r="NTA161" s="679"/>
      <c r="NTB161" s="679"/>
      <c r="NTC161" s="679"/>
      <c r="NTD161" s="679"/>
      <c r="NTE161" s="679"/>
      <c r="NTF161" s="679"/>
      <c r="NTG161" s="679"/>
      <c r="NTH161" s="679"/>
      <c r="NTI161" s="679"/>
      <c r="NTJ161" s="679"/>
      <c r="NTK161" s="679"/>
      <c r="NTL161" s="679"/>
      <c r="NTM161" s="679"/>
      <c r="NTN161" s="679"/>
      <c r="NTO161" s="679"/>
      <c r="NTP161" s="679"/>
      <c r="NTQ161" s="679"/>
      <c r="NTR161" s="679"/>
      <c r="NTS161" s="679"/>
      <c r="NTT161" s="679"/>
      <c r="NTU161" s="679"/>
      <c r="NTV161" s="679"/>
      <c r="NTW161" s="679"/>
      <c r="NTX161" s="679"/>
      <c r="NTY161" s="679"/>
      <c r="NTZ161" s="679"/>
      <c r="NUA161" s="679"/>
      <c r="NUB161" s="679"/>
      <c r="NUC161" s="679"/>
      <c r="NUD161" s="679"/>
      <c r="NUE161" s="679"/>
      <c r="NUF161" s="679"/>
      <c r="NUG161" s="679"/>
      <c r="NUH161" s="679"/>
      <c r="NUI161" s="679"/>
      <c r="NUJ161" s="679"/>
      <c r="NUK161" s="679"/>
      <c r="NUL161" s="679"/>
      <c r="NUM161" s="679"/>
      <c r="NUN161" s="679"/>
      <c r="NUO161" s="679"/>
      <c r="NUP161" s="679"/>
      <c r="NUQ161" s="679"/>
      <c r="NUR161" s="679"/>
      <c r="NUS161" s="679"/>
      <c r="NUT161" s="679"/>
      <c r="NUU161" s="679"/>
      <c r="NUV161" s="679"/>
      <c r="NUW161" s="679"/>
      <c r="NUX161" s="679"/>
      <c r="NUY161" s="679"/>
      <c r="NUZ161" s="679"/>
      <c r="NVA161" s="679"/>
      <c r="NVB161" s="679"/>
      <c r="NVC161" s="679"/>
      <c r="NVD161" s="679"/>
      <c r="NVE161" s="679"/>
      <c r="NVF161" s="679"/>
      <c r="NVG161" s="679"/>
      <c r="NVH161" s="679"/>
      <c r="NVI161" s="679"/>
      <c r="NVJ161" s="679"/>
      <c r="NVK161" s="679"/>
      <c r="NVL161" s="679"/>
      <c r="NVM161" s="679"/>
      <c r="NVN161" s="679"/>
      <c r="NVO161" s="679"/>
      <c r="NVP161" s="679"/>
      <c r="NVQ161" s="679"/>
      <c r="NVR161" s="679"/>
      <c r="NVS161" s="679"/>
      <c r="NVT161" s="679"/>
      <c r="NVU161" s="679"/>
      <c r="NVV161" s="679"/>
      <c r="NVW161" s="679"/>
      <c r="NVX161" s="679"/>
      <c r="NVY161" s="679"/>
      <c r="NVZ161" s="679"/>
      <c r="NWA161" s="679"/>
      <c r="NWB161" s="679"/>
      <c r="NWC161" s="679"/>
      <c r="NWD161" s="679"/>
      <c r="NWE161" s="679"/>
      <c r="NWF161" s="679"/>
      <c r="NWG161" s="679"/>
      <c r="NWH161" s="679"/>
      <c r="NWI161" s="679"/>
      <c r="NWJ161" s="679"/>
      <c r="NWK161" s="679"/>
      <c r="NWL161" s="679"/>
      <c r="NWM161" s="679"/>
      <c r="NWN161" s="679"/>
      <c r="NWO161" s="679"/>
      <c r="NWP161" s="679"/>
      <c r="NWQ161" s="679"/>
      <c r="NWR161" s="679"/>
      <c r="NWS161" s="679"/>
      <c r="NWT161" s="679"/>
      <c r="NWU161" s="679"/>
      <c r="NWV161" s="679"/>
      <c r="NWW161" s="679"/>
      <c r="NWX161" s="679"/>
      <c r="NWY161" s="679"/>
      <c r="NWZ161" s="679"/>
      <c r="NXA161" s="679"/>
      <c r="NXB161" s="679"/>
      <c r="NXC161" s="679"/>
      <c r="NXD161" s="679"/>
      <c r="NXE161" s="679"/>
      <c r="NXF161" s="679"/>
      <c r="NXG161" s="679"/>
      <c r="NXH161" s="679"/>
      <c r="NXI161" s="679"/>
      <c r="NXJ161" s="679"/>
      <c r="NXK161" s="679"/>
      <c r="NXL161" s="679"/>
      <c r="NXM161" s="679"/>
      <c r="NXN161" s="679"/>
      <c r="NXO161" s="679"/>
      <c r="NXP161" s="679"/>
      <c r="NXQ161" s="679"/>
      <c r="NXR161" s="679"/>
      <c r="NXS161" s="679"/>
      <c r="NXT161" s="679"/>
      <c r="NXU161" s="679"/>
      <c r="NXV161" s="679"/>
      <c r="NXW161" s="679"/>
      <c r="NXX161" s="679"/>
      <c r="NXY161" s="679"/>
      <c r="NXZ161" s="679"/>
      <c r="NYA161" s="679"/>
      <c r="NYB161" s="679"/>
      <c r="NYC161" s="679"/>
      <c r="NYD161" s="679"/>
      <c r="NYE161" s="679"/>
      <c r="NYF161" s="679"/>
      <c r="NYG161" s="679"/>
      <c r="NYH161" s="679"/>
      <c r="NYI161" s="679"/>
      <c r="NYJ161" s="679"/>
      <c r="NYK161" s="679"/>
      <c r="NYL161" s="679"/>
      <c r="NYM161" s="679"/>
      <c r="NYN161" s="679"/>
      <c r="NYO161" s="679"/>
      <c r="NYP161" s="679"/>
      <c r="NYQ161" s="679"/>
      <c r="NYR161" s="679"/>
      <c r="NYS161" s="679"/>
      <c r="NYT161" s="679"/>
      <c r="NYU161" s="679"/>
      <c r="NYV161" s="679"/>
      <c r="NYW161" s="679"/>
      <c r="NYX161" s="679"/>
      <c r="NYY161" s="679"/>
      <c r="NYZ161" s="679"/>
      <c r="NZA161" s="679"/>
      <c r="NZB161" s="679"/>
      <c r="NZC161" s="679"/>
      <c r="NZD161" s="679"/>
      <c r="NZE161" s="679"/>
      <c r="NZF161" s="679"/>
      <c r="NZG161" s="679"/>
      <c r="NZH161" s="679"/>
      <c r="NZI161" s="679"/>
      <c r="NZJ161" s="679"/>
      <c r="NZK161" s="679"/>
      <c r="NZL161" s="679"/>
      <c r="NZM161" s="679"/>
      <c r="NZN161" s="679"/>
      <c r="NZO161" s="679"/>
      <c r="NZP161" s="679"/>
      <c r="NZQ161" s="679"/>
      <c r="NZR161" s="679"/>
      <c r="NZS161" s="679"/>
      <c r="NZT161" s="679"/>
      <c r="NZU161" s="679"/>
      <c r="NZV161" s="679"/>
      <c r="NZW161" s="679"/>
      <c r="NZX161" s="679"/>
      <c r="NZY161" s="679"/>
      <c r="NZZ161" s="679"/>
      <c r="OAA161" s="679"/>
      <c r="OAB161" s="679"/>
      <c r="OAC161" s="679"/>
      <c r="OAD161" s="679"/>
      <c r="OAE161" s="679"/>
      <c r="OAF161" s="679"/>
      <c r="OAG161" s="679"/>
      <c r="OAH161" s="679"/>
      <c r="OAI161" s="679"/>
      <c r="OAJ161" s="679"/>
      <c r="OAK161" s="679"/>
      <c r="OAL161" s="679"/>
      <c r="OAM161" s="679"/>
      <c r="OAN161" s="679"/>
      <c r="OAO161" s="679"/>
      <c r="OAP161" s="679"/>
      <c r="OAQ161" s="679"/>
      <c r="OAR161" s="679"/>
      <c r="OAS161" s="679"/>
      <c r="OAT161" s="679"/>
      <c r="OAU161" s="679"/>
      <c r="OAV161" s="679"/>
      <c r="OAW161" s="679"/>
      <c r="OAX161" s="679"/>
      <c r="OAY161" s="679"/>
      <c r="OAZ161" s="679"/>
      <c r="OBA161" s="679"/>
      <c r="OBB161" s="679"/>
      <c r="OBC161" s="679"/>
      <c r="OBD161" s="679"/>
      <c r="OBE161" s="679"/>
      <c r="OBF161" s="679"/>
      <c r="OBG161" s="679"/>
      <c r="OBH161" s="679"/>
      <c r="OBI161" s="679"/>
      <c r="OBJ161" s="679"/>
      <c r="OBK161" s="679"/>
      <c r="OBL161" s="679"/>
      <c r="OBM161" s="679"/>
      <c r="OBN161" s="679"/>
      <c r="OBO161" s="679"/>
      <c r="OBP161" s="679"/>
      <c r="OBQ161" s="679"/>
      <c r="OBR161" s="679"/>
      <c r="OBS161" s="679"/>
      <c r="OBT161" s="679"/>
      <c r="OBU161" s="679"/>
      <c r="OBV161" s="679"/>
      <c r="OBW161" s="679"/>
      <c r="OBX161" s="679"/>
      <c r="OBY161" s="679"/>
      <c r="OBZ161" s="679"/>
      <c r="OCA161" s="679"/>
      <c r="OCB161" s="679"/>
      <c r="OCC161" s="679"/>
      <c r="OCD161" s="679"/>
      <c r="OCE161" s="679"/>
      <c r="OCF161" s="679"/>
      <c r="OCG161" s="679"/>
      <c r="OCH161" s="679"/>
      <c r="OCI161" s="679"/>
      <c r="OCJ161" s="679"/>
      <c r="OCK161" s="679"/>
      <c r="OCL161" s="679"/>
      <c r="OCM161" s="679"/>
      <c r="OCN161" s="679"/>
      <c r="OCO161" s="679"/>
      <c r="OCP161" s="679"/>
      <c r="OCQ161" s="679"/>
      <c r="OCR161" s="679"/>
      <c r="OCS161" s="679"/>
      <c r="OCT161" s="679"/>
      <c r="OCU161" s="679"/>
      <c r="OCV161" s="679"/>
      <c r="OCW161" s="679"/>
      <c r="OCX161" s="679"/>
      <c r="OCY161" s="679"/>
      <c r="OCZ161" s="679"/>
      <c r="ODA161" s="679"/>
      <c r="ODB161" s="679"/>
      <c r="ODC161" s="679"/>
      <c r="ODD161" s="679"/>
      <c r="ODE161" s="679"/>
      <c r="ODF161" s="679"/>
      <c r="ODG161" s="679"/>
      <c r="ODH161" s="679"/>
      <c r="ODI161" s="679"/>
      <c r="ODJ161" s="679"/>
      <c r="ODK161" s="679"/>
      <c r="ODL161" s="679"/>
      <c r="ODM161" s="679"/>
      <c r="ODN161" s="679"/>
      <c r="ODO161" s="679"/>
      <c r="ODP161" s="679"/>
      <c r="ODQ161" s="679"/>
      <c r="ODR161" s="679"/>
      <c r="ODS161" s="679"/>
      <c r="ODT161" s="679"/>
      <c r="ODU161" s="679"/>
      <c r="ODV161" s="679"/>
      <c r="ODW161" s="679"/>
      <c r="ODX161" s="679"/>
      <c r="ODY161" s="679"/>
      <c r="ODZ161" s="679"/>
      <c r="OEA161" s="679"/>
      <c r="OEB161" s="679"/>
      <c r="OEC161" s="679"/>
      <c r="OED161" s="679"/>
      <c r="OEE161" s="679"/>
      <c r="OEF161" s="679"/>
      <c r="OEG161" s="679"/>
      <c r="OEH161" s="679"/>
      <c r="OEI161" s="679"/>
      <c r="OEJ161" s="679"/>
      <c r="OEK161" s="679"/>
      <c r="OEL161" s="679"/>
      <c r="OEM161" s="679"/>
      <c r="OEN161" s="679"/>
      <c r="OEO161" s="679"/>
      <c r="OEP161" s="679"/>
      <c r="OEQ161" s="679"/>
      <c r="OER161" s="679"/>
      <c r="OES161" s="679"/>
      <c r="OET161" s="679"/>
      <c r="OEU161" s="679"/>
      <c r="OEV161" s="679"/>
      <c r="OEW161" s="679"/>
      <c r="OEX161" s="679"/>
      <c r="OEY161" s="679"/>
      <c r="OEZ161" s="679"/>
      <c r="OFA161" s="679"/>
      <c r="OFB161" s="679"/>
      <c r="OFC161" s="679"/>
      <c r="OFD161" s="679"/>
      <c r="OFE161" s="679"/>
      <c r="OFF161" s="679"/>
      <c r="OFG161" s="679"/>
      <c r="OFH161" s="679"/>
      <c r="OFI161" s="679"/>
      <c r="OFJ161" s="679"/>
      <c r="OFK161" s="679"/>
      <c r="OFL161" s="679"/>
      <c r="OFM161" s="679"/>
      <c r="OFN161" s="679"/>
      <c r="OFO161" s="679"/>
      <c r="OFP161" s="679"/>
      <c r="OFQ161" s="679"/>
      <c r="OFR161" s="679"/>
      <c r="OFS161" s="679"/>
      <c r="OFT161" s="679"/>
      <c r="OFU161" s="679"/>
      <c r="OFV161" s="679"/>
      <c r="OFW161" s="679"/>
      <c r="OFX161" s="679"/>
      <c r="OFY161" s="679"/>
      <c r="OFZ161" s="679"/>
      <c r="OGA161" s="679"/>
      <c r="OGB161" s="679"/>
      <c r="OGC161" s="679"/>
      <c r="OGD161" s="679"/>
      <c r="OGE161" s="679"/>
      <c r="OGF161" s="679"/>
      <c r="OGG161" s="679"/>
      <c r="OGH161" s="679"/>
      <c r="OGI161" s="679"/>
      <c r="OGJ161" s="679"/>
      <c r="OGK161" s="679"/>
      <c r="OGL161" s="679"/>
      <c r="OGM161" s="679"/>
      <c r="OGN161" s="679"/>
      <c r="OGO161" s="679"/>
      <c r="OGP161" s="679"/>
      <c r="OGQ161" s="679"/>
      <c r="OGR161" s="679"/>
      <c r="OGS161" s="679"/>
      <c r="OGT161" s="679"/>
      <c r="OGU161" s="679"/>
      <c r="OGV161" s="679"/>
      <c r="OGW161" s="679"/>
      <c r="OGX161" s="679"/>
      <c r="OGY161" s="679"/>
      <c r="OGZ161" s="679"/>
      <c r="OHA161" s="679"/>
      <c r="OHB161" s="679"/>
      <c r="OHC161" s="679"/>
      <c r="OHD161" s="679"/>
      <c r="OHE161" s="679"/>
      <c r="OHF161" s="679"/>
      <c r="OHG161" s="679"/>
      <c r="OHH161" s="679"/>
      <c r="OHI161" s="679"/>
      <c r="OHJ161" s="679"/>
      <c r="OHK161" s="679"/>
      <c r="OHL161" s="679"/>
      <c r="OHM161" s="679"/>
      <c r="OHN161" s="679"/>
      <c r="OHO161" s="679"/>
      <c r="OHP161" s="679"/>
      <c r="OHQ161" s="679"/>
      <c r="OHR161" s="679"/>
      <c r="OHS161" s="679"/>
      <c r="OHT161" s="679"/>
      <c r="OHU161" s="679"/>
      <c r="OHV161" s="679"/>
      <c r="OHW161" s="679"/>
      <c r="OHX161" s="679"/>
      <c r="OHY161" s="679"/>
      <c r="OHZ161" s="679"/>
      <c r="OIA161" s="679"/>
      <c r="OIB161" s="679"/>
      <c r="OIC161" s="679"/>
      <c r="OID161" s="679"/>
      <c r="OIE161" s="679"/>
      <c r="OIF161" s="679"/>
      <c r="OIG161" s="679"/>
      <c r="OIH161" s="679"/>
      <c r="OII161" s="679"/>
      <c r="OIJ161" s="679"/>
      <c r="OIK161" s="679"/>
      <c r="OIL161" s="679"/>
      <c r="OIM161" s="679"/>
      <c r="OIN161" s="679"/>
      <c r="OIO161" s="679"/>
      <c r="OIP161" s="679"/>
      <c r="OIQ161" s="679"/>
      <c r="OIR161" s="679"/>
      <c r="OIS161" s="679"/>
      <c r="OIT161" s="679"/>
      <c r="OIU161" s="679"/>
      <c r="OIV161" s="679"/>
      <c r="OIW161" s="679"/>
      <c r="OIX161" s="679"/>
      <c r="OIY161" s="679"/>
      <c r="OIZ161" s="679"/>
      <c r="OJA161" s="679"/>
      <c r="OJB161" s="679"/>
      <c r="OJC161" s="679"/>
      <c r="OJD161" s="679"/>
      <c r="OJE161" s="679"/>
      <c r="OJF161" s="679"/>
      <c r="OJG161" s="679"/>
      <c r="OJH161" s="679"/>
      <c r="OJI161" s="679"/>
      <c r="OJJ161" s="679"/>
      <c r="OJK161" s="679"/>
      <c r="OJL161" s="679"/>
      <c r="OJM161" s="679"/>
      <c r="OJN161" s="679"/>
      <c r="OJO161" s="679"/>
      <c r="OJP161" s="679"/>
      <c r="OJQ161" s="679"/>
      <c r="OJR161" s="679"/>
      <c r="OJS161" s="679"/>
      <c r="OJT161" s="679"/>
      <c r="OJU161" s="679"/>
      <c r="OJV161" s="679"/>
      <c r="OJW161" s="679"/>
      <c r="OJX161" s="679"/>
      <c r="OJY161" s="679"/>
      <c r="OJZ161" s="679"/>
      <c r="OKA161" s="679"/>
      <c r="OKB161" s="679"/>
      <c r="OKC161" s="679"/>
      <c r="OKD161" s="679"/>
      <c r="OKE161" s="679"/>
      <c r="OKF161" s="679"/>
      <c r="OKG161" s="679"/>
      <c r="OKH161" s="679"/>
      <c r="OKI161" s="679"/>
      <c r="OKJ161" s="679"/>
      <c r="OKK161" s="679"/>
      <c r="OKL161" s="679"/>
      <c r="OKM161" s="679"/>
      <c r="OKN161" s="679"/>
      <c r="OKO161" s="679"/>
      <c r="OKP161" s="679"/>
      <c r="OKQ161" s="679"/>
      <c r="OKR161" s="679"/>
      <c r="OKS161" s="679"/>
      <c r="OKT161" s="679"/>
      <c r="OKU161" s="679"/>
      <c r="OKV161" s="679"/>
      <c r="OKW161" s="679"/>
      <c r="OKX161" s="679"/>
      <c r="OKY161" s="679"/>
      <c r="OKZ161" s="679"/>
      <c r="OLA161" s="679"/>
      <c r="OLB161" s="679"/>
      <c r="OLC161" s="679"/>
      <c r="OLD161" s="679"/>
      <c r="OLE161" s="679"/>
      <c r="OLF161" s="679"/>
      <c r="OLG161" s="679"/>
      <c r="OLH161" s="679"/>
      <c r="OLI161" s="679"/>
      <c r="OLJ161" s="679"/>
      <c r="OLK161" s="679"/>
      <c r="OLL161" s="679"/>
      <c r="OLM161" s="679"/>
      <c r="OLN161" s="679"/>
      <c r="OLO161" s="679"/>
      <c r="OLP161" s="679"/>
      <c r="OLQ161" s="679"/>
      <c r="OLR161" s="679"/>
      <c r="OLS161" s="679"/>
      <c r="OLT161" s="679"/>
      <c r="OLU161" s="679"/>
      <c r="OLV161" s="679"/>
      <c r="OLW161" s="679"/>
      <c r="OLX161" s="679"/>
      <c r="OLY161" s="679"/>
      <c r="OLZ161" s="679"/>
      <c r="OMA161" s="679"/>
      <c r="OMB161" s="679"/>
      <c r="OMC161" s="679"/>
      <c r="OMD161" s="679"/>
      <c r="OME161" s="679"/>
      <c r="OMF161" s="679"/>
      <c r="OMG161" s="679"/>
      <c r="OMH161" s="679"/>
      <c r="OMI161" s="679"/>
      <c r="OMJ161" s="679"/>
      <c r="OMK161" s="679"/>
      <c r="OML161" s="679"/>
      <c r="OMM161" s="679"/>
      <c r="OMN161" s="679"/>
      <c r="OMO161" s="679"/>
      <c r="OMP161" s="679"/>
      <c r="OMQ161" s="679"/>
      <c r="OMR161" s="679"/>
      <c r="OMS161" s="679"/>
      <c r="OMT161" s="679"/>
      <c r="OMU161" s="679"/>
      <c r="OMV161" s="679"/>
      <c r="OMW161" s="679"/>
      <c r="OMX161" s="679"/>
      <c r="OMY161" s="679"/>
      <c r="OMZ161" s="679"/>
      <c r="ONA161" s="679"/>
      <c r="ONB161" s="679"/>
      <c r="ONC161" s="679"/>
      <c r="OND161" s="679"/>
      <c r="ONE161" s="679"/>
      <c r="ONF161" s="679"/>
      <c r="ONG161" s="679"/>
      <c r="ONH161" s="679"/>
      <c r="ONI161" s="679"/>
      <c r="ONJ161" s="679"/>
      <c r="ONK161" s="679"/>
      <c r="ONL161" s="679"/>
      <c r="ONM161" s="679"/>
      <c r="ONN161" s="679"/>
      <c r="ONO161" s="679"/>
      <c r="ONP161" s="679"/>
      <c r="ONQ161" s="679"/>
      <c r="ONR161" s="679"/>
      <c r="ONS161" s="679"/>
      <c r="ONT161" s="679"/>
      <c r="ONU161" s="679"/>
      <c r="ONV161" s="679"/>
      <c r="ONW161" s="679"/>
      <c r="ONX161" s="679"/>
      <c r="ONY161" s="679"/>
      <c r="ONZ161" s="679"/>
      <c r="OOA161" s="679"/>
      <c r="OOB161" s="679"/>
      <c r="OOC161" s="679"/>
      <c r="OOD161" s="679"/>
      <c r="OOE161" s="679"/>
      <c r="OOF161" s="679"/>
      <c r="OOG161" s="679"/>
      <c r="OOH161" s="679"/>
      <c r="OOI161" s="679"/>
      <c r="OOJ161" s="679"/>
      <c r="OOK161" s="679"/>
      <c r="OOL161" s="679"/>
      <c r="OOM161" s="679"/>
      <c r="OON161" s="679"/>
      <c r="OOO161" s="679"/>
      <c r="OOP161" s="679"/>
      <c r="OOQ161" s="679"/>
      <c r="OOR161" s="679"/>
      <c r="OOS161" s="679"/>
      <c r="OOT161" s="679"/>
      <c r="OOU161" s="679"/>
      <c r="OOV161" s="679"/>
      <c r="OOW161" s="679"/>
      <c r="OOX161" s="679"/>
      <c r="OOY161" s="679"/>
      <c r="OOZ161" s="679"/>
      <c r="OPA161" s="679"/>
      <c r="OPB161" s="679"/>
      <c r="OPC161" s="679"/>
      <c r="OPD161" s="679"/>
      <c r="OPE161" s="679"/>
      <c r="OPF161" s="679"/>
      <c r="OPG161" s="679"/>
      <c r="OPH161" s="679"/>
      <c r="OPI161" s="679"/>
      <c r="OPJ161" s="679"/>
      <c r="OPK161" s="679"/>
      <c r="OPL161" s="679"/>
      <c r="OPM161" s="679"/>
      <c r="OPN161" s="679"/>
      <c r="OPO161" s="679"/>
      <c r="OPP161" s="679"/>
      <c r="OPQ161" s="679"/>
      <c r="OPR161" s="679"/>
      <c r="OPS161" s="679"/>
      <c r="OPT161" s="679"/>
      <c r="OPU161" s="679"/>
      <c r="OPV161" s="679"/>
      <c r="OPW161" s="679"/>
      <c r="OPX161" s="679"/>
      <c r="OPY161" s="679"/>
      <c r="OPZ161" s="679"/>
      <c r="OQA161" s="679"/>
      <c r="OQB161" s="679"/>
      <c r="OQC161" s="679"/>
      <c r="OQD161" s="679"/>
      <c r="OQE161" s="679"/>
      <c r="OQF161" s="679"/>
      <c r="OQG161" s="679"/>
      <c r="OQH161" s="679"/>
      <c r="OQI161" s="679"/>
      <c r="OQJ161" s="679"/>
      <c r="OQK161" s="679"/>
      <c r="OQL161" s="679"/>
      <c r="OQM161" s="679"/>
      <c r="OQN161" s="679"/>
      <c r="OQO161" s="679"/>
      <c r="OQP161" s="679"/>
      <c r="OQQ161" s="679"/>
      <c r="OQR161" s="679"/>
      <c r="OQS161" s="679"/>
      <c r="OQT161" s="679"/>
      <c r="OQU161" s="679"/>
      <c r="OQV161" s="679"/>
      <c r="OQW161" s="679"/>
      <c r="OQX161" s="679"/>
      <c r="OQY161" s="679"/>
      <c r="OQZ161" s="679"/>
      <c r="ORA161" s="679"/>
      <c r="ORB161" s="679"/>
      <c r="ORC161" s="679"/>
      <c r="ORD161" s="679"/>
      <c r="ORE161" s="679"/>
      <c r="ORF161" s="679"/>
      <c r="ORG161" s="679"/>
      <c r="ORH161" s="679"/>
      <c r="ORI161" s="679"/>
      <c r="ORJ161" s="679"/>
      <c r="ORK161" s="679"/>
      <c r="ORL161" s="679"/>
      <c r="ORM161" s="679"/>
      <c r="ORN161" s="679"/>
      <c r="ORO161" s="679"/>
      <c r="ORP161" s="679"/>
      <c r="ORQ161" s="679"/>
      <c r="ORR161" s="679"/>
      <c r="ORS161" s="679"/>
      <c r="ORT161" s="679"/>
      <c r="ORU161" s="679"/>
      <c r="ORV161" s="679"/>
      <c r="ORW161" s="679"/>
      <c r="ORX161" s="679"/>
      <c r="ORY161" s="679"/>
      <c r="ORZ161" s="679"/>
      <c r="OSA161" s="679"/>
      <c r="OSB161" s="679"/>
      <c r="OSC161" s="679"/>
      <c r="OSD161" s="679"/>
      <c r="OSE161" s="679"/>
      <c r="OSF161" s="679"/>
      <c r="OSG161" s="679"/>
      <c r="OSH161" s="679"/>
      <c r="OSI161" s="679"/>
      <c r="OSJ161" s="679"/>
      <c r="OSK161" s="679"/>
      <c r="OSL161" s="679"/>
      <c r="OSM161" s="679"/>
      <c r="OSN161" s="679"/>
      <c r="OSO161" s="679"/>
      <c r="OSP161" s="679"/>
      <c r="OSQ161" s="679"/>
      <c r="OSR161" s="679"/>
      <c r="OSS161" s="679"/>
      <c r="OST161" s="679"/>
      <c r="OSU161" s="679"/>
      <c r="OSV161" s="679"/>
      <c r="OSW161" s="679"/>
      <c r="OSX161" s="679"/>
      <c r="OSY161" s="679"/>
      <c r="OSZ161" s="679"/>
      <c r="OTA161" s="679"/>
      <c r="OTB161" s="679"/>
      <c r="OTC161" s="679"/>
      <c r="OTD161" s="679"/>
      <c r="OTE161" s="679"/>
      <c r="OTF161" s="679"/>
      <c r="OTG161" s="679"/>
      <c r="OTH161" s="679"/>
      <c r="OTI161" s="679"/>
      <c r="OTJ161" s="679"/>
      <c r="OTK161" s="679"/>
      <c r="OTL161" s="679"/>
      <c r="OTM161" s="679"/>
      <c r="OTN161" s="679"/>
      <c r="OTO161" s="679"/>
      <c r="OTP161" s="679"/>
      <c r="OTQ161" s="679"/>
      <c r="OTR161" s="679"/>
      <c r="OTS161" s="679"/>
      <c r="OTT161" s="679"/>
      <c r="OTU161" s="679"/>
      <c r="OTV161" s="679"/>
      <c r="OTW161" s="679"/>
      <c r="OTX161" s="679"/>
      <c r="OTY161" s="679"/>
      <c r="OTZ161" s="679"/>
      <c r="OUA161" s="679"/>
      <c r="OUB161" s="679"/>
      <c r="OUC161" s="679"/>
      <c r="OUD161" s="679"/>
      <c r="OUE161" s="679"/>
      <c r="OUF161" s="679"/>
      <c r="OUG161" s="679"/>
      <c r="OUH161" s="679"/>
      <c r="OUI161" s="679"/>
      <c r="OUJ161" s="679"/>
      <c r="OUK161" s="679"/>
      <c r="OUL161" s="679"/>
      <c r="OUM161" s="679"/>
      <c r="OUN161" s="679"/>
      <c r="OUO161" s="679"/>
      <c r="OUP161" s="679"/>
      <c r="OUQ161" s="679"/>
      <c r="OUR161" s="679"/>
      <c r="OUS161" s="679"/>
      <c r="OUT161" s="679"/>
      <c r="OUU161" s="679"/>
      <c r="OUV161" s="679"/>
      <c r="OUW161" s="679"/>
      <c r="OUX161" s="679"/>
      <c r="OUY161" s="679"/>
      <c r="OUZ161" s="679"/>
      <c r="OVA161" s="679"/>
      <c r="OVB161" s="679"/>
      <c r="OVC161" s="679"/>
      <c r="OVD161" s="679"/>
      <c r="OVE161" s="679"/>
      <c r="OVF161" s="679"/>
      <c r="OVG161" s="679"/>
      <c r="OVH161" s="679"/>
      <c r="OVI161" s="679"/>
      <c r="OVJ161" s="679"/>
      <c r="OVK161" s="679"/>
      <c r="OVL161" s="679"/>
      <c r="OVM161" s="679"/>
      <c r="OVN161" s="679"/>
      <c r="OVO161" s="679"/>
      <c r="OVP161" s="679"/>
      <c r="OVQ161" s="679"/>
      <c r="OVR161" s="679"/>
      <c r="OVS161" s="679"/>
      <c r="OVT161" s="679"/>
      <c r="OVU161" s="679"/>
      <c r="OVV161" s="679"/>
      <c r="OVW161" s="679"/>
      <c r="OVX161" s="679"/>
      <c r="OVY161" s="679"/>
      <c r="OVZ161" s="679"/>
      <c r="OWA161" s="679"/>
      <c r="OWB161" s="679"/>
      <c r="OWC161" s="679"/>
      <c r="OWD161" s="679"/>
      <c r="OWE161" s="679"/>
      <c r="OWF161" s="679"/>
      <c r="OWG161" s="679"/>
      <c r="OWH161" s="679"/>
      <c r="OWI161" s="679"/>
      <c r="OWJ161" s="679"/>
      <c r="OWK161" s="679"/>
      <c r="OWL161" s="679"/>
      <c r="OWM161" s="679"/>
      <c r="OWN161" s="679"/>
      <c r="OWO161" s="679"/>
      <c r="OWP161" s="679"/>
      <c r="OWQ161" s="679"/>
      <c r="OWR161" s="679"/>
      <c r="OWS161" s="679"/>
      <c r="OWT161" s="679"/>
      <c r="OWU161" s="679"/>
      <c r="OWV161" s="679"/>
      <c r="OWW161" s="679"/>
      <c r="OWX161" s="679"/>
      <c r="OWY161" s="679"/>
      <c r="OWZ161" s="679"/>
      <c r="OXA161" s="679"/>
      <c r="OXB161" s="679"/>
      <c r="OXC161" s="679"/>
      <c r="OXD161" s="679"/>
      <c r="OXE161" s="679"/>
      <c r="OXF161" s="679"/>
      <c r="OXG161" s="679"/>
      <c r="OXH161" s="679"/>
      <c r="OXI161" s="679"/>
      <c r="OXJ161" s="679"/>
      <c r="OXK161" s="679"/>
      <c r="OXL161" s="679"/>
      <c r="OXM161" s="679"/>
      <c r="OXN161" s="679"/>
      <c r="OXO161" s="679"/>
      <c r="OXP161" s="679"/>
      <c r="OXQ161" s="679"/>
      <c r="OXR161" s="679"/>
      <c r="OXS161" s="679"/>
      <c r="OXT161" s="679"/>
      <c r="OXU161" s="679"/>
      <c r="OXV161" s="679"/>
      <c r="OXW161" s="679"/>
      <c r="OXX161" s="679"/>
      <c r="OXY161" s="679"/>
      <c r="OXZ161" s="679"/>
      <c r="OYA161" s="679"/>
      <c r="OYB161" s="679"/>
      <c r="OYC161" s="679"/>
      <c r="OYD161" s="679"/>
      <c r="OYE161" s="679"/>
      <c r="OYF161" s="679"/>
      <c r="OYG161" s="679"/>
      <c r="OYH161" s="679"/>
      <c r="OYI161" s="679"/>
      <c r="OYJ161" s="679"/>
      <c r="OYK161" s="679"/>
      <c r="OYL161" s="679"/>
      <c r="OYM161" s="679"/>
      <c r="OYN161" s="679"/>
      <c r="OYO161" s="679"/>
      <c r="OYP161" s="679"/>
      <c r="OYQ161" s="679"/>
      <c r="OYR161" s="679"/>
      <c r="OYS161" s="679"/>
      <c r="OYT161" s="679"/>
      <c r="OYU161" s="679"/>
      <c r="OYV161" s="679"/>
      <c r="OYW161" s="679"/>
      <c r="OYX161" s="679"/>
      <c r="OYY161" s="679"/>
      <c r="OYZ161" s="679"/>
      <c r="OZA161" s="679"/>
      <c r="OZB161" s="679"/>
      <c r="OZC161" s="679"/>
      <c r="OZD161" s="679"/>
      <c r="OZE161" s="679"/>
      <c r="OZF161" s="679"/>
      <c r="OZG161" s="679"/>
      <c r="OZH161" s="679"/>
      <c r="OZI161" s="679"/>
      <c r="OZJ161" s="679"/>
      <c r="OZK161" s="679"/>
      <c r="OZL161" s="679"/>
      <c r="OZM161" s="679"/>
      <c r="OZN161" s="679"/>
      <c r="OZO161" s="679"/>
      <c r="OZP161" s="679"/>
      <c r="OZQ161" s="679"/>
      <c r="OZR161" s="679"/>
      <c r="OZS161" s="679"/>
      <c r="OZT161" s="679"/>
      <c r="OZU161" s="679"/>
      <c r="OZV161" s="679"/>
      <c r="OZW161" s="679"/>
      <c r="OZX161" s="679"/>
      <c r="OZY161" s="679"/>
      <c r="OZZ161" s="679"/>
      <c r="PAA161" s="679"/>
      <c r="PAB161" s="679"/>
      <c r="PAC161" s="679"/>
      <c r="PAD161" s="679"/>
      <c r="PAE161" s="679"/>
      <c r="PAF161" s="679"/>
      <c r="PAG161" s="679"/>
      <c r="PAH161" s="679"/>
      <c r="PAI161" s="679"/>
      <c r="PAJ161" s="679"/>
      <c r="PAK161" s="679"/>
      <c r="PAL161" s="679"/>
      <c r="PAM161" s="679"/>
      <c r="PAN161" s="679"/>
      <c r="PAO161" s="679"/>
      <c r="PAP161" s="679"/>
      <c r="PAQ161" s="679"/>
      <c r="PAR161" s="679"/>
      <c r="PAS161" s="679"/>
      <c r="PAT161" s="679"/>
      <c r="PAU161" s="679"/>
      <c r="PAV161" s="679"/>
      <c r="PAW161" s="679"/>
      <c r="PAX161" s="679"/>
      <c r="PAY161" s="679"/>
      <c r="PAZ161" s="679"/>
      <c r="PBA161" s="679"/>
      <c r="PBB161" s="679"/>
      <c r="PBC161" s="679"/>
      <c r="PBD161" s="679"/>
      <c r="PBE161" s="679"/>
      <c r="PBF161" s="679"/>
      <c r="PBG161" s="679"/>
      <c r="PBH161" s="679"/>
      <c r="PBI161" s="679"/>
      <c r="PBJ161" s="679"/>
      <c r="PBK161" s="679"/>
      <c r="PBL161" s="679"/>
      <c r="PBM161" s="679"/>
      <c r="PBN161" s="679"/>
      <c r="PBO161" s="679"/>
      <c r="PBP161" s="679"/>
      <c r="PBQ161" s="679"/>
      <c r="PBR161" s="679"/>
      <c r="PBS161" s="679"/>
      <c r="PBT161" s="679"/>
      <c r="PBU161" s="679"/>
      <c r="PBV161" s="679"/>
      <c r="PBW161" s="679"/>
      <c r="PBX161" s="679"/>
      <c r="PBY161" s="679"/>
      <c r="PBZ161" s="679"/>
      <c r="PCA161" s="679"/>
      <c r="PCB161" s="679"/>
      <c r="PCC161" s="679"/>
      <c r="PCD161" s="679"/>
      <c r="PCE161" s="679"/>
      <c r="PCF161" s="679"/>
      <c r="PCG161" s="679"/>
      <c r="PCH161" s="679"/>
      <c r="PCI161" s="679"/>
      <c r="PCJ161" s="679"/>
      <c r="PCK161" s="679"/>
      <c r="PCL161" s="679"/>
      <c r="PCM161" s="679"/>
      <c r="PCN161" s="679"/>
      <c r="PCO161" s="679"/>
      <c r="PCP161" s="679"/>
      <c r="PCQ161" s="679"/>
      <c r="PCR161" s="679"/>
      <c r="PCS161" s="679"/>
      <c r="PCT161" s="679"/>
      <c r="PCU161" s="679"/>
      <c r="PCV161" s="679"/>
      <c r="PCW161" s="679"/>
      <c r="PCX161" s="679"/>
      <c r="PCY161" s="679"/>
      <c r="PCZ161" s="679"/>
      <c r="PDA161" s="679"/>
      <c r="PDB161" s="679"/>
      <c r="PDC161" s="679"/>
      <c r="PDD161" s="679"/>
      <c r="PDE161" s="679"/>
      <c r="PDF161" s="679"/>
      <c r="PDG161" s="679"/>
      <c r="PDH161" s="679"/>
      <c r="PDI161" s="679"/>
      <c r="PDJ161" s="679"/>
      <c r="PDK161" s="679"/>
      <c r="PDL161" s="679"/>
      <c r="PDM161" s="679"/>
      <c r="PDN161" s="679"/>
      <c r="PDO161" s="679"/>
      <c r="PDP161" s="679"/>
      <c r="PDQ161" s="679"/>
      <c r="PDR161" s="679"/>
      <c r="PDS161" s="679"/>
      <c r="PDT161" s="679"/>
      <c r="PDU161" s="679"/>
      <c r="PDV161" s="679"/>
      <c r="PDW161" s="679"/>
      <c r="PDX161" s="679"/>
      <c r="PDY161" s="679"/>
      <c r="PDZ161" s="679"/>
      <c r="PEA161" s="679"/>
      <c r="PEB161" s="679"/>
      <c r="PEC161" s="679"/>
      <c r="PED161" s="679"/>
      <c r="PEE161" s="679"/>
      <c r="PEF161" s="679"/>
      <c r="PEG161" s="679"/>
      <c r="PEH161" s="679"/>
      <c r="PEI161" s="679"/>
      <c r="PEJ161" s="679"/>
      <c r="PEK161" s="679"/>
      <c r="PEL161" s="679"/>
      <c r="PEM161" s="679"/>
      <c r="PEN161" s="679"/>
      <c r="PEO161" s="679"/>
      <c r="PEP161" s="679"/>
      <c r="PEQ161" s="679"/>
      <c r="PER161" s="679"/>
      <c r="PES161" s="679"/>
      <c r="PET161" s="679"/>
      <c r="PEU161" s="679"/>
      <c r="PEV161" s="679"/>
      <c r="PEW161" s="679"/>
      <c r="PEX161" s="679"/>
      <c r="PEY161" s="679"/>
      <c r="PEZ161" s="679"/>
      <c r="PFA161" s="679"/>
      <c r="PFB161" s="679"/>
      <c r="PFC161" s="679"/>
      <c r="PFD161" s="679"/>
      <c r="PFE161" s="679"/>
      <c r="PFF161" s="679"/>
      <c r="PFG161" s="679"/>
      <c r="PFH161" s="679"/>
      <c r="PFI161" s="679"/>
      <c r="PFJ161" s="679"/>
      <c r="PFK161" s="679"/>
      <c r="PFL161" s="679"/>
      <c r="PFM161" s="679"/>
      <c r="PFN161" s="679"/>
      <c r="PFO161" s="679"/>
      <c r="PFP161" s="679"/>
      <c r="PFQ161" s="679"/>
      <c r="PFR161" s="679"/>
      <c r="PFS161" s="679"/>
      <c r="PFT161" s="679"/>
      <c r="PFU161" s="679"/>
      <c r="PFV161" s="679"/>
      <c r="PFW161" s="679"/>
      <c r="PFX161" s="679"/>
      <c r="PFY161" s="679"/>
      <c r="PFZ161" s="679"/>
      <c r="PGA161" s="679"/>
      <c r="PGB161" s="679"/>
      <c r="PGC161" s="679"/>
      <c r="PGD161" s="679"/>
      <c r="PGE161" s="679"/>
      <c r="PGF161" s="679"/>
      <c r="PGG161" s="679"/>
      <c r="PGH161" s="679"/>
      <c r="PGI161" s="679"/>
      <c r="PGJ161" s="679"/>
      <c r="PGK161" s="679"/>
      <c r="PGL161" s="679"/>
      <c r="PGM161" s="679"/>
      <c r="PGN161" s="679"/>
      <c r="PGO161" s="679"/>
      <c r="PGP161" s="679"/>
      <c r="PGQ161" s="679"/>
      <c r="PGR161" s="679"/>
      <c r="PGS161" s="679"/>
      <c r="PGT161" s="679"/>
      <c r="PGU161" s="679"/>
      <c r="PGV161" s="679"/>
      <c r="PGW161" s="679"/>
      <c r="PGX161" s="679"/>
      <c r="PGY161" s="679"/>
      <c r="PGZ161" s="679"/>
      <c r="PHA161" s="679"/>
      <c r="PHB161" s="679"/>
      <c r="PHC161" s="679"/>
      <c r="PHD161" s="679"/>
      <c r="PHE161" s="679"/>
      <c r="PHF161" s="679"/>
      <c r="PHG161" s="679"/>
      <c r="PHH161" s="679"/>
      <c r="PHI161" s="679"/>
      <c r="PHJ161" s="679"/>
      <c r="PHK161" s="679"/>
      <c r="PHL161" s="679"/>
      <c r="PHM161" s="679"/>
      <c r="PHN161" s="679"/>
      <c r="PHO161" s="679"/>
      <c r="PHP161" s="679"/>
      <c r="PHQ161" s="679"/>
      <c r="PHR161" s="679"/>
      <c r="PHS161" s="679"/>
      <c r="PHT161" s="679"/>
      <c r="PHU161" s="679"/>
      <c r="PHV161" s="679"/>
      <c r="PHW161" s="679"/>
      <c r="PHX161" s="679"/>
      <c r="PHY161" s="679"/>
      <c r="PHZ161" s="679"/>
      <c r="PIA161" s="679"/>
      <c r="PIB161" s="679"/>
      <c r="PIC161" s="679"/>
      <c r="PID161" s="679"/>
      <c r="PIE161" s="679"/>
      <c r="PIF161" s="679"/>
      <c r="PIG161" s="679"/>
      <c r="PIH161" s="679"/>
      <c r="PII161" s="679"/>
      <c r="PIJ161" s="679"/>
      <c r="PIK161" s="679"/>
      <c r="PIL161" s="679"/>
      <c r="PIM161" s="679"/>
      <c r="PIN161" s="679"/>
      <c r="PIO161" s="679"/>
      <c r="PIP161" s="679"/>
      <c r="PIQ161" s="679"/>
      <c r="PIR161" s="679"/>
      <c r="PIS161" s="679"/>
      <c r="PIT161" s="679"/>
      <c r="PIU161" s="679"/>
      <c r="PIV161" s="679"/>
      <c r="PIW161" s="679"/>
      <c r="PIX161" s="679"/>
      <c r="PIY161" s="679"/>
      <c r="PIZ161" s="679"/>
      <c r="PJA161" s="679"/>
      <c r="PJB161" s="679"/>
      <c r="PJC161" s="679"/>
      <c r="PJD161" s="679"/>
      <c r="PJE161" s="679"/>
      <c r="PJF161" s="679"/>
      <c r="PJG161" s="679"/>
      <c r="PJH161" s="679"/>
      <c r="PJI161" s="679"/>
      <c r="PJJ161" s="679"/>
      <c r="PJK161" s="679"/>
      <c r="PJL161" s="679"/>
      <c r="PJM161" s="679"/>
      <c r="PJN161" s="679"/>
      <c r="PJO161" s="679"/>
      <c r="PJP161" s="679"/>
      <c r="PJQ161" s="679"/>
      <c r="PJR161" s="679"/>
      <c r="PJS161" s="679"/>
      <c r="PJT161" s="679"/>
      <c r="PJU161" s="679"/>
      <c r="PJV161" s="679"/>
      <c r="PJW161" s="679"/>
      <c r="PJX161" s="679"/>
      <c r="PJY161" s="679"/>
      <c r="PJZ161" s="679"/>
      <c r="PKA161" s="679"/>
      <c r="PKB161" s="679"/>
      <c r="PKC161" s="679"/>
      <c r="PKD161" s="679"/>
      <c r="PKE161" s="679"/>
      <c r="PKF161" s="679"/>
      <c r="PKG161" s="679"/>
      <c r="PKH161" s="679"/>
      <c r="PKI161" s="679"/>
      <c r="PKJ161" s="679"/>
      <c r="PKK161" s="679"/>
      <c r="PKL161" s="679"/>
      <c r="PKM161" s="679"/>
      <c r="PKN161" s="679"/>
      <c r="PKO161" s="679"/>
      <c r="PKP161" s="679"/>
      <c r="PKQ161" s="679"/>
      <c r="PKR161" s="679"/>
      <c r="PKS161" s="679"/>
      <c r="PKT161" s="679"/>
      <c r="PKU161" s="679"/>
      <c r="PKV161" s="679"/>
      <c r="PKW161" s="679"/>
      <c r="PKX161" s="679"/>
      <c r="PKY161" s="679"/>
      <c r="PKZ161" s="679"/>
      <c r="PLA161" s="679"/>
      <c r="PLB161" s="679"/>
      <c r="PLC161" s="679"/>
      <c r="PLD161" s="679"/>
      <c r="PLE161" s="679"/>
      <c r="PLF161" s="679"/>
      <c r="PLG161" s="679"/>
      <c r="PLH161" s="679"/>
      <c r="PLI161" s="679"/>
      <c r="PLJ161" s="679"/>
      <c r="PLK161" s="679"/>
      <c r="PLL161" s="679"/>
      <c r="PLM161" s="679"/>
      <c r="PLN161" s="679"/>
      <c r="PLO161" s="679"/>
      <c r="PLP161" s="679"/>
      <c r="PLQ161" s="679"/>
      <c r="PLR161" s="679"/>
      <c r="PLS161" s="679"/>
      <c r="PLT161" s="679"/>
      <c r="PLU161" s="679"/>
      <c r="PLV161" s="679"/>
      <c r="PLW161" s="679"/>
      <c r="PLX161" s="679"/>
      <c r="PLY161" s="679"/>
      <c r="PLZ161" s="679"/>
      <c r="PMA161" s="679"/>
      <c r="PMB161" s="679"/>
      <c r="PMC161" s="679"/>
      <c r="PMD161" s="679"/>
      <c r="PME161" s="679"/>
      <c r="PMF161" s="679"/>
      <c r="PMG161" s="679"/>
      <c r="PMH161" s="679"/>
      <c r="PMI161" s="679"/>
      <c r="PMJ161" s="679"/>
      <c r="PMK161" s="679"/>
      <c r="PML161" s="679"/>
      <c r="PMM161" s="679"/>
      <c r="PMN161" s="679"/>
      <c r="PMO161" s="679"/>
      <c r="PMP161" s="679"/>
      <c r="PMQ161" s="679"/>
      <c r="PMR161" s="679"/>
      <c r="PMS161" s="679"/>
      <c r="PMT161" s="679"/>
      <c r="PMU161" s="679"/>
      <c r="PMV161" s="679"/>
      <c r="PMW161" s="679"/>
      <c r="PMX161" s="679"/>
      <c r="PMY161" s="679"/>
      <c r="PMZ161" s="679"/>
      <c r="PNA161" s="679"/>
      <c r="PNB161" s="679"/>
      <c r="PNC161" s="679"/>
      <c r="PND161" s="679"/>
      <c r="PNE161" s="679"/>
      <c r="PNF161" s="679"/>
      <c r="PNG161" s="679"/>
      <c r="PNH161" s="679"/>
      <c r="PNI161" s="679"/>
      <c r="PNJ161" s="679"/>
      <c r="PNK161" s="679"/>
      <c r="PNL161" s="679"/>
      <c r="PNM161" s="679"/>
      <c r="PNN161" s="679"/>
      <c r="PNO161" s="679"/>
      <c r="PNP161" s="679"/>
      <c r="PNQ161" s="679"/>
      <c r="PNR161" s="679"/>
      <c r="PNS161" s="679"/>
      <c r="PNT161" s="679"/>
      <c r="PNU161" s="679"/>
      <c r="PNV161" s="679"/>
      <c r="PNW161" s="679"/>
      <c r="PNX161" s="679"/>
      <c r="PNY161" s="679"/>
      <c r="PNZ161" s="679"/>
      <c r="POA161" s="679"/>
      <c r="POB161" s="679"/>
      <c r="POC161" s="679"/>
      <c r="POD161" s="679"/>
      <c r="POE161" s="679"/>
      <c r="POF161" s="679"/>
      <c r="POG161" s="679"/>
      <c r="POH161" s="679"/>
      <c r="POI161" s="679"/>
      <c r="POJ161" s="679"/>
      <c r="POK161" s="679"/>
      <c r="POL161" s="679"/>
      <c r="POM161" s="679"/>
      <c r="PON161" s="679"/>
      <c r="POO161" s="679"/>
      <c r="POP161" s="679"/>
      <c r="POQ161" s="679"/>
      <c r="POR161" s="679"/>
      <c r="POS161" s="679"/>
      <c r="POT161" s="679"/>
      <c r="POU161" s="679"/>
      <c r="POV161" s="679"/>
      <c r="POW161" s="679"/>
      <c r="POX161" s="679"/>
      <c r="POY161" s="679"/>
      <c r="POZ161" s="679"/>
      <c r="PPA161" s="679"/>
      <c r="PPB161" s="679"/>
      <c r="PPC161" s="679"/>
      <c r="PPD161" s="679"/>
      <c r="PPE161" s="679"/>
      <c r="PPF161" s="679"/>
      <c r="PPG161" s="679"/>
      <c r="PPH161" s="679"/>
      <c r="PPI161" s="679"/>
      <c r="PPJ161" s="679"/>
      <c r="PPK161" s="679"/>
      <c r="PPL161" s="679"/>
      <c r="PPM161" s="679"/>
      <c r="PPN161" s="679"/>
      <c r="PPO161" s="679"/>
      <c r="PPP161" s="679"/>
      <c r="PPQ161" s="679"/>
      <c r="PPR161" s="679"/>
      <c r="PPS161" s="679"/>
      <c r="PPT161" s="679"/>
      <c r="PPU161" s="679"/>
      <c r="PPV161" s="679"/>
      <c r="PPW161" s="679"/>
      <c r="PPX161" s="679"/>
      <c r="PPY161" s="679"/>
      <c r="PPZ161" s="679"/>
      <c r="PQA161" s="679"/>
      <c r="PQB161" s="679"/>
      <c r="PQC161" s="679"/>
      <c r="PQD161" s="679"/>
      <c r="PQE161" s="679"/>
      <c r="PQF161" s="679"/>
      <c r="PQG161" s="679"/>
      <c r="PQH161" s="679"/>
      <c r="PQI161" s="679"/>
      <c r="PQJ161" s="679"/>
      <c r="PQK161" s="679"/>
      <c r="PQL161" s="679"/>
      <c r="PQM161" s="679"/>
      <c r="PQN161" s="679"/>
      <c r="PQO161" s="679"/>
      <c r="PQP161" s="679"/>
      <c r="PQQ161" s="679"/>
      <c r="PQR161" s="679"/>
      <c r="PQS161" s="679"/>
      <c r="PQT161" s="679"/>
      <c r="PQU161" s="679"/>
      <c r="PQV161" s="679"/>
      <c r="PQW161" s="679"/>
      <c r="PQX161" s="679"/>
      <c r="PQY161" s="679"/>
      <c r="PQZ161" s="679"/>
      <c r="PRA161" s="679"/>
      <c r="PRB161" s="679"/>
      <c r="PRC161" s="679"/>
      <c r="PRD161" s="679"/>
      <c r="PRE161" s="679"/>
      <c r="PRF161" s="679"/>
      <c r="PRG161" s="679"/>
      <c r="PRH161" s="679"/>
      <c r="PRI161" s="679"/>
      <c r="PRJ161" s="679"/>
      <c r="PRK161" s="679"/>
      <c r="PRL161" s="679"/>
      <c r="PRM161" s="679"/>
      <c r="PRN161" s="679"/>
      <c r="PRO161" s="679"/>
      <c r="PRP161" s="679"/>
      <c r="PRQ161" s="679"/>
      <c r="PRR161" s="679"/>
      <c r="PRS161" s="679"/>
      <c r="PRT161" s="679"/>
      <c r="PRU161" s="679"/>
      <c r="PRV161" s="679"/>
      <c r="PRW161" s="679"/>
      <c r="PRX161" s="679"/>
      <c r="PRY161" s="679"/>
      <c r="PRZ161" s="679"/>
      <c r="PSA161" s="679"/>
      <c r="PSB161" s="679"/>
      <c r="PSC161" s="679"/>
      <c r="PSD161" s="679"/>
      <c r="PSE161" s="679"/>
      <c r="PSF161" s="679"/>
      <c r="PSG161" s="679"/>
      <c r="PSH161" s="679"/>
      <c r="PSI161" s="679"/>
      <c r="PSJ161" s="679"/>
      <c r="PSK161" s="679"/>
      <c r="PSL161" s="679"/>
      <c r="PSM161" s="679"/>
      <c r="PSN161" s="679"/>
      <c r="PSO161" s="679"/>
      <c r="PSP161" s="679"/>
      <c r="PSQ161" s="679"/>
      <c r="PSR161" s="679"/>
      <c r="PSS161" s="679"/>
      <c r="PST161" s="679"/>
      <c r="PSU161" s="679"/>
      <c r="PSV161" s="679"/>
      <c r="PSW161" s="679"/>
      <c r="PSX161" s="679"/>
      <c r="PSY161" s="679"/>
      <c r="PSZ161" s="679"/>
      <c r="PTA161" s="679"/>
      <c r="PTB161" s="679"/>
      <c r="PTC161" s="679"/>
      <c r="PTD161" s="679"/>
      <c r="PTE161" s="679"/>
      <c r="PTF161" s="679"/>
      <c r="PTG161" s="679"/>
      <c r="PTH161" s="679"/>
      <c r="PTI161" s="679"/>
      <c r="PTJ161" s="679"/>
      <c r="PTK161" s="679"/>
      <c r="PTL161" s="679"/>
      <c r="PTM161" s="679"/>
      <c r="PTN161" s="679"/>
      <c r="PTO161" s="679"/>
      <c r="PTP161" s="679"/>
      <c r="PTQ161" s="679"/>
      <c r="PTR161" s="679"/>
      <c r="PTS161" s="679"/>
      <c r="PTT161" s="679"/>
      <c r="PTU161" s="679"/>
      <c r="PTV161" s="679"/>
      <c r="PTW161" s="679"/>
      <c r="PTX161" s="679"/>
      <c r="PTY161" s="679"/>
      <c r="PTZ161" s="679"/>
      <c r="PUA161" s="679"/>
      <c r="PUB161" s="679"/>
      <c r="PUC161" s="679"/>
      <c r="PUD161" s="679"/>
      <c r="PUE161" s="679"/>
      <c r="PUF161" s="679"/>
      <c r="PUG161" s="679"/>
      <c r="PUH161" s="679"/>
      <c r="PUI161" s="679"/>
      <c r="PUJ161" s="679"/>
      <c r="PUK161" s="679"/>
      <c r="PUL161" s="679"/>
      <c r="PUM161" s="679"/>
      <c r="PUN161" s="679"/>
      <c r="PUO161" s="679"/>
      <c r="PUP161" s="679"/>
      <c r="PUQ161" s="679"/>
      <c r="PUR161" s="679"/>
      <c r="PUS161" s="679"/>
      <c r="PUT161" s="679"/>
      <c r="PUU161" s="679"/>
      <c r="PUV161" s="679"/>
      <c r="PUW161" s="679"/>
      <c r="PUX161" s="679"/>
      <c r="PUY161" s="679"/>
      <c r="PUZ161" s="679"/>
      <c r="PVA161" s="679"/>
      <c r="PVB161" s="679"/>
      <c r="PVC161" s="679"/>
      <c r="PVD161" s="679"/>
      <c r="PVE161" s="679"/>
      <c r="PVF161" s="679"/>
      <c r="PVG161" s="679"/>
      <c r="PVH161" s="679"/>
      <c r="PVI161" s="679"/>
      <c r="PVJ161" s="679"/>
      <c r="PVK161" s="679"/>
      <c r="PVL161" s="679"/>
      <c r="PVM161" s="679"/>
      <c r="PVN161" s="679"/>
      <c r="PVO161" s="679"/>
      <c r="PVP161" s="679"/>
      <c r="PVQ161" s="679"/>
      <c r="PVR161" s="679"/>
      <c r="PVS161" s="679"/>
      <c r="PVT161" s="679"/>
      <c r="PVU161" s="679"/>
      <c r="PVV161" s="679"/>
      <c r="PVW161" s="679"/>
      <c r="PVX161" s="679"/>
      <c r="PVY161" s="679"/>
      <c r="PVZ161" s="679"/>
      <c r="PWA161" s="679"/>
      <c r="PWB161" s="679"/>
      <c r="PWC161" s="679"/>
      <c r="PWD161" s="679"/>
      <c r="PWE161" s="679"/>
      <c r="PWF161" s="679"/>
      <c r="PWG161" s="679"/>
      <c r="PWH161" s="679"/>
      <c r="PWI161" s="679"/>
      <c r="PWJ161" s="679"/>
      <c r="PWK161" s="679"/>
      <c r="PWL161" s="679"/>
      <c r="PWM161" s="679"/>
      <c r="PWN161" s="679"/>
      <c r="PWO161" s="679"/>
      <c r="PWP161" s="679"/>
      <c r="PWQ161" s="679"/>
      <c r="PWR161" s="679"/>
      <c r="PWS161" s="679"/>
      <c r="PWT161" s="679"/>
      <c r="PWU161" s="679"/>
      <c r="PWV161" s="679"/>
      <c r="PWW161" s="679"/>
      <c r="PWX161" s="679"/>
      <c r="PWY161" s="679"/>
      <c r="PWZ161" s="679"/>
      <c r="PXA161" s="679"/>
      <c r="PXB161" s="679"/>
      <c r="PXC161" s="679"/>
      <c r="PXD161" s="679"/>
      <c r="PXE161" s="679"/>
      <c r="PXF161" s="679"/>
      <c r="PXG161" s="679"/>
      <c r="PXH161" s="679"/>
      <c r="PXI161" s="679"/>
      <c r="PXJ161" s="679"/>
      <c r="PXK161" s="679"/>
      <c r="PXL161" s="679"/>
      <c r="PXM161" s="679"/>
      <c r="PXN161" s="679"/>
      <c r="PXO161" s="679"/>
      <c r="PXP161" s="679"/>
      <c r="PXQ161" s="679"/>
      <c r="PXR161" s="679"/>
      <c r="PXS161" s="679"/>
      <c r="PXT161" s="679"/>
      <c r="PXU161" s="679"/>
      <c r="PXV161" s="679"/>
      <c r="PXW161" s="679"/>
      <c r="PXX161" s="679"/>
      <c r="PXY161" s="679"/>
      <c r="PXZ161" s="679"/>
      <c r="PYA161" s="679"/>
      <c r="PYB161" s="679"/>
      <c r="PYC161" s="679"/>
      <c r="PYD161" s="679"/>
      <c r="PYE161" s="679"/>
      <c r="PYF161" s="679"/>
      <c r="PYG161" s="679"/>
      <c r="PYH161" s="679"/>
      <c r="PYI161" s="679"/>
      <c r="PYJ161" s="679"/>
      <c r="PYK161" s="679"/>
      <c r="PYL161" s="679"/>
      <c r="PYM161" s="679"/>
      <c r="PYN161" s="679"/>
      <c r="PYO161" s="679"/>
      <c r="PYP161" s="679"/>
      <c r="PYQ161" s="679"/>
      <c r="PYR161" s="679"/>
      <c r="PYS161" s="679"/>
      <c r="PYT161" s="679"/>
      <c r="PYU161" s="679"/>
      <c r="PYV161" s="679"/>
      <c r="PYW161" s="679"/>
      <c r="PYX161" s="679"/>
      <c r="PYY161" s="679"/>
      <c r="PYZ161" s="679"/>
      <c r="PZA161" s="679"/>
      <c r="PZB161" s="679"/>
      <c r="PZC161" s="679"/>
      <c r="PZD161" s="679"/>
      <c r="PZE161" s="679"/>
      <c r="PZF161" s="679"/>
      <c r="PZG161" s="679"/>
      <c r="PZH161" s="679"/>
      <c r="PZI161" s="679"/>
      <c r="PZJ161" s="679"/>
      <c r="PZK161" s="679"/>
      <c r="PZL161" s="679"/>
      <c r="PZM161" s="679"/>
      <c r="PZN161" s="679"/>
      <c r="PZO161" s="679"/>
      <c r="PZP161" s="679"/>
      <c r="PZQ161" s="679"/>
      <c r="PZR161" s="679"/>
      <c r="PZS161" s="679"/>
      <c r="PZT161" s="679"/>
      <c r="PZU161" s="679"/>
      <c r="PZV161" s="679"/>
      <c r="PZW161" s="679"/>
      <c r="PZX161" s="679"/>
      <c r="PZY161" s="679"/>
      <c r="PZZ161" s="679"/>
      <c r="QAA161" s="679"/>
      <c r="QAB161" s="679"/>
      <c r="QAC161" s="679"/>
      <c r="QAD161" s="679"/>
      <c r="QAE161" s="679"/>
      <c r="QAF161" s="679"/>
      <c r="QAG161" s="679"/>
      <c r="QAH161" s="679"/>
      <c r="QAI161" s="679"/>
      <c r="QAJ161" s="679"/>
      <c r="QAK161" s="679"/>
      <c r="QAL161" s="679"/>
      <c r="QAM161" s="679"/>
      <c r="QAN161" s="679"/>
      <c r="QAO161" s="679"/>
      <c r="QAP161" s="679"/>
      <c r="QAQ161" s="679"/>
      <c r="QAR161" s="679"/>
      <c r="QAS161" s="679"/>
      <c r="QAT161" s="679"/>
      <c r="QAU161" s="679"/>
      <c r="QAV161" s="679"/>
      <c r="QAW161" s="679"/>
      <c r="QAX161" s="679"/>
      <c r="QAY161" s="679"/>
      <c r="QAZ161" s="679"/>
      <c r="QBA161" s="679"/>
      <c r="QBB161" s="679"/>
      <c r="QBC161" s="679"/>
      <c r="QBD161" s="679"/>
      <c r="QBE161" s="679"/>
      <c r="QBF161" s="679"/>
      <c r="QBG161" s="679"/>
      <c r="QBH161" s="679"/>
      <c r="QBI161" s="679"/>
      <c r="QBJ161" s="679"/>
      <c r="QBK161" s="679"/>
      <c r="QBL161" s="679"/>
      <c r="QBM161" s="679"/>
      <c r="QBN161" s="679"/>
      <c r="QBO161" s="679"/>
      <c r="QBP161" s="679"/>
      <c r="QBQ161" s="679"/>
      <c r="QBR161" s="679"/>
      <c r="QBS161" s="679"/>
      <c r="QBT161" s="679"/>
      <c r="QBU161" s="679"/>
      <c r="QBV161" s="679"/>
      <c r="QBW161" s="679"/>
      <c r="QBX161" s="679"/>
      <c r="QBY161" s="679"/>
      <c r="QBZ161" s="679"/>
      <c r="QCA161" s="679"/>
      <c r="QCB161" s="679"/>
      <c r="QCC161" s="679"/>
      <c r="QCD161" s="679"/>
      <c r="QCE161" s="679"/>
      <c r="QCF161" s="679"/>
      <c r="QCG161" s="679"/>
      <c r="QCH161" s="679"/>
      <c r="QCI161" s="679"/>
      <c r="QCJ161" s="679"/>
      <c r="QCK161" s="679"/>
      <c r="QCL161" s="679"/>
      <c r="QCM161" s="679"/>
      <c r="QCN161" s="679"/>
      <c r="QCO161" s="679"/>
      <c r="QCP161" s="679"/>
      <c r="QCQ161" s="679"/>
      <c r="QCR161" s="679"/>
      <c r="QCS161" s="679"/>
      <c r="QCT161" s="679"/>
      <c r="QCU161" s="679"/>
      <c r="QCV161" s="679"/>
      <c r="QCW161" s="679"/>
      <c r="QCX161" s="679"/>
      <c r="QCY161" s="679"/>
      <c r="QCZ161" s="679"/>
      <c r="QDA161" s="679"/>
      <c r="QDB161" s="679"/>
      <c r="QDC161" s="679"/>
      <c r="QDD161" s="679"/>
      <c r="QDE161" s="679"/>
      <c r="QDF161" s="679"/>
      <c r="QDG161" s="679"/>
      <c r="QDH161" s="679"/>
      <c r="QDI161" s="679"/>
      <c r="QDJ161" s="679"/>
      <c r="QDK161" s="679"/>
      <c r="QDL161" s="679"/>
      <c r="QDM161" s="679"/>
      <c r="QDN161" s="679"/>
      <c r="QDO161" s="679"/>
      <c r="QDP161" s="679"/>
      <c r="QDQ161" s="679"/>
      <c r="QDR161" s="679"/>
      <c r="QDS161" s="679"/>
      <c r="QDT161" s="679"/>
      <c r="QDU161" s="679"/>
      <c r="QDV161" s="679"/>
      <c r="QDW161" s="679"/>
      <c r="QDX161" s="679"/>
      <c r="QDY161" s="679"/>
      <c r="QDZ161" s="679"/>
      <c r="QEA161" s="679"/>
      <c r="QEB161" s="679"/>
      <c r="QEC161" s="679"/>
      <c r="QED161" s="679"/>
      <c r="QEE161" s="679"/>
      <c r="QEF161" s="679"/>
      <c r="QEG161" s="679"/>
      <c r="QEH161" s="679"/>
      <c r="QEI161" s="679"/>
      <c r="QEJ161" s="679"/>
      <c r="QEK161" s="679"/>
      <c r="QEL161" s="679"/>
      <c r="QEM161" s="679"/>
      <c r="QEN161" s="679"/>
      <c r="QEO161" s="679"/>
      <c r="QEP161" s="679"/>
      <c r="QEQ161" s="679"/>
      <c r="QER161" s="679"/>
      <c r="QES161" s="679"/>
      <c r="QET161" s="679"/>
      <c r="QEU161" s="679"/>
      <c r="QEV161" s="679"/>
      <c r="QEW161" s="679"/>
      <c r="QEX161" s="679"/>
      <c r="QEY161" s="679"/>
      <c r="QEZ161" s="679"/>
      <c r="QFA161" s="679"/>
      <c r="QFB161" s="679"/>
      <c r="QFC161" s="679"/>
      <c r="QFD161" s="679"/>
      <c r="QFE161" s="679"/>
      <c r="QFF161" s="679"/>
      <c r="QFG161" s="679"/>
      <c r="QFH161" s="679"/>
      <c r="QFI161" s="679"/>
      <c r="QFJ161" s="679"/>
      <c r="QFK161" s="679"/>
      <c r="QFL161" s="679"/>
      <c r="QFM161" s="679"/>
      <c r="QFN161" s="679"/>
      <c r="QFO161" s="679"/>
      <c r="QFP161" s="679"/>
      <c r="QFQ161" s="679"/>
      <c r="QFR161" s="679"/>
      <c r="QFS161" s="679"/>
      <c r="QFT161" s="679"/>
      <c r="QFU161" s="679"/>
      <c r="QFV161" s="679"/>
      <c r="QFW161" s="679"/>
      <c r="QFX161" s="679"/>
      <c r="QFY161" s="679"/>
      <c r="QFZ161" s="679"/>
      <c r="QGA161" s="679"/>
      <c r="QGB161" s="679"/>
      <c r="QGC161" s="679"/>
      <c r="QGD161" s="679"/>
      <c r="QGE161" s="679"/>
      <c r="QGF161" s="679"/>
      <c r="QGG161" s="679"/>
      <c r="QGH161" s="679"/>
      <c r="QGI161" s="679"/>
      <c r="QGJ161" s="679"/>
      <c r="QGK161" s="679"/>
      <c r="QGL161" s="679"/>
      <c r="QGM161" s="679"/>
      <c r="QGN161" s="679"/>
      <c r="QGO161" s="679"/>
      <c r="QGP161" s="679"/>
      <c r="QGQ161" s="679"/>
      <c r="QGR161" s="679"/>
      <c r="QGS161" s="679"/>
      <c r="QGT161" s="679"/>
      <c r="QGU161" s="679"/>
      <c r="QGV161" s="679"/>
      <c r="QGW161" s="679"/>
      <c r="QGX161" s="679"/>
      <c r="QGY161" s="679"/>
      <c r="QGZ161" s="679"/>
      <c r="QHA161" s="679"/>
      <c r="QHB161" s="679"/>
      <c r="QHC161" s="679"/>
      <c r="QHD161" s="679"/>
      <c r="QHE161" s="679"/>
      <c r="QHF161" s="679"/>
      <c r="QHG161" s="679"/>
      <c r="QHH161" s="679"/>
      <c r="QHI161" s="679"/>
      <c r="QHJ161" s="679"/>
      <c r="QHK161" s="679"/>
      <c r="QHL161" s="679"/>
      <c r="QHM161" s="679"/>
      <c r="QHN161" s="679"/>
      <c r="QHO161" s="679"/>
      <c r="QHP161" s="679"/>
      <c r="QHQ161" s="679"/>
      <c r="QHR161" s="679"/>
      <c r="QHS161" s="679"/>
      <c r="QHT161" s="679"/>
      <c r="QHU161" s="679"/>
      <c r="QHV161" s="679"/>
      <c r="QHW161" s="679"/>
      <c r="QHX161" s="679"/>
      <c r="QHY161" s="679"/>
      <c r="QHZ161" s="679"/>
      <c r="QIA161" s="679"/>
      <c r="QIB161" s="679"/>
      <c r="QIC161" s="679"/>
      <c r="QID161" s="679"/>
      <c r="QIE161" s="679"/>
      <c r="QIF161" s="679"/>
      <c r="QIG161" s="679"/>
      <c r="QIH161" s="679"/>
      <c r="QII161" s="679"/>
      <c r="QIJ161" s="679"/>
      <c r="QIK161" s="679"/>
      <c r="QIL161" s="679"/>
      <c r="QIM161" s="679"/>
      <c r="QIN161" s="679"/>
      <c r="QIO161" s="679"/>
      <c r="QIP161" s="679"/>
      <c r="QIQ161" s="679"/>
      <c r="QIR161" s="679"/>
      <c r="QIS161" s="679"/>
      <c r="QIT161" s="679"/>
      <c r="QIU161" s="679"/>
      <c r="QIV161" s="679"/>
      <c r="QIW161" s="679"/>
      <c r="QIX161" s="679"/>
      <c r="QIY161" s="679"/>
      <c r="QIZ161" s="679"/>
      <c r="QJA161" s="679"/>
      <c r="QJB161" s="679"/>
      <c r="QJC161" s="679"/>
      <c r="QJD161" s="679"/>
      <c r="QJE161" s="679"/>
      <c r="QJF161" s="679"/>
      <c r="QJG161" s="679"/>
      <c r="QJH161" s="679"/>
      <c r="QJI161" s="679"/>
      <c r="QJJ161" s="679"/>
      <c r="QJK161" s="679"/>
      <c r="QJL161" s="679"/>
      <c r="QJM161" s="679"/>
      <c r="QJN161" s="679"/>
      <c r="QJO161" s="679"/>
      <c r="QJP161" s="679"/>
      <c r="QJQ161" s="679"/>
      <c r="QJR161" s="679"/>
      <c r="QJS161" s="679"/>
      <c r="QJT161" s="679"/>
      <c r="QJU161" s="679"/>
      <c r="QJV161" s="679"/>
      <c r="QJW161" s="679"/>
      <c r="QJX161" s="679"/>
      <c r="QJY161" s="679"/>
      <c r="QJZ161" s="679"/>
      <c r="QKA161" s="679"/>
      <c r="QKB161" s="679"/>
      <c r="QKC161" s="679"/>
      <c r="QKD161" s="679"/>
      <c r="QKE161" s="679"/>
      <c r="QKF161" s="679"/>
      <c r="QKG161" s="679"/>
      <c r="QKH161" s="679"/>
      <c r="QKI161" s="679"/>
      <c r="QKJ161" s="679"/>
      <c r="QKK161" s="679"/>
      <c r="QKL161" s="679"/>
      <c r="QKM161" s="679"/>
      <c r="QKN161" s="679"/>
      <c r="QKO161" s="679"/>
      <c r="QKP161" s="679"/>
      <c r="QKQ161" s="679"/>
      <c r="QKR161" s="679"/>
      <c r="QKS161" s="679"/>
      <c r="QKT161" s="679"/>
      <c r="QKU161" s="679"/>
      <c r="QKV161" s="679"/>
      <c r="QKW161" s="679"/>
      <c r="QKX161" s="679"/>
      <c r="QKY161" s="679"/>
      <c r="QKZ161" s="679"/>
      <c r="QLA161" s="679"/>
      <c r="QLB161" s="679"/>
      <c r="QLC161" s="679"/>
      <c r="QLD161" s="679"/>
      <c r="QLE161" s="679"/>
      <c r="QLF161" s="679"/>
      <c r="QLG161" s="679"/>
      <c r="QLH161" s="679"/>
      <c r="QLI161" s="679"/>
      <c r="QLJ161" s="679"/>
      <c r="QLK161" s="679"/>
      <c r="QLL161" s="679"/>
      <c r="QLM161" s="679"/>
      <c r="QLN161" s="679"/>
      <c r="QLO161" s="679"/>
      <c r="QLP161" s="679"/>
      <c r="QLQ161" s="679"/>
      <c r="QLR161" s="679"/>
      <c r="QLS161" s="679"/>
      <c r="QLT161" s="679"/>
      <c r="QLU161" s="679"/>
      <c r="QLV161" s="679"/>
      <c r="QLW161" s="679"/>
      <c r="QLX161" s="679"/>
      <c r="QLY161" s="679"/>
      <c r="QLZ161" s="679"/>
      <c r="QMA161" s="679"/>
      <c r="QMB161" s="679"/>
      <c r="QMC161" s="679"/>
      <c r="QMD161" s="679"/>
      <c r="QME161" s="679"/>
      <c r="QMF161" s="679"/>
      <c r="QMG161" s="679"/>
      <c r="QMH161" s="679"/>
      <c r="QMI161" s="679"/>
      <c r="QMJ161" s="679"/>
      <c r="QMK161" s="679"/>
      <c r="QML161" s="679"/>
      <c r="QMM161" s="679"/>
      <c r="QMN161" s="679"/>
      <c r="QMO161" s="679"/>
      <c r="QMP161" s="679"/>
      <c r="QMQ161" s="679"/>
      <c r="QMR161" s="679"/>
      <c r="QMS161" s="679"/>
      <c r="QMT161" s="679"/>
      <c r="QMU161" s="679"/>
      <c r="QMV161" s="679"/>
      <c r="QMW161" s="679"/>
      <c r="QMX161" s="679"/>
      <c r="QMY161" s="679"/>
      <c r="QMZ161" s="679"/>
      <c r="QNA161" s="679"/>
      <c r="QNB161" s="679"/>
      <c r="QNC161" s="679"/>
      <c r="QND161" s="679"/>
      <c r="QNE161" s="679"/>
      <c r="QNF161" s="679"/>
      <c r="QNG161" s="679"/>
      <c r="QNH161" s="679"/>
      <c r="QNI161" s="679"/>
      <c r="QNJ161" s="679"/>
      <c r="QNK161" s="679"/>
      <c r="QNL161" s="679"/>
      <c r="QNM161" s="679"/>
      <c r="QNN161" s="679"/>
      <c r="QNO161" s="679"/>
      <c r="QNP161" s="679"/>
      <c r="QNQ161" s="679"/>
      <c r="QNR161" s="679"/>
      <c r="QNS161" s="679"/>
      <c r="QNT161" s="679"/>
      <c r="QNU161" s="679"/>
      <c r="QNV161" s="679"/>
      <c r="QNW161" s="679"/>
      <c r="QNX161" s="679"/>
      <c r="QNY161" s="679"/>
      <c r="QNZ161" s="679"/>
      <c r="QOA161" s="679"/>
      <c r="QOB161" s="679"/>
      <c r="QOC161" s="679"/>
      <c r="QOD161" s="679"/>
      <c r="QOE161" s="679"/>
      <c r="QOF161" s="679"/>
      <c r="QOG161" s="679"/>
      <c r="QOH161" s="679"/>
      <c r="QOI161" s="679"/>
      <c r="QOJ161" s="679"/>
      <c r="QOK161" s="679"/>
      <c r="QOL161" s="679"/>
      <c r="QOM161" s="679"/>
      <c r="QON161" s="679"/>
      <c r="QOO161" s="679"/>
      <c r="QOP161" s="679"/>
      <c r="QOQ161" s="679"/>
      <c r="QOR161" s="679"/>
      <c r="QOS161" s="679"/>
      <c r="QOT161" s="679"/>
      <c r="QOU161" s="679"/>
      <c r="QOV161" s="679"/>
      <c r="QOW161" s="679"/>
      <c r="QOX161" s="679"/>
      <c r="QOY161" s="679"/>
      <c r="QOZ161" s="679"/>
      <c r="QPA161" s="679"/>
      <c r="QPB161" s="679"/>
      <c r="QPC161" s="679"/>
      <c r="QPD161" s="679"/>
      <c r="QPE161" s="679"/>
      <c r="QPF161" s="679"/>
      <c r="QPG161" s="679"/>
      <c r="QPH161" s="679"/>
      <c r="QPI161" s="679"/>
      <c r="QPJ161" s="679"/>
      <c r="QPK161" s="679"/>
      <c r="QPL161" s="679"/>
      <c r="QPM161" s="679"/>
      <c r="QPN161" s="679"/>
      <c r="QPO161" s="679"/>
      <c r="QPP161" s="679"/>
      <c r="QPQ161" s="679"/>
      <c r="QPR161" s="679"/>
      <c r="QPS161" s="679"/>
      <c r="QPT161" s="679"/>
      <c r="QPU161" s="679"/>
      <c r="QPV161" s="679"/>
      <c r="QPW161" s="679"/>
      <c r="QPX161" s="679"/>
      <c r="QPY161" s="679"/>
      <c r="QPZ161" s="679"/>
      <c r="QQA161" s="679"/>
      <c r="QQB161" s="679"/>
      <c r="QQC161" s="679"/>
      <c r="QQD161" s="679"/>
      <c r="QQE161" s="679"/>
      <c r="QQF161" s="679"/>
      <c r="QQG161" s="679"/>
      <c r="QQH161" s="679"/>
      <c r="QQI161" s="679"/>
      <c r="QQJ161" s="679"/>
      <c r="QQK161" s="679"/>
      <c r="QQL161" s="679"/>
      <c r="QQM161" s="679"/>
      <c r="QQN161" s="679"/>
      <c r="QQO161" s="679"/>
      <c r="QQP161" s="679"/>
      <c r="QQQ161" s="679"/>
      <c r="QQR161" s="679"/>
      <c r="QQS161" s="679"/>
      <c r="QQT161" s="679"/>
      <c r="QQU161" s="679"/>
      <c r="QQV161" s="679"/>
      <c r="QQW161" s="679"/>
      <c r="QQX161" s="679"/>
      <c r="QQY161" s="679"/>
      <c r="QQZ161" s="679"/>
      <c r="QRA161" s="679"/>
      <c r="QRB161" s="679"/>
      <c r="QRC161" s="679"/>
      <c r="QRD161" s="679"/>
      <c r="QRE161" s="679"/>
      <c r="QRF161" s="679"/>
      <c r="QRG161" s="679"/>
      <c r="QRH161" s="679"/>
      <c r="QRI161" s="679"/>
      <c r="QRJ161" s="679"/>
      <c r="QRK161" s="679"/>
      <c r="QRL161" s="679"/>
      <c r="QRM161" s="679"/>
      <c r="QRN161" s="679"/>
      <c r="QRO161" s="679"/>
      <c r="QRP161" s="679"/>
      <c r="QRQ161" s="679"/>
      <c r="QRR161" s="679"/>
      <c r="QRS161" s="679"/>
      <c r="QRT161" s="679"/>
      <c r="QRU161" s="679"/>
      <c r="QRV161" s="679"/>
      <c r="QRW161" s="679"/>
      <c r="QRX161" s="679"/>
      <c r="QRY161" s="679"/>
      <c r="QRZ161" s="679"/>
      <c r="QSA161" s="679"/>
      <c r="QSB161" s="679"/>
      <c r="QSC161" s="679"/>
      <c r="QSD161" s="679"/>
      <c r="QSE161" s="679"/>
      <c r="QSF161" s="679"/>
      <c r="QSG161" s="679"/>
      <c r="QSH161" s="679"/>
      <c r="QSI161" s="679"/>
      <c r="QSJ161" s="679"/>
      <c r="QSK161" s="679"/>
      <c r="QSL161" s="679"/>
      <c r="QSM161" s="679"/>
      <c r="QSN161" s="679"/>
      <c r="QSO161" s="679"/>
      <c r="QSP161" s="679"/>
      <c r="QSQ161" s="679"/>
      <c r="QSR161" s="679"/>
      <c r="QSS161" s="679"/>
      <c r="QST161" s="679"/>
      <c r="QSU161" s="679"/>
      <c r="QSV161" s="679"/>
      <c r="QSW161" s="679"/>
      <c r="QSX161" s="679"/>
      <c r="QSY161" s="679"/>
      <c r="QSZ161" s="679"/>
      <c r="QTA161" s="679"/>
      <c r="QTB161" s="679"/>
      <c r="QTC161" s="679"/>
      <c r="QTD161" s="679"/>
      <c r="QTE161" s="679"/>
      <c r="QTF161" s="679"/>
      <c r="QTG161" s="679"/>
      <c r="QTH161" s="679"/>
      <c r="QTI161" s="679"/>
      <c r="QTJ161" s="679"/>
      <c r="QTK161" s="679"/>
      <c r="QTL161" s="679"/>
      <c r="QTM161" s="679"/>
      <c r="QTN161" s="679"/>
      <c r="QTO161" s="679"/>
      <c r="QTP161" s="679"/>
      <c r="QTQ161" s="679"/>
      <c r="QTR161" s="679"/>
      <c r="QTS161" s="679"/>
      <c r="QTT161" s="679"/>
      <c r="QTU161" s="679"/>
      <c r="QTV161" s="679"/>
      <c r="QTW161" s="679"/>
      <c r="QTX161" s="679"/>
      <c r="QTY161" s="679"/>
      <c r="QTZ161" s="679"/>
      <c r="QUA161" s="679"/>
      <c r="QUB161" s="679"/>
      <c r="QUC161" s="679"/>
      <c r="QUD161" s="679"/>
      <c r="QUE161" s="679"/>
      <c r="QUF161" s="679"/>
      <c r="QUG161" s="679"/>
      <c r="QUH161" s="679"/>
      <c r="QUI161" s="679"/>
      <c r="QUJ161" s="679"/>
      <c r="QUK161" s="679"/>
      <c r="QUL161" s="679"/>
      <c r="QUM161" s="679"/>
      <c r="QUN161" s="679"/>
      <c r="QUO161" s="679"/>
      <c r="QUP161" s="679"/>
      <c r="QUQ161" s="679"/>
      <c r="QUR161" s="679"/>
      <c r="QUS161" s="679"/>
      <c r="QUT161" s="679"/>
      <c r="QUU161" s="679"/>
      <c r="QUV161" s="679"/>
      <c r="QUW161" s="679"/>
      <c r="QUX161" s="679"/>
      <c r="QUY161" s="679"/>
      <c r="QUZ161" s="679"/>
      <c r="QVA161" s="679"/>
      <c r="QVB161" s="679"/>
      <c r="QVC161" s="679"/>
      <c r="QVD161" s="679"/>
      <c r="QVE161" s="679"/>
      <c r="QVF161" s="679"/>
      <c r="QVG161" s="679"/>
      <c r="QVH161" s="679"/>
      <c r="QVI161" s="679"/>
      <c r="QVJ161" s="679"/>
      <c r="QVK161" s="679"/>
      <c r="QVL161" s="679"/>
      <c r="QVM161" s="679"/>
      <c r="QVN161" s="679"/>
      <c r="QVO161" s="679"/>
      <c r="QVP161" s="679"/>
      <c r="QVQ161" s="679"/>
      <c r="QVR161" s="679"/>
      <c r="QVS161" s="679"/>
      <c r="QVT161" s="679"/>
      <c r="QVU161" s="679"/>
      <c r="QVV161" s="679"/>
      <c r="QVW161" s="679"/>
      <c r="QVX161" s="679"/>
      <c r="QVY161" s="679"/>
      <c r="QVZ161" s="679"/>
      <c r="QWA161" s="679"/>
      <c r="QWB161" s="679"/>
      <c r="QWC161" s="679"/>
      <c r="QWD161" s="679"/>
      <c r="QWE161" s="679"/>
      <c r="QWF161" s="679"/>
      <c r="QWG161" s="679"/>
      <c r="QWH161" s="679"/>
      <c r="QWI161" s="679"/>
      <c r="QWJ161" s="679"/>
      <c r="QWK161" s="679"/>
      <c r="QWL161" s="679"/>
      <c r="QWM161" s="679"/>
      <c r="QWN161" s="679"/>
      <c r="QWO161" s="679"/>
      <c r="QWP161" s="679"/>
      <c r="QWQ161" s="679"/>
      <c r="QWR161" s="679"/>
      <c r="QWS161" s="679"/>
      <c r="QWT161" s="679"/>
      <c r="QWU161" s="679"/>
      <c r="QWV161" s="679"/>
      <c r="QWW161" s="679"/>
      <c r="QWX161" s="679"/>
      <c r="QWY161" s="679"/>
      <c r="QWZ161" s="679"/>
      <c r="QXA161" s="679"/>
      <c r="QXB161" s="679"/>
      <c r="QXC161" s="679"/>
      <c r="QXD161" s="679"/>
      <c r="QXE161" s="679"/>
      <c r="QXF161" s="679"/>
      <c r="QXG161" s="679"/>
      <c r="QXH161" s="679"/>
      <c r="QXI161" s="679"/>
      <c r="QXJ161" s="679"/>
      <c r="QXK161" s="679"/>
      <c r="QXL161" s="679"/>
      <c r="QXM161" s="679"/>
      <c r="QXN161" s="679"/>
      <c r="QXO161" s="679"/>
      <c r="QXP161" s="679"/>
      <c r="QXQ161" s="679"/>
      <c r="QXR161" s="679"/>
      <c r="QXS161" s="679"/>
      <c r="QXT161" s="679"/>
      <c r="QXU161" s="679"/>
      <c r="QXV161" s="679"/>
      <c r="QXW161" s="679"/>
      <c r="QXX161" s="679"/>
      <c r="QXY161" s="679"/>
      <c r="QXZ161" s="679"/>
      <c r="QYA161" s="679"/>
      <c r="QYB161" s="679"/>
      <c r="QYC161" s="679"/>
      <c r="QYD161" s="679"/>
      <c r="QYE161" s="679"/>
      <c r="QYF161" s="679"/>
      <c r="QYG161" s="679"/>
      <c r="QYH161" s="679"/>
      <c r="QYI161" s="679"/>
      <c r="QYJ161" s="679"/>
      <c r="QYK161" s="679"/>
      <c r="QYL161" s="679"/>
      <c r="QYM161" s="679"/>
      <c r="QYN161" s="679"/>
      <c r="QYO161" s="679"/>
      <c r="QYP161" s="679"/>
      <c r="QYQ161" s="679"/>
      <c r="QYR161" s="679"/>
      <c r="QYS161" s="679"/>
      <c r="QYT161" s="679"/>
      <c r="QYU161" s="679"/>
      <c r="QYV161" s="679"/>
      <c r="QYW161" s="679"/>
      <c r="QYX161" s="679"/>
      <c r="QYY161" s="679"/>
      <c r="QYZ161" s="679"/>
      <c r="QZA161" s="679"/>
      <c r="QZB161" s="679"/>
      <c r="QZC161" s="679"/>
      <c r="QZD161" s="679"/>
      <c r="QZE161" s="679"/>
      <c r="QZF161" s="679"/>
      <c r="QZG161" s="679"/>
      <c r="QZH161" s="679"/>
      <c r="QZI161" s="679"/>
      <c r="QZJ161" s="679"/>
      <c r="QZK161" s="679"/>
      <c r="QZL161" s="679"/>
      <c r="QZM161" s="679"/>
      <c r="QZN161" s="679"/>
      <c r="QZO161" s="679"/>
      <c r="QZP161" s="679"/>
      <c r="QZQ161" s="679"/>
      <c r="QZR161" s="679"/>
      <c r="QZS161" s="679"/>
      <c r="QZT161" s="679"/>
      <c r="QZU161" s="679"/>
      <c r="QZV161" s="679"/>
      <c r="QZW161" s="679"/>
      <c r="QZX161" s="679"/>
      <c r="QZY161" s="679"/>
      <c r="QZZ161" s="679"/>
      <c r="RAA161" s="679"/>
      <c r="RAB161" s="679"/>
      <c r="RAC161" s="679"/>
      <c r="RAD161" s="679"/>
      <c r="RAE161" s="679"/>
      <c r="RAF161" s="679"/>
      <c r="RAG161" s="679"/>
      <c r="RAH161" s="679"/>
      <c r="RAI161" s="679"/>
      <c r="RAJ161" s="679"/>
      <c r="RAK161" s="679"/>
      <c r="RAL161" s="679"/>
      <c r="RAM161" s="679"/>
      <c r="RAN161" s="679"/>
      <c r="RAO161" s="679"/>
      <c r="RAP161" s="679"/>
      <c r="RAQ161" s="679"/>
      <c r="RAR161" s="679"/>
      <c r="RAS161" s="679"/>
      <c r="RAT161" s="679"/>
      <c r="RAU161" s="679"/>
      <c r="RAV161" s="679"/>
      <c r="RAW161" s="679"/>
      <c r="RAX161" s="679"/>
      <c r="RAY161" s="679"/>
      <c r="RAZ161" s="679"/>
      <c r="RBA161" s="679"/>
      <c r="RBB161" s="679"/>
      <c r="RBC161" s="679"/>
      <c r="RBD161" s="679"/>
      <c r="RBE161" s="679"/>
      <c r="RBF161" s="679"/>
      <c r="RBG161" s="679"/>
      <c r="RBH161" s="679"/>
      <c r="RBI161" s="679"/>
      <c r="RBJ161" s="679"/>
      <c r="RBK161" s="679"/>
      <c r="RBL161" s="679"/>
      <c r="RBM161" s="679"/>
      <c r="RBN161" s="679"/>
      <c r="RBO161" s="679"/>
      <c r="RBP161" s="679"/>
      <c r="RBQ161" s="679"/>
      <c r="RBR161" s="679"/>
      <c r="RBS161" s="679"/>
      <c r="RBT161" s="679"/>
      <c r="RBU161" s="679"/>
      <c r="RBV161" s="679"/>
      <c r="RBW161" s="679"/>
      <c r="RBX161" s="679"/>
      <c r="RBY161" s="679"/>
      <c r="RBZ161" s="679"/>
      <c r="RCA161" s="679"/>
      <c r="RCB161" s="679"/>
      <c r="RCC161" s="679"/>
      <c r="RCD161" s="679"/>
      <c r="RCE161" s="679"/>
      <c r="RCF161" s="679"/>
      <c r="RCG161" s="679"/>
      <c r="RCH161" s="679"/>
      <c r="RCI161" s="679"/>
      <c r="RCJ161" s="679"/>
      <c r="RCK161" s="679"/>
      <c r="RCL161" s="679"/>
      <c r="RCM161" s="679"/>
      <c r="RCN161" s="679"/>
      <c r="RCO161" s="679"/>
      <c r="RCP161" s="679"/>
      <c r="RCQ161" s="679"/>
      <c r="RCR161" s="679"/>
      <c r="RCS161" s="679"/>
      <c r="RCT161" s="679"/>
      <c r="RCU161" s="679"/>
      <c r="RCV161" s="679"/>
      <c r="RCW161" s="679"/>
      <c r="RCX161" s="679"/>
      <c r="RCY161" s="679"/>
      <c r="RCZ161" s="679"/>
      <c r="RDA161" s="679"/>
      <c r="RDB161" s="679"/>
      <c r="RDC161" s="679"/>
      <c r="RDD161" s="679"/>
      <c r="RDE161" s="679"/>
      <c r="RDF161" s="679"/>
      <c r="RDG161" s="679"/>
      <c r="RDH161" s="679"/>
      <c r="RDI161" s="679"/>
      <c r="RDJ161" s="679"/>
      <c r="RDK161" s="679"/>
      <c r="RDL161" s="679"/>
      <c r="RDM161" s="679"/>
      <c r="RDN161" s="679"/>
      <c r="RDO161" s="679"/>
      <c r="RDP161" s="679"/>
      <c r="RDQ161" s="679"/>
      <c r="RDR161" s="679"/>
      <c r="RDS161" s="679"/>
      <c r="RDT161" s="679"/>
      <c r="RDU161" s="679"/>
      <c r="RDV161" s="679"/>
      <c r="RDW161" s="679"/>
      <c r="RDX161" s="679"/>
      <c r="RDY161" s="679"/>
      <c r="RDZ161" s="679"/>
      <c r="REA161" s="679"/>
      <c r="REB161" s="679"/>
      <c r="REC161" s="679"/>
      <c r="RED161" s="679"/>
      <c r="REE161" s="679"/>
      <c r="REF161" s="679"/>
      <c r="REG161" s="679"/>
      <c r="REH161" s="679"/>
      <c r="REI161" s="679"/>
      <c r="REJ161" s="679"/>
      <c r="REK161" s="679"/>
      <c r="REL161" s="679"/>
      <c r="REM161" s="679"/>
      <c r="REN161" s="679"/>
      <c r="REO161" s="679"/>
      <c r="REP161" s="679"/>
      <c r="REQ161" s="679"/>
      <c r="RER161" s="679"/>
      <c r="RES161" s="679"/>
      <c r="RET161" s="679"/>
      <c r="REU161" s="679"/>
      <c r="REV161" s="679"/>
      <c r="REW161" s="679"/>
      <c r="REX161" s="679"/>
      <c r="REY161" s="679"/>
      <c r="REZ161" s="679"/>
      <c r="RFA161" s="679"/>
      <c r="RFB161" s="679"/>
      <c r="RFC161" s="679"/>
      <c r="RFD161" s="679"/>
      <c r="RFE161" s="679"/>
      <c r="RFF161" s="679"/>
      <c r="RFG161" s="679"/>
      <c r="RFH161" s="679"/>
      <c r="RFI161" s="679"/>
      <c r="RFJ161" s="679"/>
      <c r="RFK161" s="679"/>
      <c r="RFL161" s="679"/>
      <c r="RFM161" s="679"/>
      <c r="RFN161" s="679"/>
      <c r="RFO161" s="679"/>
      <c r="RFP161" s="679"/>
      <c r="RFQ161" s="679"/>
      <c r="RFR161" s="679"/>
      <c r="RFS161" s="679"/>
      <c r="RFT161" s="679"/>
      <c r="RFU161" s="679"/>
      <c r="RFV161" s="679"/>
      <c r="RFW161" s="679"/>
      <c r="RFX161" s="679"/>
      <c r="RFY161" s="679"/>
      <c r="RFZ161" s="679"/>
      <c r="RGA161" s="679"/>
      <c r="RGB161" s="679"/>
      <c r="RGC161" s="679"/>
      <c r="RGD161" s="679"/>
      <c r="RGE161" s="679"/>
      <c r="RGF161" s="679"/>
      <c r="RGG161" s="679"/>
      <c r="RGH161" s="679"/>
      <c r="RGI161" s="679"/>
      <c r="RGJ161" s="679"/>
      <c r="RGK161" s="679"/>
      <c r="RGL161" s="679"/>
      <c r="RGM161" s="679"/>
      <c r="RGN161" s="679"/>
      <c r="RGO161" s="679"/>
      <c r="RGP161" s="679"/>
      <c r="RGQ161" s="679"/>
      <c r="RGR161" s="679"/>
      <c r="RGS161" s="679"/>
      <c r="RGT161" s="679"/>
      <c r="RGU161" s="679"/>
      <c r="RGV161" s="679"/>
      <c r="RGW161" s="679"/>
      <c r="RGX161" s="679"/>
      <c r="RGY161" s="679"/>
      <c r="RGZ161" s="679"/>
      <c r="RHA161" s="679"/>
      <c r="RHB161" s="679"/>
      <c r="RHC161" s="679"/>
      <c r="RHD161" s="679"/>
      <c r="RHE161" s="679"/>
      <c r="RHF161" s="679"/>
      <c r="RHG161" s="679"/>
      <c r="RHH161" s="679"/>
      <c r="RHI161" s="679"/>
      <c r="RHJ161" s="679"/>
      <c r="RHK161" s="679"/>
      <c r="RHL161" s="679"/>
      <c r="RHM161" s="679"/>
      <c r="RHN161" s="679"/>
      <c r="RHO161" s="679"/>
      <c r="RHP161" s="679"/>
      <c r="RHQ161" s="679"/>
      <c r="RHR161" s="679"/>
      <c r="RHS161" s="679"/>
      <c r="RHT161" s="679"/>
      <c r="RHU161" s="679"/>
      <c r="RHV161" s="679"/>
      <c r="RHW161" s="679"/>
      <c r="RHX161" s="679"/>
      <c r="RHY161" s="679"/>
      <c r="RHZ161" s="679"/>
      <c r="RIA161" s="679"/>
      <c r="RIB161" s="679"/>
      <c r="RIC161" s="679"/>
      <c r="RID161" s="679"/>
      <c r="RIE161" s="679"/>
      <c r="RIF161" s="679"/>
      <c r="RIG161" s="679"/>
      <c r="RIH161" s="679"/>
      <c r="RII161" s="679"/>
      <c r="RIJ161" s="679"/>
      <c r="RIK161" s="679"/>
      <c r="RIL161" s="679"/>
      <c r="RIM161" s="679"/>
      <c r="RIN161" s="679"/>
      <c r="RIO161" s="679"/>
      <c r="RIP161" s="679"/>
      <c r="RIQ161" s="679"/>
      <c r="RIR161" s="679"/>
      <c r="RIS161" s="679"/>
      <c r="RIT161" s="679"/>
      <c r="RIU161" s="679"/>
      <c r="RIV161" s="679"/>
      <c r="RIW161" s="679"/>
      <c r="RIX161" s="679"/>
      <c r="RIY161" s="679"/>
      <c r="RIZ161" s="679"/>
      <c r="RJA161" s="679"/>
      <c r="RJB161" s="679"/>
      <c r="RJC161" s="679"/>
      <c r="RJD161" s="679"/>
      <c r="RJE161" s="679"/>
      <c r="RJF161" s="679"/>
      <c r="RJG161" s="679"/>
      <c r="RJH161" s="679"/>
      <c r="RJI161" s="679"/>
      <c r="RJJ161" s="679"/>
      <c r="RJK161" s="679"/>
      <c r="RJL161" s="679"/>
      <c r="RJM161" s="679"/>
      <c r="RJN161" s="679"/>
      <c r="RJO161" s="679"/>
      <c r="RJP161" s="679"/>
      <c r="RJQ161" s="679"/>
      <c r="RJR161" s="679"/>
      <c r="RJS161" s="679"/>
      <c r="RJT161" s="679"/>
      <c r="RJU161" s="679"/>
      <c r="RJV161" s="679"/>
      <c r="RJW161" s="679"/>
      <c r="RJX161" s="679"/>
      <c r="RJY161" s="679"/>
      <c r="RJZ161" s="679"/>
      <c r="RKA161" s="679"/>
      <c r="RKB161" s="679"/>
      <c r="RKC161" s="679"/>
      <c r="RKD161" s="679"/>
      <c r="RKE161" s="679"/>
      <c r="RKF161" s="679"/>
      <c r="RKG161" s="679"/>
      <c r="RKH161" s="679"/>
      <c r="RKI161" s="679"/>
      <c r="RKJ161" s="679"/>
      <c r="RKK161" s="679"/>
      <c r="RKL161" s="679"/>
      <c r="RKM161" s="679"/>
      <c r="RKN161" s="679"/>
      <c r="RKO161" s="679"/>
      <c r="RKP161" s="679"/>
      <c r="RKQ161" s="679"/>
      <c r="RKR161" s="679"/>
      <c r="RKS161" s="679"/>
      <c r="RKT161" s="679"/>
      <c r="RKU161" s="679"/>
      <c r="RKV161" s="679"/>
      <c r="RKW161" s="679"/>
      <c r="RKX161" s="679"/>
      <c r="RKY161" s="679"/>
      <c r="RKZ161" s="679"/>
      <c r="RLA161" s="679"/>
      <c r="RLB161" s="679"/>
      <c r="RLC161" s="679"/>
      <c r="RLD161" s="679"/>
      <c r="RLE161" s="679"/>
      <c r="RLF161" s="679"/>
      <c r="RLG161" s="679"/>
      <c r="RLH161" s="679"/>
      <c r="RLI161" s="679"/>
      <c r="RLJ161" s="679"/>
      <c r="RLK161" s="679"/>
      <c r="RLL161" s="679"/>
      <c r="RLM161" s="679"/>
      <c r="RLN161" s="679"/>
      <c r="RLO161" s="679"/>
      <c r="RLP161" s="679"/>
      <c r="RLQ161" s="679"/>
      <c r="RLR161" s="679"/>
      <c r="RLS161" s="679"/>
      <c r="RLT161" s="679"/>
      <c r="RLU161" s="679"/>
      <c r="RLV161" s="679"/>
      <c r="RLW161" s="679"/>
      <c r="RLX161" s="679"/>
      <c r="RLY161" s="679"/>
      <c r="RLZ161" s="679"/>
      <c r="RMA161" s="679"/>
      <c r="RMB161" s="679"/>
      <c r="RMC161" s="679"/>
      <c r="RMD161" s="679"/>
      <c r="RME161" s="679"/>
      <c r="RMF161" s="679"/>
      <c r="RMG161" s="679"/>
      <c r="RMH161" s="679"/>
      <c r="RMI161" s="679"/>
      <c r="RMJ161" s="679"/>
      <c r="RMK161" s="679"/>
      <c r="RML161" s="679"/>
      <c r="RMM161" s="679"/>
      <c r="RMN161" s="679"/>
      <c r="RMO161" s="679"/>
      <c r="RMP161" s="679"/>
      <c r="RMQ161" s="679"/>
      <c r="RMR161" s="679"/>
      <c r="RMS161" s="679"/>
      <c r="RMT161" s="679"/>
      <c r="RMU161" s="679"/>
      <c r="RMV161" s="679"/>
      <c r="RMW161" s="679"/>
      <c r="RMX161" s="679"/>
      <c r="RMY161" s="679"/>
      <c r="RMZ161" s="679"/>
      <c r="RNA161" s="679"/>
      <c r="RNB161" s="679"/>
      <c r="RNC161" s="679"/>
      <c r="RND161" s="679"/>
      <c r="RNE161" s="679"/>
      <c r="RNF161" s="679"/>
      <c r="RNG161" s="679"/>
      <c r="RNH161" s="679"/>
      <c r="RNI161" s="679"/>
      <c r="RNJ161" s="679"/>
      <c r="RNK161" s="679"/>
      <c r="RNL161" s="679"/>
      <c r="RNM161" s="679"/>
      <c r="RNN161" s="679"/>
      <c r="RNO161" s="679"/>
      <c r="RNP161" s="679"/>
      <c r="RNQ161" s="679"/>
      <c r="RNR161" s="679"/>
      <c r="RNS161" s="679"/>
      <c r="RNT161" s="679"/>
      <c r="RNU161" s="679"/>
      <c r="RNV161" s="679"/>
      <c r="RNW161" s="679"/>
      <c r="RNX161" s="679"/>
      <c r="RNY161" s="679"/>
      <c r="RNZ161" s="679"/>
      <c r="ROA161" s="679"/>
      <c r="ROB161" s="679"/>
      <c r="ROC161" s="679"/>
      <c r="ROD161" s="679"/>
      <c r="ROE161" s="679"/>
      <c r="ROF161" s="679"/>
      <c r="ROG161" s="679"/>
      <c r="ROH161" s="679"/>
      <c r="ROI161" s="679"/>
      <c r="ROJ161" s="679"/>
      <c r="ROK161" s="679"/>
      <c r="ROL161" s="679"/>
      <c r="ROM161" s="679"/>
      <c r="RON161" s="679"/>
      <c r="ROO161" s="679"/>
      <c r="ROP161" s="679"/>
      <c r="ROQ161" s="679"/>
      <c r="ROR161" s="679"/>
      <c r="ROS161" s="679"/>
      <c r="ROT161" s="679"/>
      <c r="ROU161" s="679"/>
      <c r="ROV161" s="679"/>
      <c r="ROW161" s="679"/>
      <c r="ROX161" s="679"/>
      <c r="ROY161" s="679"/>
      <c r="ROZ161" s="679"/>
      <c r="RPA161" s="679"/>
      <c r="RPB161" s="679"/>
      <c r="RPC161" s="679"/>
      <c r="RPD161" s="679"/>
      <c r="RPE161" s="679"/>
      <c r="RPF161" s="679"/>
      <c r="RPG161" s="679"/>
      <c r="RPH161" s="679"/>
      <c r="RPI161" s="679"/>
      <c r="RPJ161" s="679"/>
      <c r="RPK161" s="679"/>
      <c r="RPL161" s="679"/>
      <c r="RPM161" s="679"/>
      <c r="RPN161" s="679"/>
      <c r="RPO161" s="679"/>
      <c r="RPP161" s="679"/>
      <c r="RPQ161" s="679"/>
      <c r="RPR161" s="679"/>
      <c r="RPS161" s="679"/>
      <c r="RPT161" s="679"/>
      <c r="RPU161" s="679"/>
      <c r="RPV161" s="679"/>
      <c r="RPW161" s="679"/>
      <c r="RPX161" s="679"/>
      <c r="RPY161" s="679"/>
      <c r="RPZ161" s="679"/>
      <c r="RQA161" s="679"/>
      <c r="RQB161" s="679"/>
      <c r="RQC161" s="679"/>
      <c r="RQD161" s="679"/>
      <c r="RQE161" s="679"/>
      <c r="RQF161" s="679"/>
      <c r="RQG161" s="679"/>
      <c r="RQH161" s="679"/>
      <c r="RQI161" s="679"/>
      <c r="RQJ161" s="679"/>
      <c r="RQK161" s="679"/>
      <c r="RQL161" s="679"/>
      <c r="RQM161" s="679"/>
      <c r="RQN161" s="679"/>
      <c r="RQO161" s="679"/>
      <c r="RQP161" s="679"/>
      <c r="RQQ161" s="679"/>
      <c r="RQR161" s="679"/>
      <c r="RQS161" s="679"/>
      <c r="RQT161" s="679"/>
      <c r="RQU161" s="679"/>
      <c r="RQV161" s="679"/>
      <c r="RQW161" s="679"/>
      <c r="RQX161" s="679"/>
      <c r="RQY161" s="679"/>
      <c r="RQZ161" s="679"/>
      <c r="RRA161" s="679"/>
      <c r="RRB161" s="679"/>
      <c r="RRC161" s="679"/>
      <c r="RRD161" s="679"/>
      <c r="RRE161" s="679"/>
      <c r="RRF161" s="679"/>
      <c r="RRG161" s="679"/>
      <c r="RRH161" s="679"/>
      <c r="RRI161" s="679"/>
      <c r="RRJ161" s="679"/>
      <c r="RRK161" s="679"/>
      <c r="RRL161" s="679"/>
      <c r="RRM161" s="679"/>
      <c r="RRN161" s="679"/>
      <c r="RRO161" s="679"/>
      <c r="RRP161" s="679"/>
      <c r="RRQ161" s="679"/>
      <c r="RRR161" s="679"/>
      <c r="RRS161" s="679"/>
      <c r="RRT161" s="679"/>
      <c r="RRU161" s="679"/>
      <c r="RRV161" s="679"/>
      <c r="RRW161" s="679"/>
      <c r="RRX161" s="679"/>
      <c r="RRY161" s="679"/>
      <c r="RRZ161" s="679"/>
      <c r="RSA161" s="679"/>
      <c r="RSB161" s="679"/>
      <c r="RSC161" s="679"/>
      <c r="RSD161" s="679"/>
      <c r="RSE161" s="679"/>
      <c r="RSF161" s="679"/>
      <c r="RSG161" s="679"/>
      <c r="RSH161" s="679"/>
      <c r="RSI161" s="679"/>
      <c r="RSJ161" s="679"/>
      <c r="RSK161" s="679"/>
      <c r="RSL161" s="679"/>
      <c r="RSM161" s="679"/>
      <c r="RSN161" s="679"/>
      <c r="RSO161" s="679"/>
      <c r="RSP161" s="679"/>
      <c r="RSQ161" s="679"/>
      <c r="RSR161" s="679"/>
      <c r="RSS161" s="679"/>
      <c r="RST161" s="679"/>
      <c r="RSU161" s="679"/>
      <c r="RSV161" s="679"/>
      <c r="RSW161" s="679"/>
      <c r="RSX161" s="679"/>
      <c r="RSY161" s="679"/>
      <c r="RSZ161" s="679"/>
      <c r="RTA161" s="679"/>
      <c r="RTB161" s="679"/>
      <c r="RTC161" s="679"/>
      <c r="RTD161" s="679"/>
      <c r="RTE161" s="679"/>
      <c r="RTF161" s="679"/>
      <c r="RTG161" s="679"/>
      <c r="RTH161" s="679"/>
      <c r="RTI161" s="679"/>
      <c r="RTJ161" s="679"/>
      <c r="RTK161" s="679"/>
      <c r="RTL161" s="679"/>
      <c r="RTM161" s="679"/>
      <c r="RTN161" s="679"/>
      <c r="RTO161" s="679"/>
      <c r="RTP161" s="679"/>
      <c r="RTQ161" s="679"/>
      <c r="RTR161" s="679"/>
      <c r="RTS161" s="679"/>
      <c r="RTT161" s="679"/>
      <c r="RTU161" s="679"/>
      <c r="RTV161" s="679"/>
      <c r="RTW161" s="679"/>
      <c r="RTX161" s="679"/>
      <c r="RTY161" s="679"/>
      <c r="RTZ161" s="679"/>
      <c r="RUA161" s="679"/>
      <c r="RUB161" s="679"/>
      <c r="RUC161" s="679"/>
      <c r="RUD161" s="679"/>
      <c r="RUE161" s="679"/>
      <c r="RUF161" s="679"/>
      <c r="RUG161" s="679"/>
      <c r="RUH161" s="679"/>
      <c r="RUI161" s="679"/>
      <c r="RUJ161" s="679"/>
      <c r="RUK161" s="679"/>
      <c r="RUL161" s="679"/>
      <c r="RUM161" s="679"/>
      <c r="RUN161" s="679"/>
      <c r="RUO161" s="679"/>
      <c r="RUP161" s="679"/>
      <c r="RUQ161" s="679"/>
      <c r="RUR161" s="679"/>
      <c r="RUS161" s="679"/>
      <c r="RUT161" s="679"/>
      <c r="RUU161" s="679"/>
      <c r="RUV161" s="679"/>
      <c r="RUW161" s="679"/>
      <c r="RUX161" s="679"/>
      <c r="RUY161" s="679"/>
      <c r="RUZ161" s="679"/>
      <c r="RVA161" s="679"/>
      <c r="RVB161" s="679"/>
      <c r="RVC161" s="679"/>
      <c r="RVD161" s="679"/>
      <c r="RVE161" s="679"/>
      <c r="RVF161" s="679"/>
      <c r="RVG161" s="679"/>
      <c r="RVH161" s="679"/>
      <c r="RVI161" s="679"/>
      <c r="RVJ161" s="679"/>
      <c r="RVK161" s="679"/>
      <c r="RVL161" s="679"/>
      <c r="RVM161" s="679"/>
      <c r="RVN161" s="679"/>
      <c r="RVO161" s="679"/>
      <c r="RVP161" s="679"/>
      <c r="RVQ161" s="679"/>
      <c r="RVR161" s="679"/>
      <c r="RVS161" s="679"/>
      <c r="RVT161" s="679"/>
      <c r="RVU161" s="679"/>
      <c r="RVV161" s="679"/>
      <c r="RVW161" s="679"/>
      <c r="RVX161" s="679"/>
      <c r="RVY161" s="679"/>
      <c r="RVZ161" s="679"/>
      <c r="RWA161" s="679"/>
      <c r="RWB161" s="679"/>
      <c r="RWC161" s="679"/>
      <c r="RWD161" s="679"/>
      <c r="RWE161" s="679"/>
      <c r="RWF161" s="679"/>
      <c r="RWG161" s="679"/>
      <c r="RWH161" s="679"/>
      <c r="RWI161" s="679"/>
      <c r="RWJ161" s="679"/>
      <c r="RWK161" s="679"/>
      <c r="RWL161" s="679"/>
      <c r="RWM161" s="679"/>
      <c r="RWN161" s="679"/>
      <c r="RWO161" s="679"/>
      <c r="RWP161" s="679"/>
      <c r="RWQ161" s="679"/>
      <c r="RWR161" s="679"/>
      <c r="RWS161" s="679"/>
      <c r="RWT161" s="679"/>
      <c r="RWU161" s="679"/>
      <c r="RWV161" s="679"/>
      <c r="RWW161" s="679"/>
      <c r="RWX161" s="679"/>
      <c r="RWY161" s="679"/>
      <c r="RWZ161" s="679"/>
      <c r="RXA161" s="679"/>
      <c r="RXB161" s="679"/>
      <c r="RXC161" s="679"/>
      <c r="RXD161" s="679"/>
      <c r="RXE161" s="679"/>
      <c r="RXF161" s="679"/>
      <c r="RXG161" s="679"/>
      <c r="RXH161" s="679"/>
      <c r="RXI161" s="679"/>
      <c r="RXJ161" s="679"/>
      <c r="RXK161" s="679"/>
      <c r="RXL161" s="679"/>
      <c r="RXM161" s="679"/>
      <c r="RXN161" s="679"/>
      <c r="RXO161" s="679"/>
      <c r="RXP161" s="679"/>
      <c r="RXQ161" s="679"/>
      <c r="RXR161" s="679"/>
      <c r="RXS161" s="679"/>
      <c r="RXT161" s="679"/>
      <c r="RXU161" s="679"/>
      <c r="RXV161" s="679"/>
      <c r="RXW161" s="679"/>
      <c r="RXX161" s="679"/>
      <c r="RXY161" s="679"/>
      <c r="RXZ161" s="679"/>
      <c r="RYA161" s="679"/>
      <c r="RYB161" s="679"/>
      <c r="RYC161" s="679"/>
      <c r="RYD161" s="679"/>
      <c r="RYE161" s="679"/>
      <c r="RYF161" s="679"/>
      <c r="RYG161" s="679"/>
      <c r="RYH161" s="679"/>
      <c r="RYI161" s="679"/>
      <c r="RYJ161" s="679"/>
      <c r="RYK161" s="679"/>
      <c r="RYL161" s="679"/>
      <c r="RYM161" s="679"/>
      <c r="RYN161" s="679"/>
      <c r="RYO161" s="679"/>
      <c r="RYP161" s="679"/>
      <c r="RYQ161" s="679"/>
      <c r="RYR161" s="679"/>
      <c r="RYS161" s="679"/>
      <c r="RYT161" s="679"/>
      <c r="RYU161" s="679"/>
      <c r="RYV161" s="679"/>
      <c r="RYW161" s="679"/>
      <c r="RYX161" s="679"/>
      <c r="RYY161" s="679"/>
      <c r="RYZ161" s="679"/>
      <c r="RZA161" s="679"/>
      <c r="RZB161" s="679"/>
      <c r="RZC161" s="679"/>
      <c r="RZD161" s="679"/>
      <c r="RZE161" s="679"/>
      <c r="RZF161" s="679"/>
      <c r="RZG161" s="679"/>
      <c r="RZH161" s="679"/>
      <c r="RZI161" s="679"/>
      <c r="RZJ161" s="679"/>
      <c r="RZK161" s="679"/>
      <c r="RZL161" s="679"/>
      <c r="RZM161" s="679"/>
      <c r="RZN161" s="679"/>
      <c r="RZO161" s="679"/>
      <c r="RZP161" s="679"/>
      <c r="RZQ161" s="679"/>
      <c r="RZR161" s="679"/>
      <c r="RZS161" s="679"/>
      <c r="RZT161" s="679"/>
      <c r="RZU161" s="679"/>
      <c r="RZV161" s="679"/>
      <c r="RZW161" s="679"/>
      <c r="RZX161" s="679"/>
      <c r="RZY161" s="679"/>
      <c r="RZZ161" s="679"/>
      <c r="SAA161" s="679"/>
      <c r="SAB161" s="679"/>
      <c r="SAC161" s="679"/>
      <c r="SAD161" s="679"/>
      <c r="SAE161" s="679"/>
      <c r="SAF161" s="679"/>
      <c r="SAG161" s="679"/>
      <c r="SAH161" s="679"/>
      <c r="SAI161" s="679"/>
      <c r="SAJ161" s="679"/>
      <c r="SAK161" s="679"/>
      <c r="SAL161" s="679"/>
      <c r="SAM161" s="679"/>
      <c r="SAN161" s="679"/>
      <c r="SAO161" s="679"/>
      <c r="SAP161" s="679"/>
      <c r="SAQ161" s="679"/>
      <c r="SAR161" s="679"/>
      <c r="SAS161" s="679"/>
      <c r="SAT161" s="679"/>
      <c r="SAU161" s="679"/>
      <c r="SAV161" s="679"/>
      <c r="SAW161" s="679"/>
      <c r="SAX161" s="679"/>
      <c r="SAY161" s="679"/>
      <c r="SAZ161" s="679"/>
      <c r="SBA161" s="679"/>
      <c r="SBB161" s="679"/>
      <c r="SBC161" s="679"/>
      <c r="SBD161" s="679"/>
      <c r="SBE161" s="679"/>
      <c r="SBF161" s="679"/>
      <c r="SBG161" s="679"/>
      <c r="SBH161" s="679"/>
      <c r="SBI161" s="679"/>
      <c r="SBJ161" s="679"/>
      <c r="SBK161" s="679"/>
      <c r="SBL161" s="679"/>
      <c r="SBM161" s="679"/>
      <c r="SBN161" s="679"/>
      <c r="SBO161" s="679"/>
      <c r="SBP161" s="679"/>
      <c r="SBQ161" s="679"/>
      <c r="SBR161" s="679"/>
      <c r="SBS161" s="679"/>
      <c r="SBT161" s="679"/>
      <c r="SBU161" s="679"/>
      <c r="SBV161" s="679"/>
      <c r="SBW161" s="679"/>
      <c r="SBX161" s="679"/>
      <c r="SBY161" s="679"/>
      <c r="SBZ161" s="679"/>
      <c r="SCA161" s="679"/>
      <c r="SCB161" s="679"/>
      <c r="SCC161" s="679"/>
      <c r="SCD161" s="679"/>
      <c r="SCE161" s="679"/>
      <c r="SCF161" s="679"/>
      <c r="SCG161" s="679"/>
      <c r="SCH161" s="679"/>
      <c r="SCI161" s="679"/>
      <c r="SCJ161" s="679"/>
      <c r="SCK161" s="679"/>
      <c r="SCL161" s="679"/>
      <c r="SCM161" s="679"/>
      <c r="SCN161" s="679"/>
      <c r="SCO161" s="679"/>
      <c r="SCP161" s="679"/>
      <c r="SCQ161" s="679"/>
      <c r="SCR161" s="679"/>
      <c r="SCS161" s="679"/>
      <c r="SCT161" s="679"/>
      <c r="SCU161" s="679"/>
      <c r="SCV161" s="679"/>
      <c r="SCW161" s="679"/>
      <c r="SCX161" s="679"/>
      <c r="SCY161" s="679"/>
      <c r="SCZ161" s="679"/>
      <c r="SDA161" s="679"/>
      <c r="SDB161" s="679"/>
      <c r="SDC161" s="679"/>
      <c r="SDD161" s="679"/>
      <c r="SDE161" s="679"/>
      <c r="SDF161" s="679"/>
      <c r="SDG161" s="679"/>
      <c r="SDH161" s="679"/>
      <c r="SDI161" s="679"/>
      <c r="SDJ161" s="679"/>
      <c r="SDK161" s="679"/>
      <c r="SDL161" s="679"/>
      <c r="SDM161" s="679"/>
      <c r="SDN161" s="679"/>
      <c r="SDO161" s="679"/>
      <c r="SDP161" s="679"/>
      <c r="SDQ161" s="679"/>
      <c r="SDR161" s="679"/>
      <c r="SDS161" s="679"/>
      <c r="SDT161" s="679"/>
      <c r="SDU161" s="679"/>
      <c r="SDV161" s="679"/>
      <c r="SDW161" s="679"/>
      <c r="SDX161" s="679"/>
      <c r="SDY161" s="679"/>
      <c r="SDZ161" s="679"/>
      <c r="SEA161" s="679"/>
      <c r="SEB161" s="679"/>
      <c r="SEC161" s="679"/>
      <c r="SED161" s="679"/>
      <c r="SEE161" s="679"/>
      <c r="SEF161" s="679"/>
      <c r="SEG161" s="679"/>
      <c r="SEH161" s="679"/>
      <c r="SEI161" s="679"/>
      <c r="SEJ161" s="679"/>
      <c r="SEK161" s="679"/>
      <c r="SEL161" s="679"/>
      <c r="SEM161" s="679"/>
      <c r="SEN161" s="679"/>
      <c r="SEO161" s="679"/>
      <c r="SEP161" s="679"/>
      <c r="SEQ161" s="679"/>
      <c r="SER161" s="679"/>
      <c r="SES161" s="679"/>
      <c r="SET161" s="679"/>
      <c r="SEU161" s="679"/>
      <c r="SEV161" s="679"/>
      <c r="SEW161" s="679"/>
      <c r="SEX161" s="679"/>
      <c r="SEY161" s="679"/>
      <c r="SEZ161" s="679"/>
      <c r="SFA161" s="679"/>
      <c r="SFB161" s="679"/>
      <c r="SFC161" s="679"/>
      <c r="SFD161" s="679"/>
      <c r="SFE161" s="679"/>
      <c r="SFF161" s="679"/>
      <c r="SFG161" s="679"/>
      <c r="SFH161" s="679"/>
      <c r="SFI161" s="679"/>
      <c r="SFJ161" s="679"/>
      <c r="SFK161" s="679"/>
      <c r="SFL161" s="679"/>
      <c r="SFM161" s="679"/>
      <c r="SFN161" s="679"/>
      <c r="SFO161" s="679"/>
      <c r="SFP161" s="679"/>
      <c r="SFQ161" s="679"/>
      <c r="SFR161" s="679"/>
      <c r="SFS161" s="679"/>
      <c r="SFT161" s="679"/>
      <c r="SFU161" s="679"/>
      <c r="SFV161" s="679"/>
      <c r="SFW161" s="679"/>
      <c r="SFX161" s="679"/>
      <c r="SFY161" s="679"/>
      <c r="SFZ161" s="679"/>
      <c r="SGA161" s="679"/>
      <c r="SGB161" s="679"/>
      <c r="SGC161" s="679"/>
      <c r="SGD161" s="679"/>
      <c r="SGE161" s="679"/>
      <c r="SGF161" s="679"/>
      <c r="SGG161" s="679"/>
      <c r="SGH161" s="679"/>
      <c r="SGI161" s="679"/>
      <c r="SGJ161" s="679"/>
      <c r="SGK161" s="679"/>
      <c r="SGL161" s="679"/>
      <c r="SGM161" s="679"/>
      <c r="SGN161" s="679"/>
      <c r="SGO161" s="679"/>
      <c r="SGP161" s="679"/>
      <c r="SGQ161" s="679"/>
      <c r="SGR161" s="679"/>
      <c r="SGS161" s="679"/>
      <c r="SGT161" s="679"/>
      <c r="SGU161" s="679"/>
      <c r="SGV161" s="679"/>
      <c r="SGW161" s="679"/>
      <c r="SGX161" s="679"/>
      <c r="SGY161" s="679"/>
      <c r="SGZ161" s="679"/>
      <c r="SHA161" s="679"/>
      <c r="SHB161" s="679"/>
      <c r="SHC161" s="679"/>
      <c r="SHD161" s="679"/>
      <c r="SHE161" s="679"/>
      <c r="SHF161" s="679"/>
      <c r="SHG161" s="679"/>
      <c r="SHH161" s="679"/>
      <c r="SHI161" s="679"/>
      <c r="SHJ161" s="679"/>
      <c r="SHK161" s="679"/>
      <c r="SHL161" s="679"/>
      <c r="SHM161" s="679"/>
      <c r="SHN161" s="679"/>
      <c r="SHO161" s="679"/>
      <c r="SHP161" s="679"/>
      <c r="SHQ161" s="679"/>
      <c r="SHR161" s="679"/>
      <c r="SHS161" s="679"/>
      <c r="SHT161" s="679"/>
      <c r="SHU161" s="679"/>
      <c r="SHV161" s="679"/>
      <c r="SHW161" s="679"/>
      <c r="SHX161" s="679"/>
      <c r="SHY161" s="679"/>
      <c r="SHZ161" s="679"/>
      <c r="SIA161" s="679"/>
      <c r="SIB161" s="679"/>
      <c r="SIC161" s="679"/>
      <c r="SID161" s="679"/>
      <c r="SIE161" s="679"/>
      <c r="SIF161" s="679"/>
      <c r="SIG161" s="679"/>
      <c r="SIH161" s="679"/>
      <c r="SII161" s="679"/>
      <c r="SIJ161" s="679"/>
      <c r="SIK161" s="679"/>
      <c r="SIL161" s="679"/>
      <c r="SIM161" s="679"/>
      <c r="SIN161" s="679"/>
      <c r="SIO161" s="679"/>
      <c r="SIP161" s="679"/>
      <c r="SIQ161" s="679"/>
      <c r="SIR161" s="679"/>
      <c r="SIS161" s="679"/>
      <c r="SIT161" s="679"/>
      <c r="SIU161" s="679"/>
      <c r="SIV161" s="679"/>
      <c r="SIW161" s="679"/>
      <c r="SIX161" s="679"/>
      <c r="SIY161" s="679"/>
      <c r="SIZ161" s="679"/>
      <c r="SJA161" s="679"/>
      <c r="SJB161" s="679"/>
      <c r="SJC161" s="679"/>
      <c r="SJD161" s="679"/>
      <c r="SJE161" s="679"/>
      <c r="SJF161" s="679"/>
      <c r="SJG161" s="679"/>
      <c r="SJH161" s="679"/>
      <c r="SJI161" s="679"/>
      <c r="SJJ161" s="679"/>
      <c r="SJK161" s="679"/>
      <c r="SJL161" s="679"/>
      <c r="SJM161" s="679"/>
      <c r="SJN161" s="679"/>
      <c r="SJO161" s="679"/>
      <c r="SJP161" s="679"/>
      <c r="SJQ161" s="679"/>
      <c r="SJR161" s="679"/>
      <c r="SJS161" s="679"/>
      <c r="SJT161" s="679"/>
      <c r="SJU161" s="679"/>
      <c r="SJV161" s="679"/>
      <c r="SJW161" s="679"/>
      <c r="SJX161" s="679"/>
      <c r="SJY161" s="679"/>
      <c r="SJZ161" s="679"/>
      <c r="SKA161" s="679"/>
      <c r="SKB161" s="679"/>
      <c r="SKC161" s="679"/>
      <c r="SKD161" s="679"/>
      <c r="SKE161" s="679"/>
      <c r="SKF161" s="679"/>
      <c r="SKG161" s="679"/>
      <c r="SKH161" s="679"/>
      <c r="SKI161" s="679"/>
      <c r="SKJ161" s="679"/>
      <c r="SKK161" s="679"/>
      <c r="SKL161" s="679"/>
      <c r="SKM161" s="679"/>
      <c r="SKN161" s="679"/>
      <c r="SKO161" s="679"/>
      <c r="SKP161" s="679"/>
      <c r="SKQ161" s="679"/>
      <c r="SKR161" s="679"/>
      <c r="SKS161" s="679"/>
      <c r="SKT161" s="679"/>
      <c r="SKU161" s="679"/>
      <c r="SKV161" s="679"/>
      <c r="SKW161" s="679"/>
      <c r="SKX161" s="679"/>
      <c r="SKY161" s="679"/>
      <c r="SKZ161" s="679"/>
      <c r="SLA161" s="679"/>
      <c r="SLB161" s="679"/>
      <c r="SLC161" s="679"/>
      <c r="SLD161" s="679"/>
      <c r="SLE161" s="679"/>
      <c r="SLF161" s="679"/>
      <c r="SLG161" s="679"/>
      <c r="SLH161" s="679"/>
      <c r="SLI161" s="679"/>
      <c r="SLJ161" s="679"/>
      <c r="SLK161" s="679"/>
      <c r="SLL161" s="679"/>
      <c r="SLM161" s="679"/>
      <c r="SLN161" s="679"/>
      <c r="SLO161" s="679"/>
      <c r="SLP161" s="679"/>
      <c r="SLQ161" s="679"/>
      <c r="SLR161" s="679"/>
      <c r="SLS161" s="679"/>
      <c r="SLT161" s="679"/>
      <c r="SLU161" s="679"/>
      <c r="SLV161" s="679"/>
      <c r="SLW161" s="679"/>
      <c r="SLX161" s="679"/>
      <c r="SLY161" s="679"/>
      <c r="SLZ161" s="679"/>
      <c r="SMA161" s="679"/>
      <c r="SMB161" s="679"/>
      <c r="SMC161" s="679"/>
      <c r="SMD161" s="679"/>
      <c r="SME161" s="679"/>
      <c r="SMF161" s="679"/>
      <c r="SMG161" s="679"/>
      <c r="SMH161" s="679"/>
      <c r="SMI161" s="679"/>
      <c r="SMJ161" s="679"/>
      <c r="SMK161" s="679"/>
      <c r="SML161" s="679"/>
      <c r="SMM161" s="679"/>
      <c r="SMN161" s="679"/>
      <c r="SMO161" s="679"/>
      <c r="SMP161" s="679"/>
      <c r="SMQ161" s="679"/>
      <c r="SMR161" s="679"/>
      <c r="SMS161" s="679"/>
      <c r="SMT161" s="679"/>
      <c r="SMU161" s="679"/>
      <c r="SMV161" s="679"/>
      <c r="SMW161" s="679"/>
      <c r="SMX161" s="679"/>
      <c r="SMY161" s="679"/>
      <c r="SMZ161" s="679"/>
      <c r="SNA161" s="679"/>
      <c r="SNB161" s="679"/>
      <c r="SNC161" s="679"/>
      <c r="SND161" s="679"/>
      <c r="SNE161" s="679"/>
      <c r="SNF161" s="679"/>
      <c r="SNG161" s="679"/>
      <c r="SNH161" s="679"/>
      <c r="SNI161" s="679"/>
      <c r="SNJ161" s="679"/>
      <c r="SNK161" s="679"/>
      <c r="SNL161" s="679"/>
      <c r="SNM161" s="679"/>
      <c r="SNN161" s="679"/>
      <c r="SNO161" s="679"/>
      <c r="SNP161" s="679"/>
      <c r="SNQ161" s="679"/>
      <c r="SNR161" s="679"/>
      <c r="SNS161" s="679"/>
      <c r="SNT161" s="679"/>
      <c r="SNU161" s="679"/>
      <c r="SNV161" s="679"/>
      <c r="SNW161" s="679"/>
      <c r="SNX161" s="679"/>
      <c r="SNY161" s="679"/>
      <c r="SNZ161" s="679"/>
      <c r="SOA161" s="679"/>
      <c r="SOB161" s="679"/>
      <c r="SOC161" s="679"/>
      <c r="SOD161" s="679"/>
      <c r="SOE161" s="679"/>
      <c r="SOF161" s="679"/>
      <c r="SOG161" s="679"/>
      <c r="SOH161" s="679"/>
      <c r="SOI161" s="679"/>
      <c r="SOJ161" s="679"/>
      <c r="SOK161" s="679"/>
      <c r="SOL161" s="679"/>
      <c r="SOM161" s="679"/>
      <c r="SON161" s="679"/>
      <c r="SOO161" s="679"/>
      <c r="SOP161" s="679"/>
      <c r="SOQ161" s="679"/>
      <c r="SOR161" s="679"/>
      <c r="SOS161" s="679"/>
      <c r="SOT161" s="679"/>
      <c r="SOU161" s="679"/>
      <c r="SOV161" s="679"/>
      <c r="SOW161" s="679"/>
      <c r="SOX161" s="679"/>
      <c r="SOY161" s="679"/>
      <c r="SOZ161" s="679"/>
      <c r="SPA161" s="679"/>
      <c r="SPB161" s="679"/>
      <c r="SPC161" s="679"/>
      <c r="SPD161" s="679"/>
      <c r="SPE161" s="679"/>
      <c r="SPF161" s="679"/>
      <c r="SPG161" s="679"/>
      <c r="SPH161" s="679"/>
      <c r="SPI161" s="679"/>
      <c r="SPJ161" s="679"/>
      <c r="SPK161" s="679"/>
      <c r="SPL161" s="679"/>
      <c r="SPM161" s="679"/>
      <c r="SPN161" s="679"/>
      <c r="SPO161" s="679"/>
      <c r="SPP161" s="679"/>
      <c r="SPQ161" s="679"/>
      <c r="SPR161" s="679"/>
      <c r="SPS161" s="679"/>
      <c r="SPT161" s="679"/>
      <c r="SPU161" s="679"/>
      <c r="SPV161" s="679"/>
      <c r="SPW161" s="679"/>
      <c r="SPX161" s="679"/>
      <c r="SPY161" s="679"/>
      <c r="SPZ161" s="679"/>
      <c r="SQA161" s="679"/>
      <c r="SQB161" s="679"/>
      <c r="SQC161" s="679"/>
      <c r="SQD161" s="679"/>
      <c r="SQE161" s="679"/>
      <c r="SQF161" s="679"/>
      <c r="SQG161" s="679"/>
      <c r="SQH161" s="679"/>
      <c r="SQI161" s="679"/>
      <c r="SQJ161" s="679"/>
      <c r="SQK161" s="679"/>
      <c r="SQL161" s="679"/>
      <c r="SQM161" s="679"/>
      <c r="SQN161" s="679"/>
      <c r="SQO161" s="679"/>
      <c r="SQP161" s="679"/>
      <c r="SQQ161" s="679"/>
      <c r="SQR161" s="679"/>
      <c r="SQS161" s="679"/>
      <c r="SQT161" s="679"/>
      <c r="SQU161" s="679"/>
      <c r="SQV161" s="679"/>
      <c r="SQW161" s="679"/>
      <c r="SQX161" s="679"/>
      <c r="SQY161" s="679"/>
      <c r="SQZ161" s="679"/>
      <c r="SRA161" s="679"/>
      <c r="SRB161" s="679"/>
      <c r="SRC161" s="679"/>
      <c r="SRD161" s="679"/>
      <c r="SRE161" s="679"/>
      <c r="SRF161" s="679"/>
      <c r="SRG161" s="679"/>
      <c r="SRH161" s="679"/>
      <c r="SRI161" s="679"/>
      <c r="SRJ161" s="679"/>
      <c r="SRK161" s="679"/>
      <c r="SRL161" s="679"/>
      <c r="SRM161" s="679"/>
      <c r="SRN161" s="679"/>
      <c r="SRO161" s="679"/>
      <c r="SRP161" s="679"/>
      <c r="SRQ161" s="679"/>
      <c r="SRR161" s="679"/>
      <c r="SRS161" s="679"/>
      <c r="SRT161" s="679"/>
      <c r="SRU161" s="679"/>
      <c r="SRV161" s="679"/>
      <c r="SRW161" s="679"/>
      <c r="SRX161" s="679"/>
      <c r="SRY161" s="679"/>
      <c r="SRZ161" s="679"/>
      <c r="SSA161" s="679"/>
      <c r="SSB161" s="679"/>
      <c r="SSC161" s="679"/>
      <c r="SSD161" s="679"/>
      <c r="SSE161" s="679"/>
      <c r="SSF161" s="679"/>
      <c r="SSG161" s="679"/>
      <c r="SSH161" s="679"/>
      <c r="SSI161" s="679"/>
      <c r="SSJ161" s="679"/>
      <c r="SSK161" s="679"/>
      <c r="SSL161" s="679"/>
      <c r="SSM161" s="679"/>
      <c r="SSN161" s="679"/>
      <c r="SSO161" s="679"/>
      <c r="SSP161" s="679"/>
      <c r="SSQ161" s="679"/>
      <c r="SSR161" s="679"/>
      <c r="SSS161" s="679"/>
      <c r="SST161" s="679"/>
      <c r="SSU161" s="679"/>
      <c r="SSV161" s="679"/>
      <c r="SSW161" s="679"/>
      <c r="SSX161" s="679"/>
      <c r="SSY161" s="679"/>
      <c r="SSZ161" s="679"/>
      <c r="STA161" s="679"/>
      <c r="STB161" s="679"/>
      <c r="STC161" s="679"/>
      <c r="STD161" s="679"/>
      <c r="STE161" s="679"/>
      <c r="STF161" s="679"/>
      <c r="STG161" s="679"/>
      <c r="STH161" s="679"/>
      <c r="STI161" s="679"/>
      <c r="STJ161" s="679"/>
      <c r="STK161" s="679"/>
      <c r="STL161" s="679"/>
      <c r="STM161" s="679"/>
      <c r="STN161" s="679"/>
      <c r="STO161" s="679"/>
      <c r="STP161" s="679"/>
      <c r="STQ161" s="679"/>
      <c r="STR161" s="679"/>
      <c r="STS161" s="679"/>
      <c r="STT161" s="679"/>
      <c r="STU161" s="679"/>
      <c r="STV161" s="679"/>
      <c r="STW161" s="679"/>
      <c r="STX161" s="679"/>
      <c r="STY161" s="679"/>
      <c r="STZ161" s="679"/>
      <c r="SUA161" s="679"/>
      <c r="SUB161" s="679"/>
      <c r="SUC161" s="679"/>
      <c r="SUD161" s="679"/>
      <c r="SUE161" s="679"/>
      <c r="SUF161" s="679"/>
      <c r="SUG161" s="679"/>
      <c r="SUH161" s="679"/>
      <c r="SUI161" s="679"/>
      <c r="SUJ161" s="679"/>
      <c r="SUK161" s="679"/>
      <c r="SUL161" s="679"/>
      <c r="SUM161" s="679"/>
      <c r="SUN161" s="679"/>
      <c r="SUO161" s="679"/>
      <c r="SUP161" s="679"/>
      <c r="SUQ161" s="679"/>
      <c r="SUR161" s="679"/>
      <c r="SUS161" s="679"/>
      <c r="SUT161" s="679"/>
      <c r="SUU161" s="679"/>
      <c r="SUV161" s="679"/>
      <c r="SUW161" s="679"/>
      <c r="SUX161" s="679"/>
      <c r="SUY161" s="679"/>
      <c r="SUZ161" s="679"/>
      <c r="SVA161" s="679"/>
      <c r="SVB161" s="679"/>
      <c r="SVC161" s="679"/>
      <c r="SVD161" s="679"/>
      <c r="SVE161" s="679"/>
      <c r="SVF161" s="679"/>
      <c r="SVG161" s="679"/>
      <c r="SVH161" s="679"/>
      <c r="SVI161" s="679"/>
      <c r="SVJ161" s="679"/>
      <c r="SVK161" s="679"/>
      <c r="SVL161" s="679"/>
      <c r="SVM161" s="679"/>
      <c r="SVN161" s="679"/>
      <c r="SVO161" s="679"/>
      <c r="SVP161" s="679"/>
      <c r="SVQ161" s="679"/>
      <c r="SVR161" s="679"/>
      <c r="SVS161" s="679"/>
      <c r="SVT161" s="679"/>
      <c r="SVU161" s="679"/>
      <c r="SVV161" s="679"/>
      <c r="SVW161" s="679"/>
      <c r="SVX161" s="679"/>
      <c r="SVY161" s="679"/>
      <c r="SVZ161" s="679"/>
      <c r="SWA161" s="679"/>
      <c r="SWB161" s="679"/>
      <c r="SWC161" s="679"/>
      <c r="SWD161" s="679"/>
      <c r="SWE161" s="679"/>
      <c r="SWF161" s="679"/>
      <c r="SWG161" s="679"/>
      <c r="SWH161" s="679"/>
      <c r="SWI161" s="679"/>
      <c r="SWJ161" s="679"/>
      <c r="SWK161" s="679"/>
      <c r="SWL161" s="679"/>
      <c r="SWM161" s="679"/>
      <c r="SWN161" s="679"/>
      <c r="SWO161" s="679"/>
      <c r="SWP161" s="679"/>
      <c r="SWQ161" s="679"/>
      <c r="SWR161" s="679"/>
      <c r="SWS161" s="679"/>
      <c r="SWT161" s="679"/>
      <c r="SWU161" s="679"/>
      <c r="SWV161" s="679"/>
      <c r="SWW161" s="679"/>
      <c r="SWX161" s="679"/>
      <c r="SWY161" s="679"/>
      <c r="SWZ161" s="679"/>
      <c r="SXA161" s="679"/>
      <c r="SXB161" s="679"/>
      <c r="SXC161" s="679"/>
      <c r="SXD161" s="679"/>
      <c r="SXE161" s="679"/>
      <c r="SXF161" s="679"/>
      <c r="SXG161" s="679"/>
      <c r="SXH161" s="679"/>
      <c r="SXI161" s="679"/>
      <c r="SXJ161" s="679"/>
      <c r="SXK161" s="679"/>
      <c r="SXL161" s="679"/>
      <c r="SXM161" s="679"/>
      <c r="SXN161" s="679"/>
      <c r="SXO161" s="679"/>
      <c r="SXP161" s="679"/>
      <c r="SXQ161" s="679"/>
      <c r="SXR161" s="679"/>
      <c r="SXS161" s="679"/>
      <c r="SXT161" s="679"/>
      <c r="SXU161" s="679"/>
      <c r="SXV161" s="679"/>
      <c r="SXW161" s="679"/>
      <c r="SXX161" s="679"/>
      <c r="SXY161" s="679"/>
      <c r="SXZ161" s="679"/>
      <c r="SYA161" s="679"/>
      <c r="SYB161" s="679"/>
      <c r="SYC161" s="679"/>
      <c r="SYD161" s="679"/>
      <c r="SYE161" s="679"/>
      <c r="SYF161" s="679"/>
      <c r="SYG161" s="679"/>
      <c r="SYH161" s="679"/>
      <c r="SYI161" s="679"/>
      <c r="SYJ161" s="679"/>
      <c r="SYK161" s="679"/>
      <c r="SYL161" s="679"/>
      <c r="SYM161" s="679"/>
      <c r="SYN161" s="679"/>
      <c r="SYO161" s="679"/>
      <c r="SYP161" s="679"/>
      <c r="SYQ161" s="679"/>
      <c r="SYR161" s="679"/>
      <c r="SYS161" s="679"/>
      <c r="SYT161" s="679"/>
      <c r="SYU161" s="679"/>
      <c r="SYV161" s="679"/>
      <c r="SYW161" s="679"/>
      <c r="SYX161" s="679"/>
      <c r="SYY161" s="679"/>
      <c r="SYZ161" s="679"/>
      <c r="SZA161" s="679"/>
      <c r="SZB161" s="679"/>
      <c r="SZC161" s="679"/>
      <c r="SZD161" s="679"/>
      <c r="SZE161" s="679"/>
      <c r="SZF161" s="679"/>
      <c r="SZG161" s="679"/>
      <c r="SZH161" s="679"/>
      <c r="SZI161" s="679"/>
      <c r="SZJ161" s="679"/>
      <c r="SZK161" s="679"/>
      <c r="SZL161" s="679"/>
      <c r="SZM161" s="679"/>
      <c r="SZN161" s="679"/>
      <c r="SZO161" s="679"/>
      <c r="SZP161" s="679"/>
      <c r="SZQ161" s="679"/>
      <c r="SZR161" s="679"/>
      <c r="SZS161" s="679"/>
      <c r="SZT161" s="679"/>
      <c r="SZU161" s="679"/>
      <c r="SZV161" s="679"/>
      <c r="SZW161" s="679"/>
      <c r="SZX161" s="679"/>
      <c r="SZY161" s="679"/>
      <c r="SZZ161" s="679"/>
      <c r="TAA161" s="679"/>
      <c r="TAB161" s="679"/>
      <c r="TAC161" s="679"/>
      <c r="TAD161" s="679"/>
      <c r="TAE161" s="679"/>
      <c r="TAF161" s="679"/>
      <c r="TAG161" s="679"/>
      <c r="TAH161" s="679"/>
      <c r="TAI161" s="679"/>
      <c r="TAJ161" s="679"/>
      <c r="TAK161" s="679"/>
      <c r="TAL161" s="679"/>
      <c r="TAM161" s="679"/>
      <c r="TAN161" s="679"/>
      <c r="TAO161" s="679"/>
      <c r="TAP161" s="679"/>
      <c r="TAQ161" s="679"/>
      <c r="TAR161" s="679"/>
      <c r="TAS161" s="679"/>
      <c r="TAT161" s="679"/>
      <c r="TAU161" s="679"/>
      <c r="TAV161" s="679"/>
      <c r="TAW161" s="679"/>
      <c r="TAX161" s="679"/>
      <c r="TAY161" s="679"/>
      <c r="TAZ161" s="679"/>
      <c r="TBA161" s="679"/>
      <c r="TBB161" s="679"/>
      <c r="TBC161" s="679"/>
      <c r="TBD161" s="679"/>
      <c r="TBE161" s="679"/>
      <c r="TBF161" s="679"/>
      <c r="TBG161" s="679"/>
      <c r="TBH161" s="679"/>
      <c r="TBI161" s="679"/>
      <c r="TBJ161" s="679"/>
      <c r="TBK161" s="679"/>
      <c r="TBL161" s="679"/>
      <c r="TBM161" s="679"/>
      <c r="TBN161" s="679"/>
      <c r="TBO161" s="679"/>
      <c r="TBP161" s="679"/>
      <c r="TBQ161" s="679"/>
      <c r="TBR161" s="679"/>
      <c r="TBS161" s="679"/>
      <c r="TBT161" s="679"/>
      <c r="TBU161" s="679"/>
      <c r="TBV161" s="679"/>
      <c r="TBW161" s="679"/>
      <c r="TBX161" s="679"/>
      <c r="TBY161" s="679"/>
      <c r="TBZ161" s="679"/>
      <c r="TCA161" s="679"/>
      <c r="TCB161" s="679"/>
      <c r="TCC161" s="679"/>
      <c r="TCD161" s="679"/>
      <c r="TCE161" s="679"/>
      <c r="TCF161" s="679"/>
      <c r="TCG161" s="679"/>
      <c r="TCH161" s="679"/>
      <c r="TCI161" s="679"/>
      <c r="TCJ161" s="679"/>
      <c r="TCK161" s="679"/>
      <c r="TCL161" s="679"/>
      <c r="TCM161" s="679"/>
      <c r="TCN161" s="679"/>
      <c r="TCO161" s="679"/>
      <c r="TCP161" s="679"/>
      <c r="TCQ161" s="679"/>
      <c r="TCR161" s="679"/>
      <c r="TCS161" s="679"/>
      <c r="TCT161" s="679"/>
      <c r="TCU161" s="679"/>
      <c r="TCV161" s="679"/>
      <c r="TCW161" s="679"/>
      <c r="TCX161" s="679"/>
      <c r="TCY161" s="679"/>
      <c r="TCZ161" s="679"/>
      <c r="TDA161" s="679"/>
      <c r="TDB161" s="679"/>
      <c r="TDC161" s="679"/>
      <c r="TDD161" s="679"/>
      <c r="TDE161" s="679"/>
      <c r="TDF161" s="679"/>
      <c r="TDG161" s="679"/>
      <c r="TDH161" s="679"/>
      <c r="TDI161" s="679"/>
      <c r="TDJ161" s="679"/>
      <c r="TDK161" s="679"/>
      <c r="TDL161" s="679"/>
      <c r="TDM161" s="679"/>
      <c r="TDN161" s="679"/>
      <c r="TDO161" s="679"/>
      <c r="TDP161" s="679"/>
      <c r="TDQ161" s="679"/>
      <c r="TDR161" s="679"/>
      <c r="TDS161" s="679"/>
      <c r="TDT161" s="679"/>
      <c r="TDU161" s="679"/>
      <c r="TDV161" s="679"/>
      <c r="TDW161" s="679"/>
      <c r="TDX161" s="679"/>
      <c r="TDY161" s="679"/>
      <c r="TDZ161" s="679"/>
      <c r="TEA161" s="679"/>
      <c r="TEB161" s="679"/>
      <c r="TEC161" s="679"/>
      <c r="TED161" s="679"/>
      <c r="TEE161" s="679"/>
      <c r="TEF161" s="679"/>
      <c r="TEG161" s="679"/>
      <c r="TEH161" s="679"/>
      <c r="TEI161" s="679"/>
      <c r="TEJ161" s="679"/>
      <c r="TEK161" s="679"/>
      <c r="TEL161" s="679"/>
      <c r="TEM161" s="679"/>
      <c r="TEN161" s="679"/>
      <c r="TEO161" s="679"/>
      <c r="TEP161" s="679"/>
      <c r="TEQ161" s="679"/>
      <c r="TER161" s="679"/>
      <c r="TES161" s="679"/>
      <c r="TET161" s="679"/>
      <c r="TEU161" s="679"/>
      <c r="TEV161" s="679"/>
      <c r="TEW161" s="679"/>
      <c r="TEX161" s="679"/>
      <c r="TEY161" s="679"/>
      <c r="TEZ161" s="679"/>
      <c r="TFA161" s="679"/>
      <c r="TFB161" s="679"/>
      <c r="TFC161" s="679"/>
      <c r="TFD161" s="679"/>
      <c r="TFE161" s="679"/>
      <c r="TFF161" s="679"/>
      <c r="TFG161" s="679"/>
      <c r="TFH161" s="679"/>
      <c r="TFI161" s="679"/>
      <c r="TFJ161" s="679"/>
      <c r="TFK161" s="679"/>
      <c r="TFL161" s="679"/>
      <c r="TFM161" s="679"/>
      <c r="TFN161" s="679"/>
      <c r="TFO161" s="679"/>
      <c r="TFP161" s="679"/>
      <c r="TFQ161" s="679"/>
      <c r="TFR161" s="679"/>
      <c r="TFS161" s="679"/>
      <c r="TFT161" s="679"/>
      <c r="TFU161" s="679"/>
      <c r="TFV161" s="679"/>
      <c r="TFW161" s="679"/>
      <c r="TFX161" s="679"/>
      <c r="TFY161" s="679"/>
      <c r="TFZ161" s="679"/>
      <c r="TGA161" s="679"/>
      <c r="TGB161" s="679"/>
      <c r="TGC161" s="679"/>
      <c r="TGD161" s="679"/>
      <c r="TGE161" s="679"/>
      <c r="TGF161" s="679"/>
      <c r="TGG161" s="679"/>
      <c r="TGH161" s="679"/>
      <c r="TGI161" s="679"/>
      <c r="TGJ161" s="679"/>
      <c r="TGK161" s="679"/>
      <c r="TGL161" s="679"/>
      <c r="TGM161" s="679"/>
      <c r="TGN161" s="679"/>
      <c r="TGO161" s="679"/>
      <c r="TGP161" s="679"/>
      <c r="TGQ161" s="679"/>
      <c r="TGR161" s="679"/>
      <c r="TGS161" s="679"/>
      <c r="TGT161" s="679"/>
      <c r="TGU161" s="679"/>
      <c r="TGV161" s="679"/>
      <c r="TGW161" s="679"/>
      <c r="TGX161" s="679"/>
      <c r="TGY161" s="679"/>
      <c r="TGZ161" s="679"/>
      <c r="THA161" s="679"/>
      <c r="THB161" s="679"/>
      <c r="THC161" s="679"/>
      <c r="THD161" s="679"/>
      <c r="THE161" s="679"/>
      <c r="THF161" s="679"/>
      <c r="THG161" s="679"/>
      <c r="THH161" s="679"/>
      <c r="THI161" s="679"/>
      <c r="THJ161" s="679"/>
      <c r="THK161" s="679"/>
      <c r="THL161" s="679"/>
      <c r="THM161" s="679"/>
      <c r="THN161" s="679"/>
      <c r="THO161" s="679"/>
      <c r="THP161" s="679"/>
      <c r="THQ161" s="679"/>
      <c r="THR161" s="679"/>
      <c r="THS161" s="679"/>
      <c r="THT161" s="679"/>
      <c r="THU161" s="679"/>
      <c r="THV161" s="679"/>
      <c r="THW161" s="679"/>
      <c r="THX161" s="679"/>
      <c r="THY161" s="679"/>
      <c r="THZ161" s="679"/>
      <c r="TIA161" s="679"/>
      <c r="TIB161" s="679"/>
      <c r="TIC161" s="679"/>
      <c r="TID161" s="679"/>
      <c r="TIE161" s="679"/>
      <c r="TIF161" s="679"/>
      <c r="TIG161" s="679"/>
      <c r="TIH161" s="679"/>
      <c r="TII161" s="679"/>
      <c r="TIJ161" s="679"/>
      <c r="TIK161" s="679"/>
      <c r="TIL161" s="679"/>
      <c r="TIM161" s="679"/>
      <c r="TIN161" s="679"/>
      <c r="TIO161" s="679"/>
      <c r="TIP161" s="679"/>
      <c r="TIQ161" s="679"/>
      <c r="TIR161" s="679"/>
      <c r="TIS161" s="679"/>
      <c r="TIT161" s="679"/>
      <c r="TIU161" s="679"/>
      <c r="TIV161" s="679"/>
      <c r="TIW161" s="679"/>
      <c r="TIX161" s="679"/>
      <c r="TIY161" s="679"/>
      <c r="TIZ161" s="679"/>
      <c r="TJA161" s="679"/>
      <c r="TJB161" s="679"/>
      <c r="TJC161" s="679"/>
      <c r="TJD161" s="679"/>
      <c r="TJE161" s="679"/>
      <c r="TJF161" s="679"/>
      <c r="TJG161" s="679"/>
      <c r="TJH161" s="679"/>
      <c r="TJI161" s="679"/>
      <c r="TJJ161" s="679"/>
      <c r="TJK161" s="679"/>
      <c r="TJL161" s="679"/>
      <c r="TJM161" s="679"/>
      <c r="TJN161" s="679"/>
      <c r="TJO161" s="679"/>
      <c r="TJP161" s="679"/>
      <c r="TJQ161" s="679"/>
      <c r="TJR161" s="679"/>
      <c r="TJS161" s="679"/>
      <c r="TJT161" s="679"/>
      <c r="TJU161" s="679"/>
      <c r="TJV161" s="679"/>
      <c r="TJW161" s="679"/>
      <c r="TJX161" s="679"/>
      <c r="TJY161" s="679"/>
      <c r="TJZ161" s="679"/>
      <c r="TKA161" s="679"/>
      <c r="TKB161" s="679"/>
      <c r="TKC161" s="679"/>
      <c r="TKD161" s="679"/>
      <c r="TKE161" s="679"/>
      <c r="TKF161" s="679"/>
      <c r="TKG161" s="679"/>
      <c r="TKH161" s="679"/>
      <c r="TKI161" s="679"/>
      <c r="TKJ161" s="679"/>
      <c r="TKK161" s="679"/>
      <c r="TKL161" s="679"/>
      <c r="TKM161" s="679"/>
      <c r="TKN161" s="679"/>
      <c r="TKO161" s="679"/>
      <c r="TKP161" s="679"/>
      <c r="TKQ161" s="679"/>
      <c r="TKR161" s="679"/>
      <c r="TKS161" s="679"/>
      <c r="TKT161" s="679"/>
      <c r="TKU161" s="679"/>
      <c r="TKV161" s="679"/>
      <c r="TKW161" s="679"/>
      <c r="TKX161" s="679"/>
      <c r="TKY161" s="679"/>
      <c r="TKZ161" s="679"/>
      <c r="TLA161" s="679"/>
      <c r="TLB161" s="679"/>
      <c r="TLC161" s="679"/>
      <c r="TLD161" s="679"/>
      <c r="TLE161" s="679"/>
      <c r="TLF161" s="679"/>
      <c r="TLG161" s="679"/>
      <c r="TLH161" s="679"/>
      <c r="TLI161" s="679"/>
      <c r="TLJ161" s="679"/>
      <c r="TLK161" s="679"/>
      <c r="TLL161" s="679"/>
      <c r="TLM161" s="679"/>
      <c r="TLN161" s="679"/>
      <c r="TLO161" s="679"/>
      <c r="TLP161" s="679"/>
      <c r="TLQ161" s="679"/>
      <c r="TLR161" s="679"/>
      <c r="TLS161" s="679"/>
      <c r="TLT161" s="679"/>
      <c r="TLU161" s="679"/>
      <c r="TLV161" s="679"/>
      <c r="TLW161" s="679"/>
      <c r="TLX161" s="679"/>
      <c r="TLY161" s="679"/>
      <c r="TLZ161" s="679"/>
      <c r="TMA161" s="679"/>
      <c r="TMB161" s="679"/>
      <c r="TMC161" s="679"/>
      <c r="TMD161" s="679"/>
      <c r="TME161" s="679"/>
      <c r="TMF161" s="679"/>
      <c r="TMG161" s="679"/>
      <c r="TMH161" s="679"/>
      <c r="TMI161" s="679"/>
      <c r="TMJ161" s="679"/>
      <c r="TMK161" s="679"/>
      <c r="TML161" s="679"/>
      <c r="TMM161" s="679"/>
      <c r="TMN161" s="679"/>
      <c r="TMO161" s="679"/>
      <c r="TMP161" s="679"/>
      <c r="TMQ161" s="679"/>
      <c r="TMR161" s="679"/>
      <c r="TMS161" s="679"/>
      <c r="TMT161" s="679"/>
      <c r="TMU161" s="679"/>
      <c r="TMV161" s="679"/>
      <c r="TMW161" s="679"/>
      <c r="TMX161" s="679"/>
      <c r="TMY161" s="679"/>
      <c r="TMZ161" s="679"/>
      <c r="TNA161" s="679"/>
      <c r="TNB161" s="679"/>
      <c r="TNC161" s="679"/>
      <c r="TND161" s="679"/>
      <c r="TNE161" s="679"/>
      <c r="TNF161" s="679"/>
      <c r="TNG161" s="679"/>
      <c r="TNH161" s="679"/>
      <c r="TNI161" s="679"/>
      <c r="TNJ161" s="679"/>
      <c r="TNK161" s="679"/>
      <c r="TNL161" s="679"/>
      <c r="TNM161" s="679"/>
      <c r="TNN161" s="679"/>
      <c r="TNO161" s="679"/>
      <c r="TNP161" s="679"/>
      <c r="TNQ161" s="679"/>
      <c r="TNR161" s="679"/>
      <c r="TNS161" s="679"/>
      <c r="TNT161" s="679"/>
      <c r="TNU161" s="679"/>
      <c r="TNV161" s="679"/>
      <c r="TNW161" s="679"/>
      <c r="TNX161" s="679"/>
      <c r="TNY161" s="679"/>
      <c r="TNZ161" s="679"/>
      <c r="TOA161" s="679"/>
      <c r="TOB161" s="679"/>
      <c r="TOC161" s="679"/>
      <c r="TOD161" s="679"/>
      <c r="TOE161" s="679"/>
      <c r="TOF161" s="679"/>
      <c r="TOG161" s="679"/>
      <c r="TOH161" s="679"/>
      <c r="TOI161" s="679"/>
      <c r="TOJ161" s="679"/>
      <c r="TOK161" s="679"/>
      <c r="TOL161" s="679"/>
      <c r="TOM161" s="679"/>
      <c r="TON161" s="679"/>
      <c r="TOO161" s="679"/>
      <c r="TOP161" s="679"/>
      <c r="TOQ161" s="679"/>
      <c r="TOR161" s="679"/>
      <c r="TOS161" s="679"/>
      <c r="TOT161" s="679"/>
      <c r="TOU161" s="679"/>
      <c r="TOV161" s="679"/>
      <c r="TOW161" s="679"/>
      <c r="TOX161" s="679"/>
      <c r="TOY161" s="679"/>
      <c r="TOZ161" s="679"/>
      <c r="TPA161" s="679"/>
      <c r="TPB161" s="679"/>
      <c r="TPC161" s="679"/>
      <c r="TPD161" s="679"/>
      <c r="TPE161" s="679"/>
      <c r="TPF161" s="679"/>
      <c r="TPG161" s="679"/>
      <c r="TPH161" s="679"/>
      <c r="TPI161" s="679"/>
      <c r="TPJ161" s="679"/>
      <c r="TPK161" s="679"/>
      <c r="TPL161" s="679"/>
      <c r="TPM161" s="679"/>
      <c r="TPN161" s="679"/>
      <c r="TPO161" s="679"/>
      <c r="TPP161" s="679"/>
      <c r="TPQ161" s="679"/>
      <c r="TPR161" s="679"/>
      <c r="TPS161" s="679"/>
      <c r="TPT161" s="679"/>
      <c r="TPU161" s="679"/>
      <c r="TPV161" s="679"/>
      <c r="TPW161" s="679"/>
      <c r="TPX161" s="679"/>
      <c r="TPY161" s="679"/>
      <c r="TPZ161" s="679"/>
      <c r="TQA161" s="679"/>
      <c r="TQB161" s="679"/>
      <c r="TQC161" s="679"/>
      <c r="TQD161" s="679"/>
      <c r="TQE161" s="679"/>
      <c r="TQF161" s="679"/>
      <c r="TQG161" s="679"/>
      <c r="TQH161" s="679"/>
      <c r="TQI161" s="679"/>
      <c r="TQJ161" s="679"/>
      <c r="TQK161" s="679"/>
      <c r="TQL161" s="679"/>
      <c r="TQM161" s="679"/>
      <c r="TQN161" s="679"/>
      <c r="TQO161" s="679"/>
      <c r="TQP161" s="679"/>
      <c r="TQQ161" s="679"/>
      <c r="TQR161" s="679"/>
      <c r="TQS161" s="679"/>
      <c r="TQT161" s="679"/>
      <c r="TQU161" s="679"/>
      <c r="TQV161" s="679"/>
      <c r="TQW161" s="679"/>
      <c r="TQX161" s="679"/>
      <c r="TQY161" s="679"/>
      <c r="TQZ161" s="679"/>
      <c r="TRA161" s="679"/>
      <c r="TRB161" s="679"/>
      <c r="TRC161" s="679"/>
      <c r="TRD161" s="679"/>
      <c r="TRE161" s="679"/>
      <c r="TRF161" s="679"/>
      <c r="TRG161" s="679"/>
      <c r="TRH161" s="679"/>
      <c r="TRI161" s="679"/>
      <c r="TRJ161" s="679"/>
      <c r="TRK161" s="679"/>
      <c r="TRL161" s="679"/>
      <c r="TRM161" s="679"/>
      <c r="TRN161" s="679"/>
      <c r="TRO161" s="679"/>
      <c r="TRP161" s="679"/>
      <c r="TRQ161" s="679"/>
      <c r="TRR161" s="679"/>
      <c r="TRS161" s="679"/>
      <c r="TRT161" s="679"/>
      <c r="TRU161" s="679"/>
      <c r="TRV161" s="679"/>
      <c r="TRW161" s="679"/>
      <c r="TRX161" s="679"/>
      <c r="TRY161" s="679"/>
      <c r="TRZ161" s="679"/>
      <c r="TSA161" s="679"/>
      <c r="TSB161" s="679"/>
      <c r="TSC161" s="679"/>
      <c r="TSD161" s="679"/>
      <c r="TSE161" s="679"/>
      <c r="TSF161" s="679"/>
      <c r="TSG161" s="679"/>
      <c r="TSH161" s="679"/>
      <c r="TSI161" s="679"/>
      <c r="TSJ161" s="679"/>
      <c r="TSK161" s="679"/>
      <c r="TSL161" s="679"/>
      <c r="TSM161" s="679"/>
      <c r="TSN161" s="679"/>
      <c r="TSO161" s="679"/>
      <c r="TSP161" s="679"/>
      <c r="TSQ161" s="679"/>
      <c r="TSR161" s="679"/>
      <c r="TSS161" s="679"/>
      <c r="TST161" s="679"/>
      <c r="TSU161" s="679"/>
      <c r="TSV161" s="679"/>
      <c r="TSW161" s="679"/>
      <c r="TSX161" s="679"/>
      <c r="TSY161" s="679"/>
      <c r="TSZ161" s="679"/>
      <c r="TTA161" s="679"/>
      <c r="TTB161" s="679"/>
      <c r="TTC161" s="679"/>
      <c r="TTD161" s="679"/>
      <c r="TTE161" s="679"/>
      <c r="TTF161" s="679"/>
      <c r="TTG161" s="679"/>
      <c r="TTH161" s="679"/>
      <c r="TTI161" s="679"/>
      <c r="TTJ161" s="679"/>
      <c r="TTK161" s="679"/>
      <c r="TTL161" s="679"/>
      <c r="TTM161" s="679"/>
      <c r="TTN161" s="679"/>
      <c r="TTO161" s="679"/>
      <c r="TTP161" s="679"/>
      <c r="TTQ161" s="679"/>
      <c r="TTR161" s="679"/>
      <c r="TTS161" s="679"/>
      <c r="TTT161" s="679"/>
      <c r="TTU161" s="679"/>
      <c r="TTV161" s="679"/>
      <c r="TTW161" s="679"/>
      <c r="TTX161" s="679"/>
      <c r="TTY161" s="679"/>
      <c r="TTZ161" s="679"/>
      <c r="TUA161" s="679"/>
      <c r="TUB161" s="679"/>
      <c r="TUC161" s="679"/>
      <c r="TUD161" s="679"/>
      <c r="TUE161" s="679"/>
      <c r="TUF161" s="679"/>
      <c r="TUG161" s="679"/>
      <c r="TUH161" s="679"/>
      <c r="TUI161" s="679"/>
      <c r="TUJ161" s="679"/>
      <c r="TUK161" s="679"/>
      <c r="TUL161" s="679"/>
      <c r="TUM161" s="679"/>
      <c r="TUN161" s="679"/>
      <c r="TUO161" s="679"/>
      <c r="TUP161" s="679"/>
      <c r="TUQ161" s="679"/>
      <c r="TUR161" s="679"/>
      <c r="TUS161" s="679"/>
      <c r="TUT161" s="679"/>
      <c r="TUU161" s="679"/>
      <c r="TUV161" s="679"/>
      <c r="TUW161" s="679"/>
      <c r="TUX161" s="679"/>
      <c r="TUY161" s="679"/>
      <c r="TUZ161" s="679"/>
      <c r="TVA161" s="679"/>
      <c r="TVB161" s="679"/>
      <c r="TVC161" s="679"/>
      <c r="TVD161" s="679"/>
      <c r="TVE161" s="679"/>
      <c r="TVF161" s="679"/>
      <c r="TVG161" s="679"/>
      <c r="TVH161" s="679"/>
      <c r="TVI161" s="679"/>
      <c r="TVJ161" s="679"/>
      <c r="TVK161" s="679"/>
      <c r="TVL161" s="679"/>
      <c r="TVM161" s="679"/>
      <c r="TVN161" s="679"/>
      <c r="TVO161" s="679"/>
      <c r="TVP161" s="679"/>
      <c r="TVQ161" s="679"/>
      <c r="TVR161" s="679"/>
      <c r="TVS161" s="679"/>
      <c r="TVT161" s="679"/>
      <c r="TVU161" s="679"/>
      <c r="TVV161" s="679"/>
      <c r="TVW161" s="679"/>
      <c r="TVX161" s="679"/>
      <c r="TVY161" s="679"/>
      <c r="TVZ161" s="679"/>
      <c r="TWA161" s="679"/>
      <c r="TWB161" s="679"/>
      <c r="TWC161" s="679"/>
      <c r="TWD161" s="679"/>
      <c r="TWE161" s="679"/>
      <c r="TWF161" s="679"/>
      <c r="TWG161" s="679"/>
      <c r="TWH161" s="679"/>
      <c r="TWI161" s="679"/>
      <c r="TWJ161" s="679"/>
      <c r="TWK161" s="679"/>
      <c r="TWL161" s="679"/>
      <c r="TWM161" s="679"/>
      <c r="TWN161" s="679"/>
      <c r="TWO161" s="679"/>
      <c r="TWP161" s="679"/>
      <c r="TWQ161" s="679"/>
      <c r="TWR161" s="679"/>
      <c r="TWS161" s="679"/>
      <c r="TWT161" s="679"/>
      <c r="TWU161" s="679"/>
      <c r="TWV161" s="679"/>
      <c r="TWW161" s="679"/>
      <c r="TWX161" s="679"/>
      <c r="TWY161" s="679"/>
      <c r="TWZ161" s="679"/>
      <c r="TXA161" s="679"/>
      <c r="TXB161" s="679"/>
      <c r="TXC161" s="679"/>
      <c r="TXD161" s="679"/>
      <c r="TXE161" s="679"/>
      <c r="TXF161" s="679"/>
      <c r="TXG161" s="679"/>
      <c r="TXH161" s="679"/>
      <c r="TXI161" s="679"/>
      <c r="TXJ161" s="679"/>
      <c r="TXK161" s="679"/>
      <c r="TXL161" s="679"/>
      <c r="TXM161" s="679"/>
      <c r="TXN161" s="679"/>
      <c r="TXO161" s="679"/>
      <c r="TXP161" s="679"/>
      <c r="TXQ161" s="679"/>
      <c r="TXR161" s="679"/>
      <c r="TXS161" s="679"/>
      <c r="TXT161" s="679"/>
      <c r="TXU161" s="679"/>
      <c r="TXV161" s="679"/>
      <c r="TXW161" s="679"/>
      <c r="TXX161" s="679"/>
      <c r="TXY161" s="679"/>
      <c r="TXZ161" s="679"/>
      <c r="TYA161" s="679"/>
      <c r="TYB161" s="679"/>
      <c r="TYC161" s="679"/>
      <c r="TYD161" s="679"/>
      <c r="TYE161" s="679"/>
      <c r="TYF161" s="679"/>
      <c r="TYG161" s="679"/>
      <c r="TYH161" s="679"/>
      <c r="TYI161" s="679"/>
      <c r="TYJ161" s="679"/>
      <c r="TYK161" s="679"/>
      <c r="TYL161" s="679"/>
      <c r="TYM161" s="679"/>
      <c r="TYN161" s="679"/>
      <c r="TYO161" s="679"/>
      <c r="TYP161" s="679"/>
      <c r="TYQ161" s="679"/>
      <c r="TYR161" s="679"/>
      <c r="TYS161" s="679"/>
      <c r="TYT161" s="679"/>
      <c r="TYU161" s="679"/>
      <c r="TYV161" s="679"/>
      <c r="TYW161" s="679"/>
      <c r="TYX161" s="679"/>
      <c r="TYY161" s="679"/>
      <c r="TYZ161" s="679"/>
      <c r="TZA161" s="679"/>
      <c r="TZB161" s="679"/>
      <c r="TZC161" s="679"/>
      <c r="TZD161" s="679"/>
      <c r="TZE161" s="679"/>
      <c r="TZF161" s="679"/>
      <c r="TZG161" s="679"/>
      <c r="TZH161" s="679"/>
      <c r="TZI161" s="679"/>
      <c r="TZJ161" s="679"/>
      <c r="TZK161" s="679"/>
      <c r="TZL161" s="679"/>
      <c r="TZM161" s="679"/>
      <c r="TZN161" s="679"/>
      <c r="TZO161" s="679"/>
      <c r="TZP161" s="679"/>
      <c r="TZQ161" s="679"/>
      <c r="TZR161" s="679"/>
      <c r="TZS161" s="679"/>
      <c r="TZT161" s="679"/>
      <c r="TZU161" s="679"/>
      <c r="TZV161" s="679"/>
      <c r="TZW161" s="679"/>
      <c r="TZX161" s="679"/>
      <c r="TZY161" s="679"/>
      <c r="TZZ161" s="679"/>
      <c r="UAA161" s="679"/>
      <c r="UAB161" s="679"/>
      <c r="UAC161" s="679"/>
      <c r="UAD161" s="679"/>
      <c r="UAE161" s="679"/>
      <c r="UAF161" s="679"/>
      <c r="UAG161" s="679"/>
      <c r="UAH161" s="679"/>
      <c r="UAI161" s="679"/>
      <c r="UAJ161" s="679"/>
      <c r="UAK161" s="679"/>
      <c r="UAL161" s="679"/>
      <c r="UAM161" s="679"/>
      <c r="UAN161" s="679"/>
      <c r="UAO161" s="679"/>
      <c r="UAP161" s="679"/>
      <c r="UAQ161" s="679"/>
      <c r="UAR161" s="679"/>
      <c r="UAS161" s="679"/>
      <c r="UAT161" s="679"/>
      <c r="UAU161" s="679"/>
      <c r="UAV161" s="679"/>
      <c r="UAW161" s="679"/>
      <c r="UAX161" s="679"/>
      <c r="UAY161" s="679"/>
      <c r="UAZ161" s="679"/>
      <c r="UBA161" s="679"/>
      <c r="UBB161" s="679"/>
      <c r="UBC161" s="679"/>
      <c r="UBD161" s="679"/>
      <c r="UBE161" s="679"/>
      <c r="UBF161" s="679"/>
      <c r="UBG161" s="679"/>
      <c r="UBH161" s="679"/>
      <c r="UBI161" s="679"/>
      <c r="UBJ161" s="679"/>
      <c r="UBK161" s="679"/>
      <c r="UBL161" s="679"/>
      <c r="UBM161" s="679"/>
      <c r="UBN161" s="679"/>
      <c r="UBO161" s="679"/>
      <c r="UBP161" s="679"/>
      <c r="UBQ161" s="679"/>
      <c r="UBR161" s="679"/>
      <c r="UBS161" s="679"/>
      <c r="UBT161" s="679"/>
      <c r="UBU161" s="679"/>
      <c r="UBV161" s="679"/>
      <c r="UBW161" s="679"/>
      <c r="UBX161" s="679"/>
      <c r="UBY161" s="679"/>
      <c r="UBZ161" s="679"/>
      <c r="UCA161" s="679"/>
      <c r="UCB161" s="679"/>
      <c r="UCC161" s="679"/>
      <c r="UCD161" s="679"/>
      <c r="UCE161" s="679"/>
      <c r="UCF161" s="679"/>
      <c r="UCG161" s="679"/>
      <c r="UCH161" s="679"/>
      <c r="UCI161" s="679"/>
      <c r="UCJ161" s="679"/>
      <c r="UCK161" s="679"/>
      <c r="UCL161" s="679"/>
      <c r="UCM161" s="679"/>
      <c r="UCN161" s="679"/>
      <c r="UCO161" s="679"/>
      <c r="UCP161" s="679"/>
      <c r="UCQ161" s="679"/>
      <c r="UCR161" s="679"/>
      <c r="UCS161" s="679"/>
      <c r="UCT161" s="679"/>
      <c r="UCU161" s="679"/>
      <c r="UCV161" s="679"/>
      <c r="UCW161" s="679"/>
      <c r="UCX161" s="679"/>
      <c r="UCY161" s="679"/>
      <c r="UCZ161" s="679"/>
      <c r="UDA161" s="679"/>
      <c r="UDB161" s="679"/>
      <c r="UDC161" s="679"/>
      <c r="UDD161" s="679"/>
      <c r="UDE161" s="679"/>
      <c r="UDF161" s="679"/>
      <c r="UDG161" s="679"/>
      <c r="UDH161" s="679"/>
      <c r="UDI161" s="679"/>
      <c r="UDJ161" s="679"/>
      <c r="UDK161" s="679"/>
      <c r="UDL161" s="679"/>
      <c r="UDM161" s="679"/>
      <c r="UDN161" s="679"/>
      <c r="UDO161" s="679"/>
      <c r="UDP161" s="679"/>
      <c r="UDQ161" s="679"/>
      <c r="UDR161" s="679"/>
      <c r="UDS161" s="679"/>
      <c r="UDT161" s="679"/>
      <c r="UDU161" s="679"/>
      <c r="UDV161" s="679"/>
      <c r="UDW161" s="679"/>
      <c r="UDX161" s="679"/>
      <c r="UDY161" s="679"/>
      <c r="UDZ161" s="679"/>
      <c r="UEA161" s="679"/>
      <c r="UEB161" s="679"/>
      <c r="UEC161" s="679"/>
      <c r="UED161" s="679"/>
      <c r="UEE161" s="679"/>
      <c r="UEF161" s="679"/>
      <c r="UEG161" s="679"/>
      <c r="UEH161" s="679"/>
      <c r="UEI161" s="679"/>
      <c r="UEJ161" s="679"/>
      <c r="UEK161" s="679"/>
      <c r="UEL161" s="679"/>
      <c r="UEM161" s="679"/>
      <c r="UEN161" s="679"/>
      <c r="UEO161" s="679"/>
      <c r="UEP161" s="679"/>
      <c r="UEQ161" s="679"/>
      <c r="UER161" s="679"/>
      <c r="UES161" s="679"/>
      <c r="UET161" s="679"/>
      <c r="UEU161" s="679"/>
      <c r="UEV161" s="679"/>
      <c r="UEW161" s="679"/>
      <c r="UEX161" s="679"/>
      <c r="UEY161" s="679"/>
      <c r="UEZ161" s="679"/>
      <c r="UFA161" s="679"/>
      <c r="UFB161" s="679"/>
      <c r="UFC161" s="679"/>
      <c r="UFD161" s="679"/>
      <c r="UFE161" s="679"/>
      <c r="UFF161" s="679"/>
      <c r="UFG161" s="679"/>
      <c r="UFH161" s="679"/>
      <c r="UFI161" s="679"/>
      <c r="UFJ161" s="679"/>
      <c r="UFK161" s="679"/>
      <c r="UFL161" s="679"/>
      <c r="UFM161" s="679"/>
      <c r="UFN161" s="679"/>
      <c r="UFO161" s="679"/>
      <c r="UFP161" s="679"/>
      <c r="UFQ161" s="679"/>
      <c r="UFR161" s="679"/>
      <c r="UFS161" s="679"/>
      <c r="UFT161" s="679"/>
      <c r="UFU161" s="679"/>
      <c r="UFV161" s="679"/>
      <c r="UFW161" s="679"/>
      <c r="UFX161" s="679"/>
      <c r="UFY161" s="679"/>
      <c r="UFZ161" s="679"/>
      <c r="UGA161" s="679"/>
      <c r="UGB161" s="679"/>
      <c r="UGC161" s="679"/>
      <c r="UGD161" s="679"/>
      <c r="UGE161" s="679"/>
      <c r="UGF161" s="679"/>
      <c r="UGG161" s="679"/>
      <c r="UGH161" s="679"/>
      <c r="UGI161" s="679"/>
      <c r="UGJ161" s="679"/>
      <c r="UGK161" s="679"/>
      <c r="UGL161" s="679"/>
      <c r="UGM161" s="679"/>
      <c r="UGN161" s="679"/>
      <c r="UGO161" s="679"/>
      <c r="UGP161" s="679"/>
      <c r="UGQ161" s="679"/>
      <c r="UGR161" s="679"/>
      <c r="UGS161" s="679"/>
      <c r="UGT161" s="679"/>
      <c r="UGU161" s="679"/>
      <c r="UGV161" s="679"/>
      <c r="UGW161" s="679"/>
      <c r="UGX161" s="679"/>
      <c r="UGY161" s="679"/>
      <c r="UGZ161" s="679"/>
      <c r="UHA161" s="679"/>
      <c r="UHB161" s="679"/>
      <c r="UHC161" s="679"/>
      <c r="UHD161" s="679"/>
      <c r="UHE161" s="679"/>
      <c r="UHF161" s="679"/>
      <c r="UHG161" s="679"/>
      <c r="UHH161" s="679"/>
      <c r="UHI161" s="679"/>
      <c r="UHJ161" s="679"/>
      <c r="UHK161" s="679"/>
      <c r="UHL161" s="679"/>
      <c r="UHM161" s="679"/>
      <c r="UHN161" s="679"/>
      <c r="UHO161" s="679"/>
      <c r="UHP161" s="679"/>
      <c r="UHQ161" s="679"/>
      <c r="UHR161" s="679"/>
      <c r="UHS161" s="679"/>
      <c r="UHT161" s="679"/>
      <c r="UHU161" s="679"/>
      <c r="UHV161" s="679"/>
      <c r="UHW161" s="679"/>
      <c r="UHX161" s="679"/>
      <c r="UHY161" s="679"/>
      <c r="UHZ161" s="679"/>
      <c r="UIA161" s="679"/>
      <c r="UIB161" s="679"/>
      <c r="UIC161" s="679"/>
      <c r="UID161" s="679"/>
      <c r="UIE161" s="679"/>
      <c r="UIF161" s="679"/>
      <c r="UIG161" s="679"/>
      <c r="UIH161" s="679"/>
      <c r="UII161" s="679"/>
      <c r="UIJ161" s="679"/>
      <c r="UIK161" s="679"/>
      <c r="UIL161" s="679"/>
      <c r="UIM161" s="679"/>
      <c r="UIN161" s="679"/>
      <c r="UIO161" s="679"/>
      <c r="UIP161" s="679"/>
      <c r="UIQ161" s="679"/>
      <c r="UIR161" s="679"/>
      <c r="UIS161" s="679"/>
      <c r="UIT161" s="679"/>
      <c r="UIU161" s="679"/>
      <c r="UIV161" s="679"/>
      <c r="UIW161" s="679"/>
      <c r="UIX161" s="679"/>
      <c r="UIY161" s="679"/>
      <c r="UIZ161" s="679"/>
      <c r="UJA161" s="679"/>
      <c r="UJB161" s="679"/>
      <c r="UJC161" s="679"/>
      <c r="UJD161" s="679"/>
      <c r="UJE161" s="679"/>
      <c r="UJF161" s="679"/>
      <c r="UJG161" s="679"/>
      <c r="UJH161" s="679"/>
      <c r="UJI161" s="679"/>
      <c r="UJJ161" s="679"/>
      <c r="UJK161" s="679"/>
      <c r="UJL161" s="679"/>
      <c r="UJM161" s="679"/>
      <c r="UJN161" s="679"/>
      <c r="UJO161" s="679"/>
      <c r="UJP161" s="679"/>
      <c r="UJQ161" s="679"/>
      <c r="UJR161" s="679"/>
      <c r="UJS161" s="679"/>
      <c r="UJT161" s="679"/>
      <c r="UJU161" s="679"/>
      <c r="UJV161" s="679"/>
      <c r="UJW161" s="679"/>
      <c r="UJX161" s="679"/>
      <c r="UJY161" s="679"/>
      <c r="UJZ161" s="679"/>
      <c r="UKA161" s="679"/>
      <c r="UKB161" s="679"/>
      <c r="UKC161" s="679"/>
      <c r="UKD161" s="679"/>
      <c r="UKE161" s="679"/>
      <c r="UKF161" s="679"/>
      <c r="UKG161" s="679"/>
      <c r="UKH161" s="679"/>
      <c r="UKI161" s="679"/>
      <c r="UKJ161" s="679"/>
      <c r="UKK161" s="679"/>
      <c r="UKL161" s="679"/>
      <c r="UKM161" s="679"/>
      <c r="UKN161" s="679"/>
      <c r="UKO161" s="679"/>
      <c r="UKP161" s="679"/>
      <c r="UKQ161" s="679"/>
      <c r="UKR161" s="679"/>
      <c r="UKS161" s="679"/>
      <c r="UKT161" s="679"/>
      <c r="UKU161" s="679"/>
      <c r="UKV161" s="679"/>
      <c r="UKW161" s="679"/>
      <c r="UKX161" s="679"/>
      <c r="UKY161" s="679"/>
      <c r="UKZ161" s="679"/>
      <c r="ULA161" s="679"/>
      <c r="ULB161" s="679"/>
      <c r="ULC161" s="679"/>
      <c r="ULD161" s="679"/>
      <c r="ULE161" s="679"/>
      <c r="ULF161" s="679"/>
      <c r="ULG161" s="679"/>
      <c r="ULH161" s="679"/>
      <c r="ULI161" s="679"/>
      <c r="ULJ161" s="679"/>
      <c r="ULK161" s="679"/>
      <c r="ULL161" s="679"/>
      <c r="ULM161" s="679"/>
      <c r="ULN161" s="679"/>
      <c r="ULO161" s="679"/>
      <c r="ULP161" s="679"/>
      <c r="ULQ161" s="679"/>
      <c r="ULR161" s="679"/>
      <c r="ULS161" s="679"/>
      <c r="ULT161" s="679"/>
      <c r="ULU161" s="679"/>
      <c r="ULV161" s="679"/>
      <c r="ULW161" s="679"/>
      <c r="ULX161" s="679"/>
      <c r="ULY161" s="679"/>
      <c r="ULZ161" s="679"/>
      <c r="UMA161" s="679"/>
      <c r="UMB161" s="679"/>
      <c r="UMC161" s="679"/>
      <c r="UMD161" s="679"/>
      <c r="UME161" s="679"/>
      <c r="UMF161" s="679"/>
      <c r="UMG161" s="679"/>
      <c r="UMH161" s="679"/>
      <c r="UMI161" s="679"/>
      <c r="UMJ161" s="679"/>
      <c r="UMK161" s="679"/>
      <c r="UML161" s="679"/>
      <c r="UMM161" s="679"/>
      <c r="UMN161" s="679"/>
      <c r="UMO161" s="679"/>
      <c r="UMP161" s="679"/>
      <c r="UMQ161" s="679"/>
      <c r="UMR161" s="679"/>
      <c r="UMS161" s="679"/>
      <c r="UMT161" s="679"/>
      <c r="UMU161" s="679"/>
      <c r="UMV161" s="679"/>
      <c r="UMW161" s="679"/>
      <c r="UMX161" s="679"/>
      <c r="UMY161" s="679"/>
      <c r="UMZ161" s="679"/>
      <c r="UNA161" s="679"/>
      <c r="UNB161" s="679"/>
      <c r="UNC161" s="679"/>
      <c r="UND161" s="679"/>
      <c r="UNE161" s="679"/>
      <c r="UNF161" s="679"/>
      <c r="UNG161" s="679"/>
      <c r="UNH161" s="679"/>
      <c r="UNI161" s="679"/>
      <c r="UNJ161" s="679"/>
      <c r="UNK161" s="679"/>
      <c r="UNL161" s="679"/>
      <c r="UNM161" s="679"/>
      <c r="UNN161" s="679"/>
      <c r="UNO161" s="679"/>
      <c r="UNP161" s="679"/>
      <c r="UNQ161" s="679"/>
      <c r="UNR161" s="679"/>
      <c r="UNS161" s="679"/>
      <c r="UNT161" s="679"/>
      <c r="UNU161" s="679"/>
      <c r="UNV161" s="679"/>
      <c r="UNW161" s="679"/>
      <c r="UNX161" s="679"/>
      <c r="UNY161" s="679"/>
      <c r="UNZ161" s="679"/>
      <c r="UOA161" s="679"/>
      <c r="UOB161" s="679"/>
      <c r="UOC161" s="679"/>
      <c r="UOD161" s="679"/>
      <c r="UOE161" s="679"/>
      <c r="UOF161" s="679"/>
      <c r="UOG161" s="679"/>
      <c r="UOH161" s="679"/>
      <c r="UOI161" s="679"/>
      <c r="UOJ161" s="679"/>
      <c r="UOK161" s="679"/>
      <c r="UOL161" s="679"/>
      <c r="UOM161" s="679"/>
      <c r="UON161" s="679"/>
      <c r="UOO161" s="679"/>
      <c r="UOP161" s="679"/>
      <c r="UOQ161" s="679"/>
      <c r="UOR161" s="679"/>
      <c r="UOS161" s="679"/>
      <c r="UOT161" s="679"/>
      <c r="UOU161" s="679"/>
      <c r="UOV161" s="679"/>
      <c r="UOW161" s="679"/>
      <c r="UOX161" s="679"/>
      <c r="UOY161" s="679"/>
      <c r="UOZ161" s="679"/>
      <c r="UPA161" s="679"/>
      <c r="UPB161" s="679"/>
      <c r="UPC161" s="679"/>
      <c r="UPD161" s="679"/>
      <c r="UPE161" s="679"/>
      <c r="UPF161" s="679"/>
      <c r="UPG161" s="679"/>
      <c r="UPH161" s="679"/>
      <c r="UPI161" s="679"/>
      <c r="UPJ161" s="679"/>
      <c r="UPK161" s="679"/>
      <c r="UPL161" s="679"/>
      <c r="UPM161" s="679"/>
      <c r="UPN161" s="679"/>
      <c r="UPO161" s="679"/>
      <c r="UPP161" s="679"/>
      <c r="UPQ161" s="679"/>
      <c r="UPR161" s="679"/>
      <c r="UPS161" s="679"/>
      <c r="UPT161" s="679"/>
      <c r="UPU161" s="679"/>
      <c r="UPV161" s="679"/>
      <c r="UPW161" s="679"/>
      <c r="UPX161" s="679"/>
      <c r="UPY161" s="679"/>
      <c r="UPZ161" s="679"/>
      <c r="UQA161" s="679"/>
      <c r="UQB161" s="679"/>
      <c r="UQC161" s="679"/>
      <c r="UQD161" s="679"/>
      <c r="UQE161" s="679"/>
      <c r="UQF161" s="679"/>
      <c r="UQG161" s="679"/>
      <c r="UQH161" s="679"/>
      <c r="UQI161" s="679"/>
      <c r="UQJ161" s="679"/>
      <c r="UQK161" s="679"/>
      <c r="UQL161" s="679"/>
      <c r="UQM161" s="679"/>
      <c r="UQN161" s="679"/>
      <c r="UQO161" s="679"/>
      <c r="UQP161" s="679"/>
      <c r="UQQ161" s="679"/>
      <c r="UQR161" s="679"/>
      <c r="UQS161" s="679"/>
      <c r="UQT161" s="679"/>
      <c r="UQU161" s="679"/>
      <c r="UQV161" s="679"/>
      <c r="UQW161" s="679"/>
      <c r="UQX161" s="679"/>
      <c r="UQY161" s="679"/>
      <c r="UQZ161" s="679"/>
      <c r="URA161" s="679"/>
      <c r="URB161" s="679"/>
      <c r="URC161" s="679"/>
      <c r="URD161" s="679"/>
      <c r="URE161" s="679"/>
      <c r="URF161" s="679"/>
      <c r="URG161" s="679"/>
      <c r="URH161" s="679"/>
      <c r="URI161" s="679"/>
      <c r="URJ161" s="679"/>
      <c r="URK161" s="679"/>
      <c r="URL161" s="679"/>
      <c r="URM161" s="679"/>
      <c r="URN161" s="679"/>
      <c r="URO161" s="679"/>
      <c r="URP161" s="679"/>
      <c r="URQ161" s="679"/>
      <c r="URR161" s="679"/>
      <c r="URS161" s="679"/>
      <c r="URT161" s="679"/>
      <c r="URU161" s="679"/>
      <c r="URV161" s="679"/>
      <c r="URW161" s="679"/>
      <c r="URX161" s="679"/>
      <c r="URY161" s="679"/>
      <c r="URZ161" s="679"/>
      <c r="USA161" s="679"/>
      <c r="USB161" s="679"/>
      <c r="USC161" s="679"/>
      <c r="USD161" s="679"/>
      <c r="USE161" s="679"/>
      <c r="USF161" s="679"/>
      <c r="USG161" s="679"/>
      <c r="USH161" s="679"/>
      <c r="USI161" s="679"/>
      <c r="USJ161" s="679"/>
      <c r="USK161" s="679"/>
      <c r="USL161" s="679"/>
      <c r="USM161" s="679"/>
      <c r="USN161" s="679"/>
      <c r="USO161" s="679"/>
      <c r="USP161" s="679"/>
      <c r="USQ161" s="679"/>
      <c r="USR161" s="679"/>
      <c r="USS161" s="679"/>
      <c r="UST161" s="679"/>
      <c r="USU161" s="679"/>
      <c r="USV161" s="679"/>
      <c r="USW161" s="679"/>
      <c r="USX161" s="679"/>
      <c r="USY161" s="679"/>
      <c r="USZ161" s="679"/>
      <c r="UTA161" s="679"/>
      <c r="UTB161" s="679"/>
      <c r="UTC161" s="679"/>
      <c r="UTD161" s="679"/>
      <c r="UTE161" s="679"/>
      <c r="UTF161" s="679"/>
      <c r="UTG161" s="679"/>
      <c r="UTH161" s="679"/>
      <c r="UTI161" s="679"/>
      <c r="UTJ161" s="679"/>
      <c r="UTK161" s="679"/>
      <c r="UTL161" s="679"/>
      <c r="UTM161" s="679"/>
      <c r="UTN161" s="679"/>
      <c r="UTO161" s="679"/>
      <c r="UTP161" s="679"/>
      <c r="UTQ161" s="679"/>
      <c r="UTR161" s="679"/>
      <c r="UTS161" s="679"/>
      <c r="UTT161" s="679"/>
      <c r="UTU161" s="679"/>
      <c r="UTV161" s="679"/>
      <c r="UTW161" s="679"/>
      <c r="UTX161" s="679"/>
      <c r="UTY161" s="679"/>
      <c r="UTZ161" s="679"/>
      <c r="UUA161" s="679"/>
      <c r="UUB161" s="679"/>
      <c r="UUC161" s="679"/>
      <c r="UUD161" s="679"/>
      <c r="UUE161" s="679"/>
      <c r="UUF161" s="679"/>
      <c r="UUG161" s="679"/>
      <c r="UUH161" s="679"/>
      <c r="UUI161" s="679"/>
      <c r="UUJ161" s="679"/>
      <c r="UUK161" s="679"/>
      <c r="UUL161" s="679"/>
      <c r="UUM161" s="679"/>
      <c r="UUN161" s="679"/>
      <c r="UUO161" s="679"/>
      <c r="UUP161" s="679"/>
      <c r="UUQ161" s="679"/>
      <c r="UUR161" s="679"/>
      <c r="UUS161" s="679"/>
      <c r="UUT161" s="679"/>
      <c r="UUU161" s="679"/>
      <c r="UUV161" s="679"/>
      <c r="UUW161" s="679"/>
      <c r="UUX161" s="679"/>
      <c r="UUY161" s="679"/>
      <c r="UUZ161" s="679"/>
      <c r="UVA161" s="679"/>
      <c r="UVB161" s="679"/>
      <c r="UVC161" s="679"/>
      <c r="UVD161" s="679"/>
      <c r="UVE161" s="679"/>
      <c r="UVF161" s="679"/>
      <c r="UVG161" s="679"/>
      <c r="UVH161" s="679"/>
      <c r="UVI161" s="679"/>
      <c r="UVJ161" s="679"/>
      <c r="UVK161" s="679"/>
      <c r="UVL161" s="679"/>
      <c r="UVM161" s="679"/>
      <c r="UVN161" s="679"/>
      <c r="UVO161" s="679"/>
      <c r="UVP161" s="679"/>
      <c r="UVQ161" s="679"/>
      <c r="UVR161" s="679"/>
      <c r="UVS161" s="679"/>
      <c r="UVT161" s="679"/>
      <c r="UVU161" s="679"/>
      <c r="UVV161" s="679"/>
      <c r="UVW161" s="679"/>
      <c r="UVX161" s="679"/>
      <c r="UVY161" s="679"/>
      <c r="UVZ161" s="679"/>
      <c r="UWA161" s="679"/>
      <c r="UWB161" s="679"/>
      <c r="UWC161" s="679"/>
      <c r="UWD161" s="679"/>
      <c r="UWE161" s="679"/>
      <c r="UWF161" s="679"/>
      <c r="UWG161" s="679"/>
      <c r="UWH161" s="679"/>
      <c r="UWI161" s="679"/>
      <c r="UWJ161" s="679"/>
      <c r="UWK161" s="679"/>
      <c r="UWL161" s="679"/>
      <c r="UWM161" s="679"/>
      <c r="UWN161" s="679"/>
      <c r="UWO161" s="679"/>
      <c r="UWP161" s="679"/>
      <c r="UWQ161" s="679"/>
      <c r="UWR161" s="679"/>
      <c r="UWS161" s="679"/>
      <c r="UWT161" s="679"/>
      <c r="UWU161" s="679"/>
      <c r="UWV161" s="679"/>
      <c r="UWW161" s="679"/>
      <c r="UWX161" s="679"/>
      <c r="UWY161" s="679"/>
      <c r="UWZ161" s="679"/>
      <c r="UXA161" s="679"/>
      <c r="UXB161" s="679"/>
      <c r="UXC161" s="679"/>
      <c r="UXD161" s="679"/>
      <c r="UXE161" s="679"/>
      <c r="UXF161" s="679"/>
      <c r="UXG161" s="679"/>
      <c r="UXH161" s="679"/>
      <c r="UXI161" s="679"/>
      <c r="UXJ161" s="679"/>
      <c r="UXK161" s="679"/>
      <c r="UXL161" s="679"/>
      <c r="UXM161" s="679"/>
      <c r="UXN161" s="679"/>
      <c r="UXO161" s="679"/>
      <c r="UXP161" s="679"/>
      <c r="UXQ161" s="679"/>
      <c r="UXR161" s="679"/>
      <c r="UXS161" s="679"/>
      <c r="UXT161" s="679"/>
      <c r="UXU161" s="679"/>
      <c r="UXV161" s="679"/>
      <c r="UXW161" s="679"/>
      <c r="UXX161" s="679"/>
      <c r="UXY161" s="679"/>
      <c r="UXZ161" s="679"/>
      <c r="UYA161" s="679"/>
      <c r="UYB161" s="679"/>
      <c r="UYC161" s="679"/>
      <c r="UYD161" s="679"/>
      <c r="UYE161" s="679"/>
      <c r="UYF161" s="679"/>
      <c r="UYG161" s="679"/>
      <c r="UYH161" s="679"/>
      <c r="UYI161" s="679"/>
      <c r="UYJ161" s="679"/>
      <c r="UYK161" s="679"/>
      <c r="UYL161" s="679"/>
      <c r="UYM161" s="679"/>
      <c r="UYN161" s="679"/>
      <c r="UYO161" s="679"/>
      <c r="UYP161" s="679"/>
      <c r="UYQ161" s="679"/>
      <c r="UYR161" s="679"/>
      <c r="UYS161" s="679"/>
      <c r="UYT161" s="679"/>
      <c r="UYU161" s="679"/>
      <c r="UYV161" s="679"/>
      <c r="UYW161" s="679"/>
      <c r="UYX161" s="679"/>
      <c r="UYY161" s="679"/>
      <c r="UYZ161" s="679"/>
      <c r="UZA161" s="679"/>
      <c r="UZB161" s="679"/>
      <c r="UZC161" s="679"/>
      <c r="UZD161" s="679"/>
      <c r="UZE161" s="679"/>
      <c r="UZF161" s="679"/>
      <c r="UZG161" s="679"/>
      <c r="UZH161" s="679"/>
      <c r="UZI161" s="679"/>
      <c r="UZJ161" s="679"/>
      <c r="UZK161" s="679"/>
      <c r="UZL161" s="679"/>
      <c r="UZM161" s="679"/>
      <c r="UZN161" s="679"/>
      <c r="UZO161" s="679"/>
      <c r="UZP161" s="679"/>
      <c r="UZQ161" s="679"/>
      <c r="UZR161" s="679"/>
      <c r="UZS161" s="679"/>
      <c r="UZT161" s="679"/>
      <c r="UZU161" s="679"/>
      <c r="UZV161" s="679"/>
      <c r="UZW161" s="679"/>
      <c r="UZX161" s="679"/>
      <c r="UZY161" s="679"/>
      <c r="UZZ161" s="679"/>
      <c r="VAA161" s="679"/>
      <c r="VAB161" s="679"/>
      <c r="VAC161" s="679"/>
      <c r="VAD161" s="679"/>
      <c r="VAE161" s="679"/>
      <c r="VAF161" s="679"/>
      <c r="VAG161" s="679"/>
      <c r="VAH161" s="679"/>
      <c r="VAI161" s="679"/>
      <c r="VAJ161" s="679"/>
      <c r="VAK161" s="679"/>
      <c r="VAL161" s="679"/>
      <c r="VAM161" s="679"/>
      <c r="VAN161" s="679"/>
      <c r="VAO161" s="679"/>
      <c r="VAP161" s="679"/>
      <c r="VAQ161" s="679"/>
      <c r="VAR161" s="679"/>
      <c r="VAS161" s="679"/>
      <c r="VAT161" s="679"/>
      <c r="VAU161" s="679"/>
      <c r="VAV161" s="679"/>
      <c r="VAW161" s="679"/>
      <c r="VAX161" s="679"/>
      <c r="VAY161" s="679"/>
      <c r="VAZ161" s="679"/>
      <c r="VBA161" s="679"/>
      <c r="VBB161" s="679"/>
      <c r="VBC161" s="679"/>
      <c r="VBD161" s="679"/>
      <c r="VBE161" s="679"/>
      <c r="VBF161" s="679"/>
      <c r="VBG161" s="679"/>
      <c r="VBH161" s="679"/>
      <c r="VBI161" s="679"/>
      <c r="VBJ161" s="679"/>
      <c r="VBK161" s="679"/>
      <c r="VBL161" s="679"/>
      <c r="VBM161" s="679"/>
      <c r="VBN161" s="679"/>
      <c r="VBO161" s="679"/>
      <c r="VBP161" s="679"/>
      <c r="VBQ161" s="679"/>
      <c r="VBR161" s="679"/>
      <c r="VBS161" s="679"/>
      <c r="VBT161" s="679"/>
      <c r="VBU161" s="679"/>
      <c r="VBV161" s="679"/>
      <c r="VBW161" s="679"/>
      <c r="VBX161" s="679"/>
      <c r="VBY161" s="679"/>
      <c r="VBZ161" s="679"/>
      <c r="VCA161" s="679"/>
      <c r="VCB161" s="679"/>
      <c r="VCC161" s="679"/>
      <c r="VCD161" s="679"/>
      <c r="VCE161" s="679"/>
      <c r="VCF161" s="679"/>
      <c r="VCG161" s="679"/>
      <c r="VCH161" s="679"/>
      <c r="VCI161" s="679"/>
      <c r="VCJ161" s="679"/>
      <c r="VCK161" s="679"/>
      <c r="VCL161" s="679"/>
      <c r="VCM161" s="679"/>
      <c r="VCN161" s="679"/>
      <c r="VCO161" s="679"/>
      <c r="VCP161" s="679"/>
      <c r="VCQ161" s="679"/>
      <c r="VCR161" s="679"/>
      <c r="VCS161" s="679"/>
      <c r="VCT161" s="679"/>
      <c r="VCU161" s="679"/>
      <c r="VCV161" s="679"/>
      <c r="VCW161" s="679"/>
      <c r="VCX161" s="679"/>
      <c r="VCY161" s="679"/>
      <c r="VCZ161" s="679"/>
      <c r="VDA161" s="679"/>
      <c r="VDB161" s="679"/>
      <c r="VDC161" s="679"/>
      <c r="VDD161" s="679"/>
      <c r="VDE161" s="679"/>
      <c r="VDF161" s="679"/>
      <c r="VDG161" s="679"/>
      <c r="VDH161" s="679"/>
      <c r="VDI161" s="679"/>
      <c r="VDJ161" s="679"/>
      <c r="VDK161" s="679"/>
      <c r="VDL161" s="679"/>
      <c r="VDM161" s="679"/>
      <c r="VDN161" s="679"/>
      <c r="VDO161" s="679"/>
      <c r="VDP161" s="679"/>
      <c r="VDQ161" s="679"/>
      <c r="VDR161" s="679"/>
      <c r="VDS161" s="679"/>
      <c r="VDT161" s="679"/>
      <c r="VDU161" s="679"/>
      <c r="VDV161" s="679"/>
      <c r="VDW161" s="679"/>
      <c r="VDX161" s="679"/>
      <c r="VDY161" s="679"/>
      <c r="VDZ161" s="679"/>
      <c r="VEA161" s="679"/>
      <c r="VEB161" s="679"/>
      <c r="VEC161" s="679"/>
      <c r="VED161" s="679"/>
      <c r="VEE161" s="679"/>
      <c r="VEF161" s="679"/>
      <c r="VEG161" s="679"/>
      <c r="VEH161" s="679"/>
      <c r="VEI161" s="679"/>
      <c r="VEJ161" s="679"/>
      <c r="VEK161" s="679"/>
      <c r="VEL161" s="679"/>
      <c r="VEM161" s="679"/>
      <c r="VEN161" s="679"/>
      <c r="VEO161" s="679"/>
      <c r="VEP161" s="679"/>
      <c r="VEQ161" s="679"/>
      <c r="VER161" s="679"/>
      <c r="VES161" s="679"/>
      <c r="VET161" s="679"/>
      <c r="VEU161" s="679"/>
      <c r="VEV161" s="679"/>
      <c r="VEW161" s="679"/>
      <c r="VEX161" s="679"/>
      <c r="VEY161" s="679"/>
      <c r="VEZ161" s="679"/>
      <c r="VFA161" s="679"/>
      <c r="VFB161" s="679"/>
      <c r="VFC161" s="679"/>
      <c r="VFD161" s="679"/>
      <c r="VFE161" s="679"/>
      <c r="VFF161" s="679"/>
      <c r="VFG161" s="679"/>
      <c r="VFH161" s="679"/>
      <c r="VFI161" s="679"/>
      <c r="VFJ161" s="679"/>
      <c r="VFK161" s="679"/>
      <c r="VFL161" s="679"/>
      <c r="VFM161" s="679"/>
      <c r="VFN161" s="679"/>
      <c r="VFO161" s="679"/>
      <c r="VFP161" s="679"/>
      <c r="VFQ161" s="679"/>
      <c r="VFR161" s="679"/>
      <c r="VFS161" s="679"/>
      <c r="VFT161" s="679"/>
      <c r="VFU161" s="679"/>
      <c r="VFV161" s="679"/>
      <c r="VFW161" s="679"/>
      <c r="VFX161" s="679"/>
      <c r="VFY161" s="679"/>
      <c r="VFZ161" s="679"/>
      <c r="VGA161" s="679"/>
      <c r="VGB161" s="679"/>
      <c r="VGC161" s="679"/>
      <c r="VGD161" s="679"/>
      <c r="VGE161" s="679"/>
      <c r="VGF161" s="679"/>
      <c r="VGG161" s="679"/>
      <c r="VGH161" s="679"/>
      <c r="VGI161" s="679"/>
      <c r="VGJ161" s="679"/>
      <c r="VGK161" s="679"/>
      <c r="VGL161" s="679"/>
      <c r="VGM161" s="679"/>
      <c r="VGN161" s="679"/>
      <c r="VGO161" s="679"/>
      <c r="VGP161" s="679"/>
      <c r="VGQ161" s="679"/>
      <c r="VGR161" s="679"/>
      <c r="VGS161" s="679"/>
      <c r="VGT161" s="679"/>
      <c r="VGU161" s="679"/>
      <c r="VGV161" s="679"/>
      <c r="VGW161" s="679"/>
      <c r="VGX161" s="679"/>
      <c r="VGY161" s="679"/>
      <c r="VGZ161" s="679"/>
      <c r="VHA161" s="679"/>
      <c r="VHB161" s="679"/>
      <c r="VHC161" s="679"/>
      <c r="VHD161" s="679"/>
      <c r="VHE161" s="679"/>
      <c r="VHF161" s="679"/>
      <c r="VHG161" s="679"/>
      <c r="VHH161" s="679"/>
      <c r="VHI161" s="679"/>
      <c r="VHJ161" s="679"/>
      <c r="VHK161" s="679"/>
      <c r="VHL161" s="679"/>
      <c r="VHM161" s="679"/>
      <c r="VHN161" s="679"/>
      <c r="VHO161" s="679"/>
      <c r="VHP161" s="679"/>
      <c r="VHQ161" s="679"/>
      <c r="VHR161" s="679"/>
      <c r="VHS161" s="679"/>
      <c r="VHT161" s="679"/>
      <c r="VHU161" s="679"/>
      <c r="VHV161" s="679"/>
      <c r="VHW161" s="679"/>
      <c r="VHX161" s="679"/>
      <c r="VHY161" s="679"/>
      <c r="VHZ161" s="679"/>
      <c r="VIA161" s="679"/>
      <c r="VIB161" s="679"/>
      <c r="VIC161" s="679"/>
      <c r="VID161" s="679"/>
      <c r="VIE161" s="679"/>
      <c r="VIF161" s="679"/>
      <c r="VIG161" s="679"/>
      <c r="VIH161" s="679"/>
      <c r="VII161" s="679"/>
      <c r="VIJ161" s="679"/>
      <c r="VIK161" s="679"/>
      <c r="VIL161" s="679"/>
      <c r="VIM161" s="679"/>
      <c r="VIN161" s="679"/>
      <c r="VIO161" s="679"/>
      <c r="VIP161" s="679"/>
      <c r="VIQ161" s="679"/>
      <c r="VIR161" s="679"/>
      <c r="VIS161" s="679"/>
      <c r="VIT161" s="679"/>
      <c r="VIU161" s="679"/>
      <c r="VIV161" s="679"/>
      <c r="VIW161" s="679"/>
      <c r="VIX161" s="679"/>
      <c r="VIY161" s="679"/>
      <c r="VIZ161" s="679"/>
      <c r="VJA161" s="679"/>
      <c r="VJB161" s="679"/>
      <c r="VJC161" s="679"/>
      <c r="VJD161" s="679"/>
      <c r="VJE161" s="679"/>
      <c r="VJF161" s="679"/>
      <c r="VJG161" s="679"/>
      <c r="VJH161" s="679"/>
      <c r="VJI161" s="679"/>
      <c r="VJJ161" s="679"/>
      <c r="VJK161" s="679"/>
      <c r="VJL161" s="679"/>
      <c r="VJM161" s="679"/>
      <c r="VJN161" s="679"/>
      <c r="VJO161" s="679"/>
      <c r="VJP161" s="679"/>
      <c r="VJQ161" s="679"/>
      <c r="VJR161" s="679"/>
      <c r="VJS161" s="679"/>
      <c r="VJT161" s="679"/>
      <c r="VJU161" s="679"/>
      <c r="VJV161" s="679"/>
      <c r="VJW161" s="679"/>
      <c r="VJX161" s="679"/>
      <c r="VJY161" s="679"/>
      <c r="VJZ161" s="679"/>
      <c r="VKA161" s="679"/>
      <c r="VKB161" s="679"/>
      <c r="VKC161" s="679"/>
      <c r="VKD161" s="679"/>
      <c r="VKE161" s="679"/>
      <c r="VKF161" s="679"/>
      <c r="VKG161" s="679"/>
      <c r="VKH161" s="679"/>
      <c r="VKI161" s="679"/>
      <c r="VKJ161" s="679"/>
      <c r="VKK161" s="679"/>
      <c r="VKL161" s="679"/>
      <c r="VKM161" s="679"/>
      <c r="VKN161" s="679"/>
      <c r="VKO161" s="679"/>
      <c r="VKP161" s="679"/>
      <c r="VKQ161" s="679"/>
      <c r="VKR161" s="679"/>
      <c r="VKS161" s="679"/>
      <c r="VKT161" s="679"/>
      <c r="VKU161" s="679"/>
      <c r="VKV161" s="679"/>
      <c r="VKW161" s="679"/>
      <c r="VKX161" s="679"/>
      <c r="VKY161" s="679"/>
      <c r="VKZ161" s="679"/>
      <c r="VLA161" s="679"/>
      <c r="VLB161" s="679"/>
      <c r="VLC161" s="679"/>
      <c r="VLD161" s="679"/>
      <c r="VLE161" s="679"/>
      <c r="VLF161" s="679"/>
      <c r="VLG161" s="679"/>
      <c r="VLH161" s="679"/>
      <c r="VLI161" s="679"/>
      <c r="VLJ161" s="679"/>
      <c r="VLK161" s="679"/>
      <c r="VLL161" s="679"/>
      <c r="VLM161" s="679"/>
      <c r="VLN161" s="679"/>
      <c r="VLO161" s="679"/>
      <c r="VLP161" s="679"/>
      <c r="VLQ161" s="679"/>
      <c r="VLR161" s="679"/>
      <c r="VLS161" s="679"/>
      <c r="VLT161" s="679"/>
      <c r="VLU161" s="679"/>
      <c r="VLV161" s="679"/>
      <c r="VLW161" s="679"/>
      <c r="VLX161" s="679"/>
      <c r="VLY161" s="679"/>
      <c r="VLZ161" s="679"/>
      <c r="VMA161" s="679"/>
      <c r="VMB161" s="679"/>
      <c r="VMC161" s="679"/>
      <c r="VMD161" s="679"/>
      <c r="VME161" s="679"/>
      <c r="VMF161" s="679"/>
      <c r="VMG161" s="679"/>
      <c r="VMH161" s="679"/>
      <c r="VMI161" s="679"/>
      <c r="VMJ161" s="679"/>
      <c r="VMK161" s="679"/>
      <c r="VML161" s="679"/>
      <c r="VMM161" s="679"/>
      <c r="VMN161" s="679"/>
      <c r="VMO161" s="679"/>
      <c r="VMP161" s="679"/>
      <c r="VMQ161" s="679"/>
      <c r="VMR161" s="679"/>
      <c r="VMS161" s="679"/>
      <c r="VMT161" s="679"/>
      <c r="VMU161" s="679"/>
      <c r="VMV161" s="679"/>
      <c r="VMW161" s="679"/>
      <c r="VMX161" s="679"/>
      <c r="VMY161" s="679"/>
      <c r="VMZ161" s="679"/>
      <c r="VNA161" s="679"/>
      <c r="VNB161" s="679"/>
      <c r="VNC161" s="679"/>
      <c r="VND161" s="679"/>
      <c r="VNE161" s="679"/>
      <c r="VNF161" s="679"/>
      <c r="VNG161" s="679"/>
      <c r="VNH161" s="679"/>
      <c r="VNI161" s="679"/>
      <c r="VNJ161" s="679"/>
      <c r="VNK161" s="679"/>
      <c r="VNL161" s="679"/>
      <c r="VNM161" s="679"/>
      <c r="VNN161" s="679"/>
      <c r="VNO161" s="679"/>
      <c r="VNP161" s="679"/>
      <c r="VNQ161" s="679"/>
      <c r="VNR161" s="679"/>
      <c r="VNS161" s="679"/>
      <c r="VNT161" s="679"/>
      <c r="VNU161" s="679"/>
      <c r="VNV161" s="679"/>
      <c r="VNW161" s="679"/>
      <c r="VNX161" s="679"/>
      <c r="VNY161" s="679"/>
      <c r="VNZ161" s="679"/>
      <c r="VOA161" s="679"/>
      <c r="VOB161" s="679"/>
      <c r="VOC161" s="679"/>
      <c r="VOD161" s="679"/>
      <c r="VOE161" s="679"/>
      <c r="VOF161" s="679"/>
      <c r="VOG161" s="679"/>
      <c r="VOH161" s="679"/>
      <c r="VOI161" s="679"/>
      <c r="VOJ161" s="679"/>
      <c r="VOK161" s="679"/>
      <c r="VOL161" s="679"/>
      <c r="VOM161" s="679"/>
      <c r="VON161" s="679"/>
      <c r="VOO161" s="679"/>
      <c r="VOP161" s="679"/>
      <c r="VOQ161" s="679"/>
      <c r="VOR161" s="679"/>
      <c r="VOS161" s="679"/>
      <c r="VOT161" s="679"/>
      <c r="VOU161" s="679"/>
      <c r="VOV161" s="679"/>
      <c r="VOW161" s="679"/>
      <c r="VOX161" s="679"/>
      <c r="VOY161" s="679"/>
      <c r="VOZ161" s="679"/>
      <c r="VPA161" s="679"/>
      <c r="VPB161" s="679"/>
      <c r="VPC161" s="679"/>
      <c r="VPD161" s="679"/>
      <c r="VPE161" s="679"/>
      <c r="VPF161" s="679"/>
      <c r="VPG161" s="679"/>
      <c r="VPH161" s="679"/>
      <c r="VPI161" s="679"/>
      <c r="VPJ161" s="679"/>
      <c r="VPK161" s="679"/>
      <c r="VPL161" s="679"/>
      <c r="VPM161" s="679"/>
      <c r="VPN161" s="679"/>
      <c r="VPO161" s="679"/>
      <c r="VPP161" s="679"/>
      <c r="VPQ161" s="679"/>
      <c r="VPR161" s="679"/>
      <c r="VPS161" s="679"/>
      <c r="VPT161" s="679"/>
      <c r="VPU161" s="679"/>
      <c r="VPV161" s="679"/>
      <c r="VPW161" s="679"/>
      <c r="VPX161" s="679"/>
      <c r="VPY161" s="679"/>
      <c r="VPZ161" s="679"/>
      <c r="VQA161" s="679"/>
      <c r="VQB161" s="679"/>
      <c r="VQC161" s="679"/>
      <c r="VQD161" s="679"/>
      <c r="VQE161" s="679"/>
      <c r="VQF161" s="679"/>
      <c r="VQG161" s="679"/>
      <c r="VQH161" s="679"/>
      <c r="VQI161" s="679"/>
      <c r="VQJ161" s="679"/>
      <c r="VQK161" s="679"/>
      <c r="VQL161" s="679"/>
      <c r="VQM161" s="679"/>
      <c r="VQN161" s="679"/>
      <c r="VQO161" s="679"/>
      <c r="VQP161" s="679"/>
      <c r="VQQ161" s="679"/>
      <c r="VQR161" s="679"/>
      <c r="VQS161" s="679"/>
      <c r="VQT161" s="679"/>
      <c r="VQU161" s="679"/>
      <c r="VQV161" s="679"/>
      <c r="VQW161" s="679"/>
      <c r="VQX161" s="679"/>
      <c r="VQY161" s="679"/>
      <c r="VQZ161" s="679"/>
      <c r="VRA161" s="679"/>
      <c r="VRB161" s="679"/>
      <c r="VRC161" s="679"/>
      <c r="VRD161" s="679"/>
      <c r="VRE161" s="679"/>
      <c r="VRF161" s="679"/>
      <c r="VRG161" s="679"/>
      <c r="VRH161" s="679"/>
      <c r="VRI161" s="679"/>
      <c r="VRJ161" s="679"/>
      <c r="VRK161" s="679"/>
      <c r="VRL161" s="679"/>
      <c r="VRM161" s="679"/>
      <c r="VRN161" s="679"/>
      <c r="VRO161" s="679"/>
      <c r="VRP161" s="679"/>
      <c r="VRQ161" s="679"/>
      <c r="VRR161" s="679"/>
      <c r="VRS161" s="679"/>
      <c r="VRT161" s="679"/>
      <c r="VRU161" s="679"/>
      <c r="VRV161" s="679"/>
      <c r="VRW161" s="679"/>
      <c r="VRX161" s="679"/>
      <c r="VRY161" s="679"/>
      <c r="VRZ161" s="679"/>
      <c r="VSA161" s="679"/>
      <c r="VSB161" s="679"/>
      <c r="VSC161" s="679"/>
      <c r="VSD161" s="679"/>
      <c r="VSE161" s="679"/>
      <c r="VSF161" s="679"/>
      <c r="VSG161" s="679"/>
      <c r="VSH161" s="679"/>
      <c r="VSI161" s="679"/>
      <c r="VSJ161" s="679"/>
      <c r="VSK161" s="679"/>
      <c r="VSL161" s="679"/>
      <c r="VSM161" s="679"/>
      <c r="VSN161" s="679"/>
      <c r="VSO161" s="679"/>
      <c r="VSP161" s="679"/>
      <c r="VSQ161" s="679"/>
      <c r="VSR161" s="679"/>
      <c r="VSS161" s="679"/>
      <c r="VST161" s="679"/>
      <c r="VSU161" s="679"/>
      <c r="VSV161" s="679"/>
      <c r="VSW161" s="679"/>
      <c r="VSX161" s="679"/>
      <c r="VSY161" s="679"/>
      <c r="VSZ161" s="679"/>
      <c r="VTA161" s="679"/>
      <c r="VTB161" s="679"/>
      <c r="VTC161" s="679"/>
      <c r="VTD161" s="679"/>
      <c r="VTE161" s="679"/>
      <c r="VTF161" s="679"/>
      <c r="VTG161" s="679"/>
      <c r="VTH161" s="679"/>
      <c r="VTI161" s="679"/>
      <c r="VTJ161" s="679"/>
      <c r="VTK161" s="679"/>
      <c r="VTL161" s="679"/>
      <c r="VTM161" s="679"/>
      <c r="VTN161" s="679"/>
      <c r="VTO161" s="679"/>
      <c r="VTP161" s="679"/>
      <c r="VTQ161" s="679"/>
      <c r="VTR161" s="679"/>
      <c r="VTS161" s="679"/>
      <c r="VTT161" s="679"/>
      <c r="VTU161" s="679"/>
      <c r="VTV161" s="679"/>
      <c r="VTW161" s="679"/>
      <c r="VTX161" s="679"/>
      <c r="VTY161" s="679"/>
      <c r="VTZ161" s="679"/>
      <c r="VUA161" s="679"/>
      <c r="VUB161" s="679"/>
      <c r="VUC161" s="679"/>
      <c r="VUD161" s="679"/>
      <c r="VUE161" s="679"/>
      <c r="VUF161" s="679"/>
      <c r="VUG161" s="679"/>
      <c r="VUH161" s="679"/>
      <c r="VUI161" s="679"/>
      <c r="VUJ161" s="679"/>
      <c r="VUK161" s="679"/>
      <c r="VUL161" s="679"/>
      <c r="VUM161" s="679"/>
      <c r="VUN161" s="679"/>
      <c r="VUO161" s="679"/>
      <c r="VUP161" s="679"/>
      <c r="VUQ161" s="679"/>
      <c r="VUR161" s="679"/>
      <c r="VUS161" s="679"/>
      <c r="VUT161" s="679"/>
      <c r="VUU161" s="679"/>
      <c r="VUV161" s="679"/>
      <c r="VUW161" s="679"/>
      <c r="VUX161" s="679"/>
      <c r="VUY161" s="679"/>
      <c r="VUZ161" s="679"/>
      <c r="VVA161" s="679"/>
      <c r="VVB161" s="679"/>
      <c r="VVC161" s="679"/>
      <c r="VVD161" s="679"/>
      <c r="VVE161" s="679"/>
      <c r="VVF161" s="679"/>
      <c r="VVG161" s="679"/>
      <c r="VVH161" s="679"/>
      <c r="VVI161" s="679"/>
      <c r="VVJ161" s="679"/>
      <c r="VVK161" s="679"/>
      <c r="VVL161" s="679"/>
      <c r="VVM161" s="679"/>
      <c r="VVN161" s="679"/>
      <c r="VVO161" s="679"/>
      <c r="VVP161" s="679"/>
      <c r="VVQ161" s="679"/>
      <c r="VVR161" s="679"/>
      <c r="VVS161" s="679"/>
      <c r="VVT161" s="679"/>
      <c r="VVU161" s="679"/>
      <c r="VVV161" s="679"/>
      <c r="VVW161" s="679"/>
      <c r="VVX161" s="679"/>
      <c r="VVY161" s="679"/>
      <c r="VVZ161" s="679"/>
      <c r="VWA161" s="679"/>
      <c r="VWB161" s="679"/>
      <c r="VWC161" s="679"/>
      <c r="VWD161" s="679"/>
      <c r="VWE161" s="679"/>
      <c r="VWF161" s="679"/>
      <c r="VWG161" s="679"/>
      <c r="VWH161" s="679"/>
      <c r="VWI161" s="679"/>
      <c r="VWJ161" s="679"/>
      <c r="VWK161" s="679"/>
      <c r="VWL161" s="679"/>
      <c r="VWM161" s="679"/>
      <c r="VWN161" s="679"/>
      <c r="VWO161" s="679"/>
      <c r="VWP161" s="679"/>
      <c r="VWQ161" s="679"/>
      <c r="VWR161" s="679"/>
      <c r="VWS161" s="679"/>
      <c r="VWT161" s="679"/>
      <c r="VWU161" s="679"/>
      <c r="VWV161" s="679"/>
      <c r="VWW161" s="679"/>
      <c r="VWX161" s="679"/>
      <c r="VWY161" s="679"/>
      <c r="VWZ161" s="679"/>
      <c r="VXA161" s="679"/>
      <c r="VXB161" s="679"/>
      <c r="VXC161" s="679"/>
      <c r="VXD161" s="679"/>
      <c r="VXE161" s="679"/>
      <c r="VXF161" s="679"/>
      <c r="VXG161" s="679"/>
      <c r="VXH161" s="679"/>
      <c r="VXI161" s="679"/>
      <c r="VXJ161" s="679"/>
      <c r="VXK161" s="679"/>
      <c r="VXL161" s="679"/>
      <c r="VXM161" s="679"/>
      <c r="VXN161" s="679"/>
      <c r="VXO161" s="679"/>
      <c r="VXP161" s="679"/>
      <c r="VXQ161" s="679"/>
      <c r="VXR161" s="679"/>
      <c r="VXS161" s="679"/>
      <c r="VXT161" s="679"/>
      <c r="VXU161" s="679"/>
      <c r="VXV161" s="679"/>
      <c r="VXW161" s="679"/>
      <c r="VXX161" s="679"/>
      <c r="VXY161" s="679"/>
      <c r="VXZ161" s="679"/>
      <c r="VYA161" s="679"/>
      <c r="VYB161" s="679"/>
      <c r="VYC161" s="679"/>
      <c r="VYD161" s="679"/>
      <c r="VYE161" s="679"/>
      <c r="VYF161" s="679"/>
      <c r="VYG161" s="679"/>
      <c r="VYH161" s="679"/>
      <c r="VYI161" s="679"/>
      <c r="VYJ161" s="679"/>
      <c r="VYK161" s="679"/>
      <c r="VYL161" s="679"/>
      <c r="VYM161" s="679"/>
      <c r="VYN161" s="679"/>
      <c r="VYO161" s="679"/>
      <c r="VYP161" s="679"/>
      <c r="VYQ161" s="679"/>
      <c r="VYR161" s="679"/>
      <c r="VYS161" s="679"/>
      <c r="VYT161" s="679"/>
      <c r="VYU161" s="679"/>
      <c r="VYV161" s="679"/>
      <c r="VYW161" s="679"/>
      <c r="VYX161" s="679"/>
      <c r="VYY161" s="679"/>
      <c r="VYZ161" s="679"/>
      <c r="VZA161" s="679"/>
      <c r="VZB161" s="679"/>
      <c r="VZC161" s="679"/>
      <c r="VZD161" s="679"/>
      <c r="VZE161" s="679"/>
      <c r="VZF161" s="679"/>
      <c r="VZG161" s="679"/>
      <c r="VZH161" s="679"/>
      <c r="VZI161" s="679"/>
      <c r="VZJ161" s="679"/>
      <c r="VZK161" s="679"/>
      <c r="VZL161" s="679"/>
      <c r="VZM161" s="679"/>
      <c r="VZN161" s="679"/>
      <c r="VZO161" s="679"/>
      <c r="VZP161" s="679"/>
      <c r="VZQ161" s="679"/>
      <c r="VZR161" s="679"/>
      <c r="VZS161" s="679"/>
      <c r="VZT161" s="679"/>
      <c r="VZU161" s="679"/>
      <c r="VZV161" s="679"/>
      <c r="VZW161" s="679"/>
      <c r="VZX161" s="679"/>
      <c r="VZY161" s="679"/>
      <c r="VZZ161" s="679"/>
      <c r="WAA161" s="679"/>
      <c r="WAB161" s="679"/>
      <c r="WAC161" s="679"/>
      <c r="WAD161" s="679"/>
      <c r="WAE161" s="679"/>
      <c r="WAF161" s="679"/>
      <c r="WAG161" s="679"/>
      <c r="WAH161" s="679"/>
      <c r="WAI161" s="679"/>
      <c r="WAJ161" s="679"/>
      <c r="WAK161" s="679"/>
      <c r="WAL161" s="679"/>
      <c r="WAM161" s="679"/>
      <c r="WAN161" s="679"/>
      <c r="WAO161" s="679"/>
      <c r="WAP161" s="679"/>
      <c r="WAQ161" s="679"/>
      <c r="WAR161" s="679"/>
      <c r="WAS161" s="679"/>
      <c r="WAT161" s="679"/>
      <c r="WAU161" s="679"/>
      <c r="WAV161" s="679"/>
      <c r="WAW161" s="679"/>
      <c r="WAX161" s="679"/>
      <c r="WAY161" s="679"/>
      <c r="WAZ161" s="679"/>
      <c r="WBA161" s="679"/>
      <c r="WBB161" s="679"/>
      <c r="WBC161" s="679"/>
      <c r="WBD161" s="679"/>
      <c r="WBE161" s="679"/>
      <c r="WBF161" s="679"/>
      <c r="WBG161" s="679"/>
      <c r="WBH161" s="679"/>
      <c r="WBI161" s="679"/>
      <c r="WBJ161" s="679"/>
      <c r="WBK161" s="679"/>
      <c r="WBL161" s="679"/>
      <c r="WBM161" s="679"/>
      <c r="WBN161" s="679"/>
      <c r="WBO161" s="679"/>
      <c r="WBP161" s="679"/>
      <c r="WBQ161" s="679"/>
      <c r="WBR161" s="679"/>
      <c r="WBS161" s="679"/>
      <c r="WBT161" s="679"/>
      <c r="WBU161" s="679"/>
      <c r="WBV161" s="679"/>
      <c r="WBW161" s="679"/>
      <c r="WBX161" s="679"/>
      <c r="WBY161" s="679"/>
      <c r="WBZ161" s="679"/>
      <c r="WCA161" s="679"/>
      <c r="WCB161" s="679"/>
      <c r="WCC161" s="679"/>
      <c r="WCD161" s="679"/>
      <c r="WCE161" s="679"/>
      <c r="WCF161" s="679"/>
      <c r="WCG161" s="679"/>
      <c r="WCH161" s="679"/>
      <c r="WCI161" s="679"/>
      <c r="WCJ161" s="679"/>
      <c r="WCK161" s="679"/>
      <c r="WCL161" s="679"/>
      <c r="WCM161" s="679"/>
      <c r="WCN161" s="679"/>
      <c r="WCO161" s="679"/>
      <c r="WCP161" s="679"/>
      <c r="WCQ161" s="679"/>
      <c r="WCR161" s="679"/>
      <c r="WCS161" s="679"/>
      <c r="WCT161" s="679"/>
      <c r="WCU161" s="679"/>
      <c r="WCV161" s="679"/>
      <c r="WCW161" s="679"/>
      <c r="WCX161" s="679"/>
      <c r="WCY161" s="679"/>
      <c r="WCZ161" s="679"/>
      <c r="WDA161" s="679"/>
      <c r="WDB161" s="679"/>
      <c r="WDC161" s="679"/>
      <c r="WDD161" s="679"/>
      <c r="WDE161" s="679"/>
      <c r="WDF161" s="679"/>
      <c r="WDG161" s="679"/>
      <c r="WDH161" s="679"/>
      <c r="WDI161" s="679"/>
      <c r="WDJ161" s="679"/>
      <c r="WDK161" s="679"/>
      <c r="WDL161" s="679"/>
      <c r="WDM161" s="679"/>
      <c r="WDN161" s="679"/>
      <c r="WDO161" s="679"/>
      <c r="WDP161" s="679"/>
      <c r="WDQ161" s="679"/>
      <c r="WDR161" s="679"/>
      <c r="WDS161" s="679"/>
      <c r="WDT161" s="679"/>
      <c r="WDU161" s="679"/>
      <c r="WDV161" s="679"/>
      <c r="WDW161" s="679"/>
      <c r="WDX161" s="679"/>
      <c r="WDY161" s="679"/>
      <c r="WDZ161" s="679"/>
      <c r="WEA161" s="679"/>
      <c r="WEB161" s="679"/>
      <c r="WEC161" s="679"/>
      <c r="WED161" s="679"/>
      <c r="WEE161" s="679"/>
      <c r="WEF161" s="679"/>
      <c r="WEG161" s="679"/>
      <c r="WEH161" s="679"/>
      <c r="WEI161" s="679"/>
      <c r="WEJ161" s="679"/>
      <c r="WEK161" s="679"/>
      <c r="WEL161" s="679"/>
      <c r="WEM161" s="679"/>
      <c r="WEN161" s="679"/>
      <c r="WEO161" s="679"/>
      <c r="WEP161" s="679"/>
      <c r="WEQ161" s="679"/>
      <c r="WER161" s="679"/>
      <c r="WES161" s="679"/>
      <c r="WET161" s="679"/>
      <c r="WEU161" s="679"/>
      <c r="WEV161" s="679"/>
      <c r="WEW161" s="679"/>
      <c r="WEX161" s="679"/>
      <c r="WEY161" s="679"/>
      <c r="WEZ161" s="679"/>
      <c r="WFA161" s="679"/>
      <c r="WFB161" s="679"/>
      <c r="WFC161" s="679"/>
      <c r="WFD161" s="679"/>
      <c r="WFE161" s="679"/>
      <c r="WFF161" s="679"/>
      <c r="WFG161" s="679"/>
      <c r="WFH161" s="679"/>
      <c r="WFI161" s="679"/>
      <c r="WFJ161" s="679"/>
      <c r="WFK161" s="679"/>
      <c r="WFL161" s="679"/>
      <c r="WFM161" s="679"/>
      <c r="WFN161" s="679"/>
      <c r="WFO161" s="679"/>
      <c r="WFP161" s="679"/>
      <c r="WFQ161" s="679"/>
      <c r="WFR161" s="679"/>
      <c r="WFS161" s="679"/>
      <c r="WFT161" s="679"/>
      <c r="WFU161" s="679"/>
      <c r="WFV161" s="679"/>
      <c r="WFW161" s="679"/>
      <c r="WFX161" s="679"/>
      <c r="WFY161" s="679"/>
      <c r="WFZ161" s="679"/>
      <c r="WGA161" s="679"/>
      <c r="WGB161" s="679"/>
      <c r="WGC161" s="679"/>
      <c r="WGD161" s="679"/>
      <c r="WGE161" s="679"/>
      <c r="WGF161" s="679"/>
      <c r="WGG161" s="679"/>
      <c r="WGH161" s="679"/>
      <c r="WGI161" s="679"/>
      <c r="WGJ161" s="679"/>
      <c r="WGK161" s="679"/>
      <c r="WGL161" s="679"/>
      <c r="WGM161" s="679"/>
      <c r="WGN161" s="679"/>
      <c r="WGO161" s="679"/>
      <c r="WGP161" s="679"/>
      <c r="WGQ161" s="679"/>
      <c r="WGR161" s="679"/>
      <c r="WGS161" s="679"/>
      <c r="WGT161" s="679"/>
      <c r="WGU161" s="679"/>
      <c r="WGV161" s="679"/>
      <c r="WGW161" s="679"/>
      <c r="WGX161" s="679"/>
      <c r="WGY161" s="679"/>
      <c r="WGZ161" s="679"/>
      <c r="WHA161" s="679"/>
      <c r="WHB161" s="679"/>
      <c r="WHC161" s="679"/>
      <c r="WHD161" s="679"/>
      <c r="WHE161" s="679"/>
      <c r="WHF161" s="679"/>
      <c r="WHG161" s="679"/>
      <c r="WHH161" s="679"/>
      <c r="WHI161" s="679"/>
      <c r="WHJ161" s="679"/>
      <c r="WHK161" s="679"/>
      <c r="WHL161" s="679"/>
      <c r="WHM161" s="679"/>
      <c r="WHN161" s="679"/>
      <c r="WHO161" s="679"/>
      <c r="WHP161" s="679"/>
      <c r="WHQ161" s="679"/>
      <c r="WHR161" s="679"/>
      <c r="WHS161" s="679"/>
      <c r="WHT161" s="679"/>
      <c r="WHU161" s="679"/>
      <c r="WHV161" s="679"/>
      <c r="WHW161" s="679"/>
      <c r="WHX161" s="679"/>
      <c r="WHY161" s="679"/>
      <c r="WHZ161" s="679"/>
      <c r="WIA161" s="679"/>
      <c r="WIB161" s="679"/>
      <c r="WIC161" s="679"/>
      <c r="WID161" s="679"/>
      <c r="WIE161" s="679"/>
      <c r="WIF161" s="679"/>
      <c r="WIG161" s="679"/>
      <c r="WIH161" s="679"/>
      <c r="WII161" s="679"/>
      <c r="WIJ161" s="679"/>
      <c r="WIK161" s="679"/>
      <c r="WIL161" s="679"/>
      <c r="WIM161" s="679"/>
      <c r="WIN161" s="679"/>
      <c r="WIO161" s="679"/>
      <c r="WIP161" s="679"/>
      <c r="WIQ161" s="679"/>
      <c r="WIR161" s="679"/>
      <c r="WIS161" s="679"/>
      <c r="WIT161" s="679"/>
      <c r="WIU161" s="679"/>
      <c r="WIV161" s="679"/>
      <c r="WIW161" s="679"/>
      <c r="WIX161" s="679"/>
      <c r="WIY161" s="679"/>
      <c r="WIZ161" s="679"/>
      <c r="WJA161" s="679"/>
      <c r="WJB161" s="679"/>
      <c r="WJC161" s="679"/>
      <c r="WJD161" s="679"/>
      <c r="WJE161" s="679"/>
      <c r="WJF161" s="679"/>
      <c r="WJG161" s="679"/>
      <c r="WJH161" s="679"/>
      <c r="WJI161" s="679"/>
      <c r="WJJ161" s="679"/>
      <c r="WJK161" s="679"/>
      <c r="WJL161" s="679"/>
      <c r="WJM161" s="679"/>
      <c r="WJN161" s="679"/>
      <c r="WJO161" s="679"/>
      <c r="WJP161" s="679"/>
      <c r="WJQ161" s="679"/>
      <c r="WJR161" s="679"/>
      <c r="WJS161" s="679"/>
      <c r="WJT161" s="679"/>
      <c r="WJU161" s="679"/>
      <c r="WJV161" s="679"/>
      <c r="WJW161" s="679"/>
      <c r="WJX161" s="679"/>
      <c r="WJY161" s="679"/>
      <c r="WJZ161" s="679"/>
      <c r="WKA161" s="679"/>
      <c r="WKB161" s="679"/>
      <c r="WKC161" s="679"/>
      <c r="WKD161" s="679"/>
      <c r="WKE161" s="679"/>
      <c r="WKF161" s="679"/>
      <c r="WKG161" s="679"/>
      <c r="WKH161" s="679"/>
      <c r="WKI161" s="679"/>
      <c r="WKJ161" s="679"/>
      <c r="WKK161" s="679"/>
      <c r="WKL161" s="679"/>
      <c r="WKM161" s="679"/>
      <c r="WKN161" s="679"/>
      <c r="WKO161" s="679"/>
      <c r="WKP161" s="679"/>
      <c r="WKQ161" s="679"/>
      <c r="WKR161" s="679"/>
      <c r="WKS161" s="679"/>
      <c r="WKT161" s="679"/>
      <c r="WKU161" s="679"/>
      <c r="WKV161" s="679"/>
      <c r="WKW161" s="679"/>
      <c r="WKX161" s="679"/>
      <c r="WKY161" s="679"/>
      <c r="WKZ161" s="679"/>
      <c r="WLA161" s="679"/>
      <c r="WLB161" s="679"/>
      <c r="WLC161" s="679"/>
      <c r="WLD161" s="679"/>
      <c r="WLE161" s="679"/>
      <c r="WLF161" s="679"/>
      <c r="WLG161" s="679"/>
      <c r="WLH161" s="679"/>
      <c r="WLI161" s="679"/>
      <c r="WLJ161" s="679"/>
      <c r="WLK161" s="679"/>
      <c r="WLL161" s="679"/>
      <c r="WLM161" s="679"/>
      <c r="WLN161" s="679"/>
      <c r="WLO161" s="679"/>
      <c r="WLP161" s="679"/>
      <c r="WLQ161" s="679"/>
      <c r="WLR161" s="679"/>
      <c r="WLS161" s="679"/>
      <c r="WLT161" s="679"/>
      <c r="WLU161" s="679"/>
      <c r="WLV161" s="679"/>
      <c r="WLW161" s="679"/>
      <c r="WLX161" s="679"/>
      <c r="WLY161" s="679"/>
      <c r="WLZ161" s="679"/>
      <c r="WMA161" s="679"/>
      <c r="WMB161" s="679"/>
      <c r="WMC161" s="679"/>
      <c r="WMD161" s="679"/>
      <c r="WME161" s="679"/>
      <c r="WMF161" s="679"/>
      <c r="WMG161" s="679"/>
      <c r="WMH161" s="679"/>
      <c r="WMI161" s="679"/>
      <c r="WMJ161" s="679"/>
      <c r="WMK161" s="679"/>
      <c r="WML161" s="679"/>
      <c r="WMM161" s="679"/>
      <c r="WMN161" s="679"/>
      <c r="WMO161" s="679"/>
      <c r="WMP161" s="679"/>
      <c r="WMQ161" s="679"/>
      <c r="WMR161" s="679"/>
      <c r="WMS161" s="679"/>
      <c r="WMT161" s="679"/>
      <c r="WMU161" s="679"/>
      <c r="WMV161" s="679"/>
      <c r="WMW161" s="679"/>
      <c r="WMX161" s="679"/>
      <c r="WMY161" s="679"/>
      <c r="WMZ161" s="679"/>
      <c r="WNA161" s="679"/>
      <c r="WNB161" s="679"/>
      <c r="WNC161" s="679"/>
      <c r="WND161" s="679"/>
      <c r="WNE161" s="679"/>
      <c r="WNF161" s="679"/>
      <c r="WNG161" s="679"/>
      <c r="WNH161" s="679"/>
      <c r="WNI161" s="679"/>
      <c r="WNJ161" s="679"/>
      <c r="WNK161" s="679"/>
      <c r="WNL161" s="679"/>
      <c r="WNM161" s="679"/>
      <c r="WNN161" s="679"/>
      <c r="WNO161" s="679"/>
      <c r="WNP161" s="679"/>
      <c r="WNQ161" s="679"/>
      <c r="WNR161" s="679"/>
      <c r="WNS161" s="679"/>
      <c r="WNT161" s="679"/>
      <c r="WNU161" s="679"/>
      <c r="WNV161" s="679"/>
      <c r="WNW161" s="679"/>
      <c r="WNX161" s="679"/>
      <c r="WNY161" s="679"/>
      <c r="WNZ161" s="679"/>
      <c r="WOA161" s="679"/>
      <c r="WOB161" s="679"/>
      <c r="WOC161" s="679"/>
      <c r="WOD161" s="679"/>
      <c r="WOE161" s="679"/>
      <c r="WOF161" s="679"/>
      <c r="WOG161" s="679"/>
      <c r="WOH161" s="679"/>
      <c r="WOI161" s="679"/>
      <c r="WOJ161" s="679"/>
      <c r="WOK161" s="679"/>
      <c r="WOL161" s="679"/>
      <c r="WOM161" s="679"/>
      <c r="WON161" s="679"/>
      <c r="WOO161" s="679"/>
      <c r="WOP161" s="679"/>
      <c r="WOQ161" s="679"/>
      <c r="WOR161" s="679"/>
      <c r="WOS161" s="679"/>
      <c r="WOT161" s="679"/>
      <c r="WOU161" s="679"/>
      <c r="WOV161" s="679"/>
      <c r="WOW161" s="679"/>
      <c r="WOX161" s="679"/>
      <c r="WOY161" s="679"/>
      <c r="WOZ161" s="679"/>
      <c r="WPA161" s="679"/>
      <c r="WPB161" s="679"/>
      <c r="WPC161" s="679"/>
      <c r="WPD161" s="679"/>
      <c r="WPE161" s="679"/>
      <c r="WPF161" s="679"/>
      <c r="WPG161" s="679"/>
      <c r="WPH161" s="679"/>
      <c r="WPI161" s="679"/>
      <c r="WPJ161" s="679"/>
      <c r="WPK161" s="679"/>
      <c r="WPL161" s="679"/>
      <c r="WPM161" s="679"/>
      <c r="WPN161" s="679"/>
      <c r="WPO161" s="679"/>
      <c r="WPP161" s="679"/>
      <c r="WPQ161" s="679"/>
      <c r="WPR161" s="679"/>
      <c r="WPS161" s="679"/>
      <c r="WPT161" s="679"/>
      <c r="WPU161" s="679"/>
      <c r="WPV161" s="679"/>
      <c r="WPW161" s="679"/>
      <c r="WPX161" s="679"/>
      <c r="WPY161" s="679"/>
      <c r="WPZ161" s="679"/>
      <c r="WQA161" s="679"/>
      <c r="WQB161" s="679"/>
      <c r="WQC161" s="679"/>
      <c r="WQD161" s="679"/>
      <c r="WQE161" s="679"/>
      <c r="WQF161" s="679"/>
      <c r="WQG161" s="679"/>
      <c r="WQH161" s="679"/>
      <c r="WQI161" s="679"/>
      <c r="WQJ161" s="679"/>
      <c r="WQK161" s="679"/>
      <c r="WQL161" s="679"/>
      <c r="WQM161" s="679"/>
      <c r="WQN161" s="679"/>
      <c r="WQO161" s="679"/>
      <c r="WQP161" s="679"/>
      <c r="WQQ161" s="679"/>
      <c r="WQR161" s="679"/>
      <c r="WQS161" s="679"/>
      <c r="WQT161" s="679"/>
      <c r="WQU161" s="679"/>
      <c r="WQV161" s="679"/>
      <c r="WQW161" s="679"/>
      <c r="WQX161" s="679"/>
      <c r="WQY161" s="679"/>
      <c r="WQZ161" s="679"/>
      <c r="WRA161" s="679"/>
      <c r="WRB161" s="679"/>
      <c r="WRC161" s="679"/>
      <c r="WRD161" s="679"/>
      <c r="WRE161" s="679"/>
      <c r="WRF161" s="679"/>
      <c r="WRG161" s="679"/>
      <c r="WRH161" s="679"/>
      <c r="WRI161" s="679"/>
      <c r="WRJ161" s="679"/>
      <c r="WRK161" s="679"/>
      <c r="WRL161" s="679"/>
      <c r="WRM161" s="679"/>
      <c r="WRN161" s="679"/>
      <c r="WRO161" s="679"/>
      <c r="WRP161" s="679"/>
      <c r="WRQ161" s="679"/>
      <c r="WRR161" s="679"/>
      <c r="WRS161" s="679"/>
      <c r="WRT161" s="679"/>
      <c r="WRU161" s="679"/>
      <c r="WRV161" s="679"/>
      <c r="WRW161" s="679"/>
      <c r="WRX161" s="679"/>
      <c r="WRY161" s="679"/>
      <c r="WRZ161" s="679"/>
      <c r="WSA161" s="679"/>
      <c r="WSB161" s="679"/>
      <c r="WSC161" s="679"/>
      <c r="WSD161" s="679"/>
      <c r="WSE161" s="679"/>
      <c r="WSF161" s="679"/>
      <c r="WSG161" s="679"/>
      <c r="WSH161" s="679"/>
      <c r="WSI161" s="679"/>
      <c r="WSJ161" s="679"/>
      <c r="WSK161" s="679"/>
      <c r="WSL161" s="679"/>
      <c r="WSM161" s="679"/>
      <c r="WSN161" s="679"/>
      <c r="WSO161" s="679"/>
      <c r="WSP161" s="679"/>
      <c r="WSQ161" s="679"/>
      <c r="WSR161" s="679"/>
      <c r="WSS161" s="679"/>
      <c r="WST161" s="679"/>
      <c r="WSU161" s="679"/>
      <c r="WSV161" s="679"/>
      <c r="WSW161" s="679"/>
      <c r="WSX161" s="679"/>
      <c r="WSY161" s="679"/>
      <c r="WSZ161" s="679"/>
      <c r="WTA161" s="679"/>
      <c r="WTB161" s="679"/>
      <c r="WTC161" s="679"/>
      <c r="WTD161" s="679"/>
      <c r="WTE161" s="679"/>
      <c r="WTF161" s="679"/>
      <c r="WTG161" s="679"/>
      <c r="WTH161" s="679"/>
      <c r="WTI161" s="679"/>
      <c r="WTJ161" s="679"/>
      <c r="WTK161" s="679"/>
      <c r="WTL161" s="679"/>
      <c r="WTM161" s="679"/>
      <c r="WTN161" s="679"/>
      <c r="WTO161" s="679"/>
      <c r="WTP161" s="679"/>
      <c r="WTQ161" s="679"/>
      <c r="WTR161" s="679"/>
      <c r="WTS161" s="679"/>
      <c r="WTT161" s="679"/>
      <c r="WTU161" s="679"/>
      <c r="WTV161" s="679"/>
      <c r="WTW161" s="679"/>
      <c r="WTX161" s="679"/>
      <c r="WTY161" s="679"/>
      <c r="WTZ161" s="679"/>
      <c r="WUA161" s="679"/>
      <c r="WUB161" s="679"/>
      <c r="WUC161" s="679"/>
      <c r="WUD161" s="679"/>
      <c r="WUE161" s="679"/>
      <c r="WUF161" s="679"/>
      <c r="WUG161" s="679"/>
      <c r="WUH161" s="679"/>
      <c r="WUI161" s="679"/>
      <c r="WUJ161" s="679"/>
      <c r="WUK161" s="679"/>
      <c r="WUL161" s="679"/>
      <c r="WUM161" s="679"/>
      <c r="WUN161" s="679"/>
      <c r="WUO161" s="679"/>
      <c r="WUP161" s="679"/>
      <c r="WUQ161" s="679"/>
      <c r="WUR161" s="679"/>
      <c r="WUS161" s="679"/>
      <c r="WUT161" s="679"/>
      <c r="WUU161" s="679"/>
      <c r="WUV161" s="679"/>
      <c r="WUW161" s="679"/>
      <c r="WUX161" s="679"/>
      <c r="WUY161" s="679"/>
      <c r="WUZ161" s="679"/>
      <c r="WVA161" s="679"/>
      <c r="WVB161" s="679"/>
      <c r="WVC161" s="679"/>
      <c r="WVD161" s="679"/>
      <c r="WVE161" s="679"/>
      <c r="WVF161" s="679"/>
      <c r="WVG161" s="679"/>
      <c r="WVH161" s="679"/>
      <c r="WVI161" s="679"/>
      <c r="WVJ161" s="679"/>
      <c r="WVK161" s="679"/>
      <c r="WVL161" s="679"/>
      <c r="WVM161" s="679"/>
      <c r="WVN161" s="679"/>
      <c r="WVO161" s="679"/>
      <c r="WVP161" s="679"/>
      <c r="WVQ161" s="679"/>
      <c r="WVR161" s="679"/>
      <c r="WVS161" s="679"/>
    </row>
    <row r="162" spans="1:16139" s="751" customFormat="1">
      <c r="A162" s="679" t="s">
        <v>970</v>
      </c>
      <c r="B162" s="679" t="s">
        <v>1153</v>
      </c>
      <c r="C162" s="679" t="s">
        <v>1154</v>
      </c>
      <c r="D162" s="679" t="s">
        <v>1147</v>
      </c>
      <c r="E162" s="679" t="s">
        <v>792</v>
      </c>
      <c r="F162" s="679" t="s">
        <v>818</v>
      </c>
      <c r="G162" s="679" t="s">
        <v>1136</v>
      </c>
      <c r="H162" s="679">
        <v>60092</v>
      </c>
      <c r="I162" s="679" t="s">
        <v>1148</v>
      </c>
      <c r="J162" s="679">
        <v>78</v>
      </c>
      <c r="K162" s="679"/>
      <c r="L162" s="679"/>
      <c r="M162" s="679"/>
      <c r="N162" s="679"/>
      <c r="O162" s="679"/>
      <c r="P162" s="679"/>
      <c r="Q162" s="679"/>
      <c r="R162" s="679"/>
      <c r="S162" s="679"/>
      <c r="T162" s="679"/>
      <c r="U162" s="679"/>
      <c r="V162" s="679"/>
      <c r="W162" s="679"/>
      <c r="X162" s="679"/>
      <c r="Y162" s="679"/>
      <c r="Z162" s="679"/>
      <c r="AA162" s="679"/>
      <c r="AB162" s="679"/>
      <c r="AC162" s="679"/>
      <c r="AD162" s="679"/>
      <c r="AE162" s="679"/>
      <c r="AF162" s="679"/>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E162" s="679"/>
      <c r="BF162" s="679"/>
      <c r="BG162" s="679"/>
      <c r="BH162" s="679"/>
      <c r="BI162" s="679"/>
      <c r="BJ162" s="679"/>
      <c r="BK162" s="679"/>
      <c r="BL162" s="679"/>
      <c r="BM162" s="679"/>
      <c r="BN162" s="679"/>
      <c r="BO162" s="679"/>
      <c r="BP162" s="679"/>
      <c r="BQ162" s="679"/>
      <c r="BR162" s="679"/>
      <c r="BS162" s="679"/>
      <c r="BT162" s="679"/>
      <c r="BU162" s="679"/>
      <c r="BV162" s="679"/>
      <c r="BW162" s="679"/>
      <c r="BX162" s="679"/>
      <c r="BY162" s="679"/>
      <c r="BZ162" s="679"/>
      <c r="CA162" s="679"/>
      <c r="CB162" s="679"/>
      <c r="CC162" s="679"/>
      <c r="CD162" s="679"/>
      <c r="CE162" s="679"/>
      <c r="CF162" s="679"/>
      <c r="CG162" s="679"/>
      <c r="CH162" s="679"/>
      <c r="CI162" s="679"/>
      <c r="CJ162" s="679"/>
      <c r="CK162" s="679"/>
      <c r="CL162" s="679"/>
      <c r="CM162" s="679"/>
      <c r="CN162" s="679"/>
      <c r="CO162" s="679"/>
      <c r="CP162" s="679"/>
      <c r="CQ162" s="679"/>
      <c r="CR162" s="679"/>
      <c r="CS162" s="679"/>
      <c r="CT162" s="679"/>
      <c r="CU162" s="679"/>
      <c r="CV162" s="679"/>
      <c r="CW162" s="679"/>
      <c r="CX162" s="679"/>
      <c r="CY162" s="679"/>
      <c r="CZ162" s="679"/>
      <c r="DA162" s="679"/>
      <c r="DB162" s="679"/>
      <c r="DC162" s="679"/>
      <c r="DD162" s="679"/>
      <c r="DE162" s="679"/>
      <c r="DF162" s="679"/>
      <c r="DG162" s="679"/>
      <c r="DH162" s="679"/>
      <c r="DI162" s="679"/>
      <c r="DJ162" s="679"/>
      <c r="DK162" s="679"/>
      <c r="DL162" s="679"/>
      <c r="DM162" s="679"/>
      <c r="DN162" s="679"/>
      <c r="DO162" s="679"/>
      <c r="DP162" s="679"/>
      <c r="DQ162" s="679"/>
      <c r="DR162" s="679"/>
      <c r="DS162" s="679"/>
      <c r="DT162" s="679"/>
      <c r="DU162" s="679"/>
      <c r="DV162" s="679"/>
      <c r="DW162" s="679"/>
      <c r="DX162" s="679"/>
      <c r="DY162" s="679"/>
      <c r="DZ162" s="679"/>
      <c r="EA162" s="679"/>
      <c r="EB162" s="679"/>
      <c r="EC162" s="679"/>
      <c r="ED162" s="679"/>
      <c r="EE162" s="679"/>
      <c r="EF162" s="679"/>
      <c r="EG162" s="679"/>
      <c r="EH162" s="679"/>
      <c r="EI162" s="679"/>
      <c r="EJ162" s="679"/>
      <c r="EK162" s="679"/>
      <c r="EL162" s="679"/>
      <c r="EM162" s="679"/>
      <c r="EN162" s="679"/>
      <c r="EO162" s="679"/>
      <c r="EP162" s="679"/>
      <c r="EQ162" s="679"/>
      <c r="ER162" s="679"/>
      <c r="ES162" s="679"/>
      <c r="ET162" s="679"/>
      <c r="EU162" s="679"/>
      <c r="EV162" s="679"/>
      <c r="EW162" s="679"/>
      <c r="EX162" s="679"/>
      <c r="EY162" s="679"/>
      <c r="EZ162" s="679"/>
      <c r="FA162" s="679"/>
      <c r="FB162" s="679"/>
      <c r="FC162" s="679"/>
      <c r="FD162" s="679"/>
      <c r="FE162" s="679"/>
      <c r="FF162" s="679"/>
      <c r="FG162" s="679"/>
      <c r="FH162" s="679"/>
      <c r="FI162" s="679"/>
      <c r="FJ162" s="679"/>
      <c r="FK162" s="679"/>
      <c r="FL162" s="679"/>
      <c r="FM162" s="679"/>
      <c r="FN162" s="679"/>
      <c r="FO162" s="679"/>
      <c r="FP162" s="679"/>
      <c r="FQ162" s="679"/>
      <c r="FR162" s="679"/>
      <c r="FS162" s="679"/>
      <c r="FT162" s="679"/>
      <c r="FU162" s="679"/>
      <c r="FV162" s="679"/>
      <c r="FW162" s="679"/>
      <c r="FX162" s="679"/>
      <c r="FY162" s="679"/>
      <c r="FZ162" s="679"/>
      <c r="GA162" s="679"/>
      <c r="GB162" s="679"/>
      <c r="GC162" s="679"/>
      <c r="GD162" s="679"/>
      <c r="GE162" s="679"/>
      <c r="GF162" s="679"/>
      <c r="GG162" s="679"/>
      <c r="GH162" s="679"/>
      <c r="GI162" s="679"/>
      <c r="GJ162" s="679"/>
      <c r="GK162" s="679"/>
      <c r="GL162" s="679"/>
      <c r="GM162" s="679"/>
      <c r="GN162" s="679"/>
      <c r="GO162" s="679"/>
      <c r="GP162" s="679"/>
      <c r="GQ162" s="679"/>
      <c r="GR162" s="679"/>
      <c r="GS162" s="679"/>
      <c r="GT162" s="679"/>
      <c r="GU162" s="679"/>
      <c r="GV162" s="679"/>
      <c r="GW162" s="679"/>
      <c r="GX162" s="679"/>
      <c r="GY162" s="679"/>
      <c r="GZ162" s="679"/>
      <c r="HA162" s="679"/>
      <c r="HB162" s="679"/>
      <c r="HC162" s="679"/>
      <c r="HD162" s="679"/>
      <c r="HE162" s="679"/>
      <c r="HF162" s="679"/>
      <c r="HG162" s="679"/>
      <c r="HH162" s="679"/>
      <c r="HI162" s="679"/>
      <c r="HJ162" s="679"/>
      <c r="HK162" s="679"/>
      <c r="HL162" s="679"/>
      <c r="HM162" s="679"/>
      <c r="HN162" s="679"/>
      <c r="HO162" s="679"/>
      <c r="HP162" s="679"/>
      <c r="HQ162" s="679"/>
      <c r="HR162" s="679"/>
      <c r="HS162" s="679"/>
      <c r="HT162" s="679"/>
      <c r="HU162" s="679"/>
      <c r="HV162" s="679"/>
      <c r="HW162" s="679"/>
      <c r="HX162" s="679"/>
      <c r="HY162" s="679"/>
      <c r="HZ162" s="679"/>
      <c r="IA162" s="679"/>
      <c r="IB162" s="679"/>
      <c r="IC162" s="679"/>
      <c r="ID162" s="679"/>
      <c r="IE162" s="679"/>
      <c r="IF162" s="679"/>
      <c r="IG162" s="679"/>
      <c r="IH162" s="679"/>
      <c r="II162" s="679"/>
      <c r="IJ162" s="679"/>
      <c r="IK162" s="679"/>
      <c r="IL162" s="679"/>
      <c r="IM162" s="679"/>
      <c r="IN162" s="679"/>
      <c r="IO162" s="679"/>
      <c r="IP162" s="679"/>
      <c r="IQ162" s="679"/>
      <c r="IR162" s="679"/>
      <c r="IS162" s="679"/>
      <c r="IT162" s="679"/>
      <c r="IU162" s="679"/>
      <c r="IV162" s="679"/>
      <c r="IW162" s="679"/>
      <c r="IX162" s="679"/>
      <c r="IY162" s="679"/>
      <c r="IZ162" s="679"/>
      <c r="JA162" s="679"/>
      <c r="JB162" s="679"/>
      <c r="JC162" s="679"/>
      <c r="JD162" s="679"/>
      <c r="JE162" s="679"/>
      <c r="JF162" s="679"/>
      <c r="JG162" s="679"/>
      <c r="JH162" s="679"/>
      <c r="JI162" s="679"/>
      <c r="JJ162" s="679"/>
      <c r="JK162" s="679"/>
      <c r="JL162" s="679"/>
      <c r="JM162" s="679"/>
      <c r="JN162" s="679"/>
      <c r="JO162" s="679"/>
      <c r="JP162" s="679"/>
      <c r="JQ162" s="679"/>
      <c r="JR162" s="679"/>
      <c r="JS162" s="679"/>
      <c r="JT162" s="679"/>
      <c r="JU162" s="679"/>
      <c r="JV162" s="679"/>
      <c r="JW162" s="679"/>
      <c r="JX162" s="679"/>
      <c r="JY162" s="679"/>
      <c r="JZ162" s="679"/>
      <c r="KA162" s="679"/>
      <c r="KB162" s="679"/>
      <c r="KC162" s="679"/>
      <c r="KD162" s="679"/>
      <c r="KE162" s="679"/>
      <c r="KF162" s="679"/>
      <c r="KG162" s="679"/>
      <c r="KH162" s="679"/>
      <c r="KI162" s="679"/>
      <c r="KJ162" s="679"/>
      <c r="KK162" s="679"/>
      <c r="KL162" s="679"/>
      <c r="KM162" s="679"/>
      <c r="KN162" s="679"/>
      <c r="KO162" s="679"/>
      <c r="KP162" s="679"/>
      <c r="KQ162" s="679"/>
      <c r="KR162" s="679"/>
      <c r="KS162" s="679"/>
      <c r="KT162" s="679"/>
      <c r="KU162" s="679"/>
      <c r="KV162" s="679"/>
      <c r="KW162" s="679"/>
      <c r="KX162" s="679"/>
      <c r="KY162" s="679"/>
      <c r="KZ162" s="679"/>
      <c r="LA162" s="679"/>
      <c r="LB162" s="679"/>
      <c r="LC162" s="679"/>
      <c r="LD162" s="679"/>
      <c r="LE162" s="679"/>
      <c r="LF162" s="679"/>
      <c r="LG162" s="679"/>
      <c r="LH162" s="679"/>
      <c r="LI162" s="679"/>
      <c r="LJ162" s="679"/>
      <c r="LK162" s="679"/>
      <c r="LL162" s="679"/>
      <c r="LM162" s="679"/>
      <c r="LN162" s="679"/>
      <c r="LO162" s="679"/>
      <c r="LP162" s="679"/>
      <c r="LQ162" s="679"/>
      <c r="LR162" s="679"/>
      <c r="LS162" s="679"/>
      <c r="LT162" s="679"/>
      <c r="LU162" s="679"/>
      <c r="LV162" s="679"/>
      <c r="LW162" s="679"/>
      <c r="LX162" s="679"/>
      <c r="LY162" s="679"/>
      <c r="LZ162" s="679"/>
      <c r="MA162" s="679"/>
      <c r="MB162" s="679"/>
      <c r="MC162" s="679"/>
      <c r="MD162" s="679"/>
      <c r="ME162" s="679"/>
      <c r="MF162" s="679"/>
      <c r="MG162" s="679"/>
      <c r="MH162" s="679"/>
      <c r="MI162" s="679"/>
      <c r="MJ162" s="679"/>
      <c r="MK162" s="679"/>
      <c r="ML162" s="679"/>
      <c r="MM162" s="679"/>
      <c r="MN162" s="679"/>
      <c r="MO162" s="679"/>
      <c r="MP162" s="679"/>
      <c r="MQ162" s="679"/>
      <c r="MR162" s="679"/>
      <c r="MS162" s="679"/>
      <c r="MT162" s="679"/>
      <c r="MU162" s="679"/>
      <c r="MV162" s="679"/>
      <c r="MW162" s="679"/>
      <c r="MX162" s="679"/>
      <c r="MY162" s="679"/>
      <c r="MZ162" s="679"/>
      <c r="NA162" s="679"/>
      <c r="NB162" s="679"/>
      <c r="NC162" s="679"/>
      <c r="ND162" s="679"/>
      <c r="NE162" s="679"/>
      <c r="NF162" s="679"/>
      <c r="NG162" s="679"/>
      <c r="NH162" s="679"/>
      <c r="NI162" s="679"/>
      <c r="NJ162" s="679"/>
      <c r="NK162" s="679"/>
      <c r="NL162" s="679"/>
      <c r="NM162" s="679"/>
      <c r="NN162" s="679"/>
      <c r="NO162" s="679"/>
      <c r="NP162" s="679"/>
      <c r="NQ162" s="679"/>
      <c r="NR162" s="679"/>
      <c r="NS162" s="679"/>
      <c r="NT162" s="679"/>
      <c r="NU162" s="679"/>
      <c r="NV162" s="679"/>
      <c r="NW162" s="679"/>
      <c r="NX162" s="679"/>
      <c r="NY162" s="679"/>
      <c r="NZ162" s="679"/>
      <c r="OA162" s="679"/>
      <c r="OB162" s="679"/>
      <c r="OC162" s="679"/>
      <c r="OD162" s="679"/>
      <c r="OE162" s="679"/>
      <c r="OF162" s="679"/>
      <c r="OG162" s="679"/>
      <c r="OH162" s="679"/>
      <c r="OI162" s="679"/>
      <c r="OJ162" s="679"/>
      <c r="OK162" s="679"/>
      <c r="OL162" s="679"/>
      <c r="OM162" s="679"/>
      <c r="ON162" s="679"/>
      <c r="OO162" s="679"/>
      <c r="OP162" s="679"/>
      <c r="OQ162" s="679"/>
      <c r="OR162" s="679"/>
      <c r="OS162" s="679"/>
      <c r="OT162" s="679"/>
      <c r="OU162" s="679"/>
      <c r="OV162" s="679"/>
      <c r="OW162" s="679"/>
      <c r="OX162" s="679"/>
      <c r="OY162" s="679"/>
      <c r="OZ162" s="679"/>
      <c r="PA162" s="679"/>
      <c r="PB162" s="679"/>
      <c r="PC162" s="679"/>
      <c r="PD162" s="679"/>
      <c r="PE162" s="679"/>
      <c r="PF162" s="679"/>
      <c r="PG162" s="679"/>
      <c r="PH162" s="679"/>
      <c r="PI162" s="679"/>
      <c r="PJ162" s="679"/>
      <c r="PK162" s="679"/>
      <c r="PL162" s="679"/>
      <c r="PM162" s="679"/>
      <c r="PN162" s="679"/>
      <c r="PO162" s="679"/>
      <c r="PP162" s="679"/>
      <c r="PQ162" s="679"/>
      <c r="PR162" s="679"/>
      <c r="PS162" s="679"/>
      <c r="PT162" s="679"/>
      <c r="PU162" s="679"/>
      <c r="PV162" s="679"/>
      <c r="PW162" s="679"/>
      <c r="PX162" s="679"/>
      <c r="PY162" s="679"/>
      <c r="PZ162" s="679"/>
      <c r="QA162" s="679"/>
      <c r="QB162" s="679"/>
      <c r="QC162" s="679"/>
      <c r="QD162" s="679"/>
      <c r="QE162" s="679"/>
      <c r="QF162" s="679"/>
      <c r="QG162" s="679"/>
      <c r="QH162" s="679"/>
      <c r="QI162" s="679"/>
      <c r="QJ162" s="679"/>
      <c r="QK162" s="679"/>
      <c r="QL162" s="679"/>
      <c r="QM162" s="679"/>
      <c r="QN162" s="679"/>
      <c r="QO162" s="679"/>
      <c r="QP162" s="679"/>
      <c r="QQ162" s="679"/>
      <c r="QR162" s="679"/>
      <c r="QS162" s="679"/>
      <c r="QT162" s="679"/>
      <c r="QU162" s="679"/>
      <c r="QV162" s="679"/>
      <c r="QW162" s="679"/>
      <c r="QX162" s="679"/>
      <c r="QY162" s="679"/>
      <c r="QZ162" s="679"/>
      <c r="RA162" s="679"/>
      <c r="RB162" s="679"/>
      <c r="RC162" s="679"/>
      <c r="RD162" s="679"/>
      <c r="RE162" s="679"/>
      <c r="RF162" s="679"/>
      <c r="RG162" s="679"/>
      <c r="RH162" s="679"/>
      <c r="RI162" s="679"/>
      <c r="RJ162" s="679"/>
      <c r="RK162" s="679"/>
      <c r="RL162" s="679"/>
      <c r="RM162" s="679"/>
      <c r="RN162" s="679"/>
      <c r="RO162" s="679"/>
      <c r="RP162" s="679"/>
      <c r="RQ162" s="679"/>
      <c r="RR162" s="679"/>
      <c r="RS162" s="679"/>
      <c r="RT162" s="679"/>
      <c r="RU162" s="679"/>
      <c r="RV162" s="679"/>
      <c r="RW162" s="679"/>
      <c r="RX162" s="679"/>
      <c r="RY162" s="679"/>
      <c r="RZ162" s="679"/>
      <c r="SA162" s="679"/>
      <c r="SB162" s="679"/>
      <c r="SC162" s="679"/>
      <c r="SD162" s="679"/>
      <c r="SE162" s="679"/>
      <c r="SF162" s="679"/>
      <c r="SG162" s="679"/>
      <c r="SH162" s="679"/>
      <c r="SI162" s="679"/>
      <c r="SJ162" s="679"/>
      <c r="SK162" s="679"/>
      <c r="SL162" s="679"/>
      <c r="SM162" s="679"/>
      <c r="SN162" s="679"/>
      <c r="SO162" s="679"/>
      <c r="SP162" s="679"/>
      <c r="SQ162" s="679"/>
      <c r="SR162" s="679"/>
      <c r="SS162" s="679"/>
      <c r="ST162" s="679"/>
      <c r="SU162" s="679"/>
      <c r="SV162" s="679"/>
      <c r="SW162" s="679"/>
      <c r="SX162" s="679"/>
      <c r="SY162" s="679"/>
      <c r="SZ162" s="679"/>
      <c r="TA162" s="679"/>
      <c r="TB162" s="679"/>
      <c r="TC162" s="679"/>
      <c r="TD162" s="679"/>
      <c r="TE162" s="679"/>
      <c r="TF162" s="679"/>
      <c r="TG162" s="679"/>
      <c r="TH162" s="679"/>
      <c r="TI162" s="679"/>
      <c r="TJ162" s="679"/>
      <c r="TK162" s="679"/>
      <c r="TL162" s="679"/>
      <c r="TM162" s="679"/>
      <c r="TN162" s="679"/>
      <c r="TO162" s="679"/>
      <c r="TP162" s="679"/>
      <c r="TQ162" s="679"/>
      <c r="TR162" s="679"/>
      <c r="TS162" s="679"/>
      <c r="TT162" s="679"/>
      <c r="TU162" s="679"/>
      <c r="TV162" s="679"/>
      <c r="TW162" s="679"/>
      <c r="TX162" s="679"/>
      <c r="TY162" s="679"/>
      <c r="TZ162" s="679"/>
      <c r="UA162" s="679"/>
      <c r="UB162" s="679"/>
      <c r="UC162" s="679"/>
      <c r="UD162" s="679"/>
      <c r="UE162" s="679"/>
      <c r="UF162" s="679"/>
      <c r="UG162" s="679"/>
      <c r="UH162" s="679"/>
      <c r="UI162" s="679"/>
      <c r="UJ162" s="679"/>
      <c r="UK162" s="679"/>
      <c r="UL162" s="679"/>
      <c r="UM162" s="679"/>
      <c r="UN162" s="679"/>
      <c r="UO162" s="679"/>
      <c r="UP162" s="679"/>
      <c r="UQ162" s="679"/>
      <c r="UR162" s="679"/>
      <c r="US162" s="679"/>
      <c r="UT162" s="679"/>
      <c r="UU162" s="679"/>
      <c r="UV162" s="679"/>
      <c r="UW162" s="679"/>
      <c r="UX162" s="679"/>
      <c r="UY162" s="679"/>
      <c r="UZ162" s="679"/>
      <c r="VA162" s="679"/>
      <c r="VB162" s="679"/>
      <c r="VC162" s="679"/>
      <c r="VD162" s="679"/>
      <c r="VE162" s="679"/>
      <c r="VF162" s="679"/>
      <c r="VG162" s="679"/>
      <c r="VH162" s="679"/>
      <c r="VI162" s="679"/>
      <c r="VJ162" s="679"/>
      <c r="VK162" s="679"/>
      <c r="VL162" s="679"/>
      <c r="VM162" s="679"/>
      <c r="VN162" s="679"/>
      <c r="VO162" s="679"/>
      <c r="VP162" s="679"/>
      <c r="VQ162" s="679"/>
      <c r="VR162" s="679"/>
      <c r="VS162" s="679"/>
      <c r="VT162" s="679"/>
      <c r="VU162" s="679"/>
      <c r="VV162" s="679"/>
      <c r="VW162" s="679"/>
      <c r="VX162" s="679"/>
      <c r="VY162" s="679"/>
      <c r="VZ162" s="679"/>
      <c r="WA162" s="679"/>
      <c r="WB162" s="679"/>
      <c r="WC162" s="679"/>
      <c r="WD162" s="679"/>
      <c r="WE162" s="679"/>
      <c r="WF162" s="679"/>
      <c r="WG162" s="679"/>
      <c r="WH162" s="679"/>
      <c r="WI162" s="679"/>
      <c r="WJ162" s="679"/>
      <c r="WK162" s="679"/>
      <c r="WL162" s="679"/>
      <c r="WM162" s="679"/>
      <c r="WN162" s="679"/>
      <c r="WO162" s="679"/>
      <c r="WP162" s="679"/>
      <c r="WQ162" s="679"/>
      <c r="WR162" s="679"/>
      <c r="WS162" s="679"/>
      <c r="WT162" s="679"/>
      <c r="WU162" s="679"/>
      <c r="WV162" s="679"/>
      <c r="WW162" s="679"/>
      <c r="WX162" s="679"/>
      <c r="WY162" s="679"/>
      <c r="WZ162" s="679"/>
      <c r="XA162" s="679"/>
      <c r="XB162" s="679"/>
      <c r="XC162" s="679"/>
      <c r="XD162" s="679"/>
      <c r="XE162" s="679"/>
      <c r="XF162" s="679"/>
      <c r="XG162" s="679"/>
      <c r="XH162" s="679"/>
      <c r="XI162" s="679"/>
      <c r="XJ162" s="679"/>
      <c r="XK162" s="679"/>
      <c r="XL162" s="679"/>
      <c r="XM162" s="679"/>
      <c r="XN162" s="679"/>
      <c r="XO162" s="679"/>
      <c r="XP162" s="679"/>
      <c r="XQ162" s="679"/>
      <c r="XR162" s="679"/>
      <c r="XS162" s="679"/>
      <c r="XT162" s="679"/>
      <c r="XU162" s="679"/>
      <c r="XV162" s="679"/>
      <c r="XW162" s="679"/>
      <c r="XX162" s="679"/>
      <c r="XY162" s="679"/>
      <c r="XZ162" s="679"/>
      <c r="YA162" s="679"/>
      <c r="YB162" s="679"/>
      <c r="YC162" s="679"/>
      <c r="YD162" s="679"/>
      <c r="YE162" s="679"/>
      <c r="YF162" s="679"/>
      <c r="YG162" s="679"/>
      <c r="YH162" s="679"/>
      <c r="YI162" s="679"/>
      <c r="YJ162" s="679"/>
      <c r="YK162" s="679"/>
      <c r="YL162" s="679"/>
      <c r="YM162" s="679"/>
      <c r="YN162" s="679"/>
      <c r="YO162" s="679"/>
      <c r="YP162" s="679"/>
      <c r="YQ162" s="679"/>
      <c r="YR162" s="679"/>
      <c r="YS162" s="679"/>
      <c r="YT162" s="679"/>
      <c r="YU162" s="679"/>
      <c r="YV162" s="679"/>
      <c r="YW162" s="679"/>
      <c r="YX162" s="679"/>
      <c r="YY162" s="679"/>
      <c r="YZ162" s="679"/>
      <c r="ZA162" s="679"/>
      <c r="ZB162" s="679"/>
      <c r="ZC162" s="679"/>
      <c r="ZD162" s="679"/>
      <c r="ZE162" s="679"/>
      <c r="ZF162" s="679"/>
      <c r="ZG162" s="679"/>
      <c r="ZH162" s="679"/>
      <c r="ZI162" s="679"/>
      <c r="ZJ162" s="679"/>
      <c r="ZK162" s="679"/>
      <c r="ZL162" s="679"/>
      <c r="ZM162" s="679"/>
      <c r="ZN162" s="679"/>
      <c r="ZO162" s="679"/>
      <c r="ZP162" s="679"/>
      <c r="ZQ162" s="679"/>
      <c r="ZR162" s="679"/>
      <c r="ZS162" s="679"/>
      <c r="ZT162" s="679"/>
      <c r="ZU162" s="679"/>
      <c r="ZV162" s="679"/>
      <c r="ZW162" s="679"/>
      <c r="ZX162" s="679"/>
      <c r="ZY162" s="679"/>
      <c r="ZZ162" s="679"/>
      <c r="AAA162" s="679"/>
      <c r="AAB162" s="679"/>
      <c r="AAC162" s="679"/>
      <c r="AAD162" s="679"/>
      <c r="AAE162" s="679"/>
      <c r="AAF162" s="679"/>
      <c r="AAG162" s="679"/>
      <c r="AAH162" s="679"/>
      <c r="AAI162" s="679"/>
      <c r="AAJ162" s="679"/>
      <c r="AAK162" s="679"/>
      <c r="AAL162" s="679"/>
      <c r="AAM162" s="679"/>
      <c r="AAN162" s="679"/>
      <c r="AAO162" s="679"/>
      <c r="AAP162" s="679"/>
      <c r="AAQ162" s="679"/>
      <c r="AAR162" s="679"/>
      <c r="AAS162" s="679"/>
      <c r="AAT162" s="679"/>
      <c r="AAU162" s="679"/>
      <c r="AAV162" s="679"/>
      <c r="AAW162" s="679"/>
      <c r="AAX162" s="679"/>
      <c r="AAY162" s="679"/>
      <c r="AAZ162" s="679"/>
      <c r="ABA162" s="679"/>
      <c r="ABB162" s="679"/>
      <c r="ABC162" s="679"/>
      <c r="ABD162" s="679"/>
      <c r="ABE162" s="679"/>
      <c r="ABF162" s="679"/>
      <c r="ABG162" s="679"/>
      <c r="ABH162" s="679"/>
      <c r="ABI162" s="679"/>
      <c r="ABJ162" s="679"/>
      <c r="ABK162" s="679"/>
      <c r="ABL162" s="679"/>
      <c r="ABM162" s="679"/>
      <c r="ABN162" s="679"/>
      <c r="ABO162" s="679"/>
      <c r="ABP162" s="679"/>
      <c r="ABQ162" s="679"/>
      <c r="ABR162" s="679"/>
      <c r="ABS162" s="679"/>
      <c r="ABT162" s="679"/>
      <c r="ABU162" s="679"/>
      <c r="ABV162" s="679"/>
      <c r="ABW162" s="679"/>
      <c r="ABX162" s="679"/>
      <c r="ABY162" s="679"/>
      <c r="ABZ162" s="679"/>
      <c r="ACA162" s="679"/>
      <c r="ACB162" s="679"/>
      <c r="ACC162" s="679"/>
      <c r="ACD162" s="679"/>
      <c r="ACE162" s="679"/>
      <c r="ACF162" s="679"/>
      <c r="ACG162" s="679"/>
      <c r="ACH162" s="679"/>
      <c r="ACI162" s="679"/>
      <c r="ACJ162" s="679"/>
      <c r="ACK162" s="679"/>
      <c r="ACL162" s="679"/>
      <c r="ACM162" s="679"/>
      <c r="ACN162" s="679"/>
      <c r="ACO162" s="679"/>
      <c r="ACP162" s="679"/>
      <c r="ACQ162" s="679"/>
      <c r="ACR162" s="679"/>
      <c r="ACS162" s="679"/>
      <c r="ACT162" s="679"/>
      <c r="ACU162" s="679"/>
      <c r="ACV162" s="679"/>
      <c r="ACW162" s="679"/>
      <c r="ACX162" s="679"/>
      <c r="ACY162" s="679"/>
      <c r="ACZ162" s="679"/>
      <c r="ADA162" s="679"/>
      <c r="ADB162" s="679"/>
      <c r="ADC162" s="679"/>
      <c r="ADD162" s="679"/>
      <c r="ADE162" s="679"/>
      <c r="ADF162" s="679"/>
      <c r="ADG162" s="679"/>
      <c r="ADH162" s="679"/>
      <c r="ADI162" s="679"/>
      <c r="ADJ162" s="679"/>
      <c r="ADK162" s="679"/>
      <c r="ADL162" s="679"/>
      <c r="ADM162" s="679"/>
      <c r="ADN162" s="679"/>
      <c r="ADO162" s="679"/>
      <c r="ADP162" s="679"/>
      <c r="ADQ162" s="679"/>
      <c r="ADR162" s="679"/>
      <c r="ADS162" s="679"/>
      <c r="ADT162" s="679"/>
      <c r="ADU162" s="679"/>
      <c r="ADV162" s="679"/>
      <c r="ADW162" s="679"/>
      <c r="ADX162" s="679"/>
      <c r="ADY162" s="679"/>
      <c r="ADZ162" s="679"/>
      <c r="AEA162" s="679"/>
      <c r="AEB162" s="679"/>
      <c r="AEC162" s="679"/>
      <c r="AED162" s="679"/>
      <c r="AEE162" s="679"/>
      <c r="AEF162" s="679"/>
      <c r="AEG162" s="679"/>
      <c r="AEH162" s="679"/>
      <c r="AEI162" s="679"/>
      <c r="AEJ162" s="679"/>
      <c r="AEK162" s="679"/>
      <c r="AEL162" s="679"/>
      <c r="AEM162" s="679"/>
      <c r="AEN162" s="679"/>
      <c r="AEO162" s="679"/>
      <c r="AEP162" s="679"/>
      <c r="AEQ162" s="679"/>
      <c r="AER162" s="679"/>
      <c r="AES162" s="679"/>
      <c r="AET162" s="679"/>
      <c r="AEU162" s="679"/>
      <c r="AEV162" s="679"/>
      <c r="AEW162" s="679"/>
      <c r="AEX162" s="679"/>
      <c r="AEY162" s="679"/>
      <c r="AEZ162" s="679"/>
      <c r="AFA162" s="679"/>
      <c r="AFB162" s="679"/>
      <c r="AFC162" s="679"/>
      <c r="AFD162" s="679"/>
      <c r="AFE162" s="679"/>
      <c r="AFF162" s="679"/>
      <c r="AFG162" s="679"/>
      <c r="AFH162" s="679"/>
      <c r="AFI162" s="679"/>
      <c r="AFJ162" s="679"/>
      <c r="AFK162" s="679"/>
      <c r="AFL162" s="679"/>
      <c r="AFM162" s="679"/>
      <c r="AFN162" s="679"/>
      <c r="AFO162" s="679"/>
      <c r="AFP162" s="679"/>
      <c r="AFQ162" s="679"/>
      <c r="AFR162" s="679"/>
      <c r="AFS162" s="679"/>
      <c r="AFT162" s="679"/>
      <c r="AFU162" s="679"/>
      <c r="AFV162" s="679"/>
      <c r="AFW162" s="679"/>
      <c r="AFX162" s="679"/>
      <c r="AFY162" s="679"/>
      <c r="AFZ162" s="679"/>
      <c r="AGA162" s="679"/>
      <c r="AGB162" s="679"/>
      <c r="AGC162" s="679"/>
      <c r="AGD162" s="679"/>
      <c r="AGE162" s="679"/>
      <c r="AGF162" s="679"/>
      <c r="AGG162" s="679"/>
      <c r="AGH162" s="679"/>
      <c r="AGI162" s="679"/>
      <c r="AGJ162" s="679"/>
      <c r="AGK162" s="679"/>
      <c r="AGL162" s="679"/>
      <c r="AGM162" s="679"/>
      <c r="AGN162" s="679"/>
      <c r="AGO162" s="679"/>
      <c r="AGP162" s="679"/>
      <c r="AGQ162" s="679"/>
      <c r="AGR162" s="679"/>
      <c r="AGS162" s="679"/>
      <c r="AGT162" s="679"/>
      <c r="AGU162" s="679"/>
      <c r="AGV162" s="679"/>
      <c r="AGW162" s="679"/>
      <c r="AGX162" s="679"/>
      <c r="AGY162" s="679"/>
      <c r="AGZ162" s="679"/>
      <c r="AHA162" s="679"/>
      <c r="AHB162" s="679"/>
      <c r="AHC162" s="679"/>
      <c r="AHD162" s="679"/>
      <c r="AHE162" s="679"/>
      <c r="AHF162" s="679"/>
      <c r="AHG162" s="679"/>
      <c r="AHH162" s="679"/>
      <c r="AHI162" s="679"/>
      <c r="AHJ162" s="679"/>
      <c r="AHK162" s="679"/>
      <c r="AHL162" s="679"/>
      <c r="AHM162" s="679"/>
      <c r="AHN162" s="679"/>
      <c r="AHO162" s="679"/>
      <c r="AHP162" s="679"/>
      <c r="AHQ162" s="679"/>
      <c r="AHR162" s="679"/>
      <c r="AHS162" s="679"/>
      <c r="AHT162" s="679"/>
      <c r="AHU162" s="679"/>
      <c r="AHV162" s="679"/>
      <c r="AHW162" s="679"/>
      <c r="AHX162" s="679"/>
      <c r="AHY162" s="679"/>
      <c r="AHZ162" s="679"/>
      <c r="AIA162" s="679"/>
      <c r="AIB162" s="679"/>
      <c r="AIC162" s="679"/>
      <c r="AID162" s="679"/>
      <c r="AIE162" s="679"/>
      <c r="AIF162" s="679"/>
      <c r="AIG162" s="679"/>
      <c r="AIH162" s="679"/>
      <c r="AII162" s="679"/>
      <c r="AIJ162" s="679"/>
      <c r="AIK162" s="679"/>
      <c r="AIL162" s="679"/>
      <c r="AIM162" s="679"/>
      <c r="AIN162" s="679"/>
      <c r="AIO162" s="679"/>
      <c r="AIP162" s="679"/>
      <c r="AIQ162" s="679"/>
      <c r="AIR162" s="679"/>
      <c r="AIS162" s="679"/>
      <c r="AIT162" s="679"/>
      <c r="AIU162" s="679"/>
      <c r="AIV162" s="679"/>
      <c r="AIW162" s="679"/>
      <c r="AIX162" s="679"/>
      <c r="AIY162" s="679"/>
      <c r="AIZ162" s="679"/>
      <c r="AJA162" s="679"/>
      <c r="AJB162" s="679"/>
      <c r="AJC162" s="679"/>
      <c r="AJD162" s="679"/>
      <c r="AJE162" s="679"/>
      <c r="AJF162" s="679"/>
      <c r="AJG162" s="679"/>
      <c r="AJH162" s="679"/>
      <c r="AJI162" s="679"/>
      <c r="AJJ162" s="679"/>
      <c r="AJK162" s="679"/>
      <c r="AJL162" s="679"/>
      <c r="AJM162" s="679"/>
      <c r="AJN162" s="679"/>
      <c r="AJO162" s="679"/>
      <c r="AJP162" s="679"/>
      <c r="AJQ162" s="679"/>
      <c r="AJR162" s="679"/>
      <c r="AJS162" s="679"/>
      <c r="AJT162" s="679"/>
      <c r="AJU162" s="679"/>
      <c r="AJV162" s="679"/>
      <c r="AJW162" s="679"/>
      <c r="AJX162" s="679"/>
      <c r="AJY162" s="679"/>
      <c r="AJZ162" s="679"/>
      <c r="AKA162" s="679"/>
      <c r="AKB162" s="679"/>
      <c r="AKC162" s="679"/>
      <c r="AKD162" s="679"/>
      <c r="AKE162" s="679"/>
      <c r="AKF162" s="679"/>
      <c r="AKG162" s="679"/>
      <c r="AKH162" s="679"/>
      <c r="AKI162" s="679"/>
      <c r="AKJ162" s="679"/>
      <c r="AKK162" s="679"/>
      <c r="AKL162" s="679"/>
      <c r="AKM162" s="679"/>
      <c r="AKN162" s="679"/>
      <c r="AKO162" s="679"/>
      <c r="AKP162" s="679"/>
      <c r="AKQ162" s="679"/>
      <c r="AKR162" s="679"/>
      <c r="AKS162" s="679"/>
      <c r="AKT162" s="679"/>
      <c r="AKU162" s="679"/>
      <c r="AKV162" s="679"/>
      <c r="AKW162" s="679"/>
      <c r="AKX162" s="679"/>
      <c r="AKY162" s="679"/>
      <c r="AKZ162" s="679"/>
      <c r="ALA162" s="679"/>
      <c r="ALB162" s="679"/>
      <c r="ALC162" s="679"/>
      <c r="ALD162" s="679"/>
      <c r="ALE162" s="679"/>
      <c r="ALF162" s="679"/>
      <c r="ALG162" s="679"/>
      <c r="ALH162" s="679"/>
      <c r="ALI162" s="679"/>
      <c r="ALJ162" s="679"/>
      <c r="ALK162" s="679"/>
      <c r="ALL162" s="679"/>
      <c r="ALM162" s="679"/>
      <c r="ALN162" s="679"/>
      <c r="ALO162" s="679"/>
      <c r="ALP162" s="679"/>
      <c r="ALQ162" s="679"/>
      <c r="ALR162" s="679"/>
      <c r="ALS162" s="679"/>
      <c r="ALT162" s="679"/>
      <c r="ALU162" s="679"/>
      <c r="ALV162" s="679"/>
      <c r="ALW162" s="679"/>
      <c r="ALX162" s="679"/>
      <c r="ALY162" s="679"/>
      <c r="ALZ162" s="679"/>
      <c r="AMA162" s="679"/>
      <c r="AMB162" s="679"/>
      <c r="AMC162" s="679"/>
      <c r="AMD162" s="679"/>
      <c r="AME162" s="679"/>
      <c r="AMF162" s="679"/>
      <c r="AMG162" s="679"/>
      <c r="AMH162" s="679"/>
      <c r="AMI162" s="679"/>
      <c r="AMJ162" s="679"/>
      <c r="AMK162" s="679"/>
      <c r="AML162" s="679"/>
      <c r="AMM162" s="679"/>
      <c r="AMN162" s="679"/>
      <c r="AMO162" s="679"/>
      <c r="AMP162" s="679"/>
      <c r="AMQ162" s="679"/>
      <c r="AMR162" s="679"/>
      <c r="AMS162" s="679"/>
      <c r="AMT162" s="679"/>
      <c r="AMU162" s="679"/>
      <c r="AMV162" s="679"/>
      <c r="AMW162" s="679"/>
      <c r="AMX162" s="679"/>
      <c r="AMY162" s="679"/>
      <c r="AMZ162" s="679"/>
      <c r="ANA162" s="679"/>
      <c r="ANB162" s="679"/>
      <c r="ANC162" s="679"/>
      <c r="AND162" s="679"/>
      <c r="ANE162" s="679"/>
      <c r="ANF162" s="679"/>
      <c r="ANG162" s="679"/>
      <c r="ANH162" s="679"/>
      <c r="ANI162" s="679"/>
      <c r="ANJ162" s="679"/>
      <c r="ANK162" s="679"/>
      <c r="ANL162" s="679"/>
      <c r="ANM162" s="679"/>
      <c r="ANN162" s="679"/>
      <c r="ANO162" s="679"/>
      <c r="ANP162" s="679"/>
      <c r="ANQ162" s="679"/>
      <c r="ANR162" s="679"/>
      <c r="ANS162" s="679"/>
      <c r="ANT162" s="679"/>
      <c r="ANU162" s="679"/>
      <c r="ANV162" s="679"/>
      <c r="ANW162" s="679"/>
      <c r="ANX162" s="679"/>
      <c r="ANY162" s="679"/>
      <c r="ANZ162" s="679"/>
      <c r="AOA162" s="679"/>
      <c r="AOB162" s="679"/>
      <c r="AOC162" s="679"/>
      <c r="AOD162" s="679"/>
      <c r="AOE162" s="679"/>
      <c r="AOF162" s="679"/>
      <c r="AOG162" s="679"/>
      <c r="AOH162" s="679"/>
      <c r="AOI162" s="679"/>
      <c r="AOJ162" s="679"/>
      <c r="AOK162" s="679"/>
      <c r="AOL162" s="679"/>
      <c r="AOM162" s="679"/>
      <c r="AON162" s="679"/>
      <c r="AOO162" s="679"/>
      <c r="AOP162" s="679"/>
      <c r="AOQ162" s="679"/>
      <c r="AOR162" s="679"/>
      <c r="AOS162" s="679"/>
      <c r="AOT162" s="679"/>
      <c r="AOU162" s="679"/>
      <c r="AOV162" s="679"/>
      <c r="AOW162" s="679"/>
      <c r="AOX162" s="679"/>
      <c r="AOY162" s="679"/>
      <c r="AOZ162" s="679"/>
      <c r="APA162" s="679"/>
      <c r="APB162" s="679"/>
      <c r="APC162" s="679"/>
      <c r="APD162" s="679"/>
      <c r="APE162" s="679"/>
      <c r="APF162" s="679"/>
      <c r="APG162" s="679"/>
      <c r="APH162" s="679"/>
      <c r="API162" s="679"/>
      <c r="APJ162" s="679"/>
      <c r="APK162" s="679"/>
      <c r="APL162" s="679"/>
      <c r="APM162" s="679"/>
      <c r="APN162" s="679"/>
      <c r="APO162" s="679"/>
      <c r="APP162" s="679"/>
      <c r="APQ162" s="679"/>
      <c r="APR162" s="679"/>
      <c r="APS162" s="679"/>
      <c r="APT162" s="679"/>
      <c r="APU162" s="679"/>
      <c r="APV162" s="679"/>
      <c r="APW162" s="679"/>
      <c r="APX162" s="679"/>
      <c r="APY162" s="679"/>
      <c r="APZ162" s="679"/>
      <c r="AQA162" s="679"/>
      <c r="AQB162" s="679"/>
      <c r="AQC162" s="679"/>
      <c r="AQD162" s="679"/>
      <c r="AQE162" s="679"/>
      <c r="AQF162" s="679"/>
      <c r="AQG162" s="679"/>
      <c r="AQH162" s="679"/>
      <c r="AQI162" s="679"/>
      <c r="AQJ162" s="679"/>
      <c r="AQK162" s="679"/>
      <c r="AQL162" s="679"/>
      <c r="AQM162" s="679"/>
      <c r="AQN162" s="679"/>
      <c r="AQO162" s="679"/>
      <c r="AQP162" s="679"/>
      <c r="AQQ162" s="679"/>
      <c r="AQR162" s="679"/>
      <c r="AQS162" s="679"/>
      <c r="AQT162" s="679"/>
      <c r="AQU162" s="679"/>
      <c r="AQV162" s="679"/>
      <c r="AQW162" s="679"/>
      <c r="AQX162" s="679"/>
      <c r="AQY162" s="679"/>
      <c r="AQZ162" s="679"/>
      <c r="ARA162" s="679"/>
      <c r="ARB162" s="679"/>
      <c r="ARC162" s="679"/>
      <c r="ARD162" s="679"/>
      <c r="ARE162" s="679"/>
      <c r="ARF162" s="679"/>
      <c r="ARG162" s="679"/>
      <c r="ARH162" s="679"/>
      <c r="ARI162" s="679"/>
      <c r="ARJ162" s="679"/>
      <c r="ARK162" s="679"/>
      <c r="ARL162" s="679"/>
      <c r="ARM162" s="679"/>
      <c r="ARN162" s="679"/>
      <c r="ARO162" s="679"/>
      <c r="ARP162" s="679"/>
      <c r="ARQ162" s="679"/>
      <c r="ARR162" s="679"/>
      <c r="ARS162" s="679"/>
      <c r="ART162" s="679"/>
      <c r="ARU162" s="679"/>
      <c r="ARV162" s="679"/>
      <c r="ARW162" s="679"/>
      <c r="ARX162" s="679"/>
      <c r="ARY162" s="679"/>
      <c r="ARZ162" s="679"/>
      <c r="ASA162" s="679"/>
      <c r="ASB162" s="679"/>
      <c r="ASC162" s="679"/>
      <c r="ASD162" s="679"/>
      <c r="ASE162" s="679"/>
      <c r="ASF162" s="679"/>
      <c r="ASG162" s="679"/>
      <c r="ASH162" s="679"/>
      <c r="ASI162" s="679"/>
      <c r="ASJ162" s="679"/>
      <c r="ASK162" s="679"/>
      <c r="ASL162" s="679"/>
      <c r="ASM162" s="679"/>
      <c r="ASN162" s="679"/>
      <c r="ASO162" s="679"/>
      <c r="ASP162" s="679"/>
      <c r="ASQ162" s="679"/>
      <c r="ASR162" s="679"/>
      <c r="ASS162" s="679"/>
      <c r="AST162" s="679"/>
      <c r="ASU162" s="679"/>
      <c r="ASV162" s="679"/>
      <c r="ASW162" s="679"/>
      <c r="ASX162" s="679"/>
      <c r="ASY162" s="679"/>
      <c r="ASZ162" s="679"/>
      <c r="ATA162" s="679"/>
      <c r="ATB162" s="679"/>
      <c r="ATC162" s="679"/>
      <c r="ATD162" s="679"/>
      <c r="ATE162" s="679"/>
      <c r="ATF162" s="679"/>
      <c r="ATG162" s="679"/>
      <c r="ATH162" s="679"/>
      <c r="ATI162" s="679"/>
      <c r="ATJ162" s="679"/>
      <c r="ATK162" s="679"/>
      <c r="ATL162" s="679"/>
      <c r="ATM162" s="679"/>
      <c r="ATN162" s="679"/>
      <c r="ATO162" s="679"/>
      <c r="ATP162" s="679"/>
      <c r="ATQ162" s="679"/>
      <c r="ATR162" s="679"/>
      <c r="ATS162" s="679"/>
      <c r="ATT162" s="679"/>
      <c r="ATU162" s="679"/>
      <c r="ATV162" s="679"/>
      <c r="ATW162" s="679"/>
      <c r="ATX162" s="679"/>
      <c r="ATY162" s="679"/>
      <c r="ATZ162" s="679"/>
      <c r="AUA162" s="679"/>
      <c r="AUB162" s="679"/>
      <c r="AUC162" s="679"/>
      <c r="AUD162" s="679"/>
      <c r="AUE162" s="679"/>
      <c r="AUF162" s="679"/>
      <c r="AUG162" s="679"/>
      <c r="AUH162" s="679"/>
      <c r="AUI162" s="679"/>
      <c r="AUJ162" s="679"/>
      <c r="AUK162" s="679"/>
      <c r="AUL162" s="679"/>
      <c r="AUM162" s="679"/>
      <c r="AUN162" s="679"/>
      <c r="AUO162" s="679"/>
      <c r="AUP162" s="679"/>
      <c r="AUQ162" s="679"/>
      <c r="AUR162" s="679"/>
      <c r="AUS162" s="679"/>
      <c r="AUT162" s="679"/>
      <c r="AUU162" s="679"/>
      <c r="AUV162" s="679"/>
      <c r="AUW162" s="679"/>
      <c r="AUX162" s="679"/>
      <c r="AUY162" s="679"/>
      <c r="AUZ162" s="679"/>
      <c r="AVA162" s="679"/>
      <c r="AVB162" s="679"/>
      <c r="AVC162" s="679"/>
      <c r="AVD162" s="679"/>
      <c r="AVE162" s="679"/>
      <c r="AVF162" s="679"/>
      <c r="AVG162" s="679"/>
      <c r="AVH162" s="679"/>
      <c r="AVI162" s="679"/>
      <c r="AVJ162" s="679"/>
      <c r="AVK162" s="679"/>
      <c r="AVL162" s="679"/>
      <c r="AVM162" s="679"/>
      <c r="AVN162" s="679"/>
      <c r="AVO162" s="679"/>
      <c r="AVP162" s="679"/>
      <c r="AVQ162" s="679"/>
      <c r="AVR162" s="679"/>
      <c r="AVS162" s="679"/>
      <c r="AVT162" s="679"/>
      <c r="AVU162" s="679"/>
      <c r="AVV162" s="679"/>
      <c r="AVW162" s="679"/>
      <c r="AVX162" s="679"/>
      <c r="AVY162" s="679"/>
      <c r="AVZ162" s="679"/>
      <c r="AWA162" s="679"/>
      <c r="AWB162" s="679"/>
      <c r="AWC162" s="679"/>
      <c r="AWD162" s="679"/>
      <c r="AWE162" s="679"/>
      <c r="AWF162" s="679"/>
      <c r="AWG162" s="679"/>
      <c r="AWH162" s="679"/>
      <c r="AWI162" s="679"/>
      <c r="AWJ162" s="679"/>
      <c r="AWK162" s="679"/>
      <c r="AWL162" s="679"/>
      <c r="AWM162" s="679"/>
      <c r="AWN162" s="679"/>
      <c r="AWO162" s="679"/>
      <c r="AWP162" s="679"/>
      <c r="AWQ162" s="679"/>
      <c r="AWR162" s="679"/>
      <c r="AWS162" s="679"/>
      <c r="AWT162" s="679"/>
      <c r="AWU162" s="679"/>
      <c r="AWV162" s="679"/>
      <c r="AWW162" s="679"/>
      <c r="AWX162" s="679"/>
      <c r="AWY162" s="679"/>
      <c r="AWZ162" s="679"/>
      <c r="AXA162" s="679"/>
      <c r="AXB162" s="679"/>
      <c r="AXC162" s="679"/>
      <c r="AXD162" s="679"/>
      <c r="AXE162" s="679"/>
      <c r="AXF162" s="679"/>
      <c r="AXG162" s="679"/>
      <c r="AXH162" s="679"/>
      <c r="AXI162" s="679"/>
      <c r="AXJ162" s="679"/>
      <c r="AXK162" s="679"/>
      <c r="AXL162" s="679"/>
      <c r="AXM162" s="679"/>
      <c r="AXN162" s="679"/>
      <c r="AXO162" s="679"/>
      <c r="AXP162" s="679"/>
      <c r="AXQ162" s="679"/>
      <c r="AXR162" s="679"/>
      <c r="AXS162" s="679"/>
      <c r="AXT162" s="679"/>
      <c r="AXU162" s="679"/>
      <c r="AXV162" s="679"/>
      <c r="AXW162" s="679"/>
      <c r="AXX162" s="679"/>
      <c r="AXY162" s="679"/>
      <c r="AXZ162" s="679"/>
      <c r="AYA162" s="679"/>
      <c r="AYB162" s="679"/>
      <c r="AYC162" s="679"/>
      <c r="AYD162" s="679"/>
      <c r="AYE162" s="679"/>
      <c r="AYF162" s="679"/>
      <c r="AYG162" s="679"/>
      <c r="AYH162" s="679"/>
      <c r="AYI162" s="679"/>
      <c r="AYJ162" s="679"/>
      <c r="AYK162" s="679"/>
      <c r="AYL162" s="679"/>
      <c r="AYM162" s="679"/>
      <c r="AYN162" s="679"/>
      <c r="AYO162" s="679"/>
      <c r="AYP162" s="679"/>
      <c r="AYQ162" s="679"/>
      <c r="AYR162" s="679"/>
      <c r="AYS162" s="679"/>
      <c r="AYT162" s="679"/>
      <c r="AYU162" s="679"/>
      <c r="AYV162" s="679"/>
      <c r="AYW162" s="679"/>
      <c r="AYX162" s="679"/>
      <c r="AYY162" s="679"/>
      <c r="AYZ162" s="679"/>
      <c r="AZA162" s="679"/>
      <c r="AZB162" s="679"/>
      <c r="AZC162" s="679"/>
      <c r="AZD162" s="679"/>
      <c r="AZE162" s="679"/>
      <c r="AZF162" s="679"/>
      <c r="AZG162" s="679"/>
      <c r="AZH162" s="679"/>
      <c r="AZI162" s="679"/>
      <c r="AZJ162" s="679"/>
      <c r="AZK162" s="679"/>
      <c r="AZL162" s="679"/>
      <c r="AZM162" s="679"/>
      <c r="AZN162" s="679"/>
      <c r="AZO162" s="679"/>
      <c r="AZP162" s="679"/>
      <c r="AZQ162" s="679"/>
      <c r="AZR162" s="679"/>
      <c r="AZS162" s="679"/>
      <c r="AZT162" s="679"/>
      <c r="AZU162" s="679"/>
      <c r="AZV162" s="679"/>
      <c r="AZW162" s="679"/>
      <c r="AZX162" s="679"/>
      <c r="AZY162" s="679"/>
      <c r="AZZ162" s="679"/>
      <c r="BAA162" s="679"/>
      <c r="BAB162" s="679"/>
      <c r="BAC162" s="679"/>
      <c r="BAD162" s="679"/>
      <c r="BAE162" s="679"/>
      <c r="BAF162" s="679"/>
      <c r="BAG162" s="679"/>
      <c r="BAH162" s="679"/>
      <c r="BAI162" s="679"/>
      <c r="BAJ162" s="679"/>
      <c r="BAK162" s="679"/>
      <c r="BAL162" s="679"/>
      <c r="BAM162" s="679"/>
      <c r="BAN162" s="679"/>
      <c r="BAO162" s="679"/>
      <c r="BAP162" s="679"/>
      <c r="BAQ162" s="679"/>
      <c r="BAR162" s="679"/>
      <c r="BAS162" s="679"/>
      <c r="BAT162" s="679"/>
      <c r="BAU162" s="679"/>
      <c r="BAV162" s="679"/>
      <c r="BAW162" s="679"/>
      <c r="BAX162" s="679"/>
      <c r="BAY162" s="679"/>
      <c r="BAZ162" s="679"/>
      <c r="BBA162" s="679"/>
      <c r="BBB162" s="679"/>
      <c r="BBC162" s="679"/>
      <c r="BBD162" s="679"/>
      <c r="BBE162" s="679"/>
      <c r="BBF162" s="679"/>
      <c r="BBG162" s="679"/>
      <c r="BBH162" s="679"/>
      <c r="BBI162" s="679"/>
      <c r="BBJ162" s="679"/>
      <c r="BBK162" s="679"/>
      <c r="BBL162" s="679"/>
      <c r="BBM162" s="679"/>
      <c r="BBN162" s="679"/>
      <c r="BBO162" s="679"/>
      <c r="BBP162" s="679"/>
      <c r="BBQ162" s="679"/>
      <c r="BBR162" s="679"/>
      <c r="BBS162" s="679"/>
      <c r="BBT162" s="679"/>
      <c r="BBU162" s="679"/>
      <c r="BBV162" s="679"/>
      <c r="BBW162" s="679"/>
      <c r="BBX162" s="679"/>
      <c r="BBY162" s="679"/>
      <c r="BBZ162" s="679"/>
      <c r="BCA162" s="679"/>
      <c r="BCB162" s="679"/>
      <c r="BCC162" s="679"/>
      <c r="BCD162" s="679"/>
      <c r="BCE162" s="679"/>
      <c r="BCF162" s="679"/>
      <c r="BCG162" s="679"/>
      <c r="BCH162" s="679"/>
      <c r="BCI162" s="679"/>
      <c r="BCJ162" s="679"/>
      <c r="BCK162" s="679"/>
      <c r="BCL162" s="679"/>
      <c r="BCM162" s="679"/>
      <c r="BCN162" s="679"/>
      <c r="BCO162" s="679"/>
      <c r="BCP162" s="679"/>
      <c r="BCQ162" s="679"/>
      <c r="BCR162" s="679"/>
      <c r="BCS162" s="679"/>
      <c r="BCT162" s="679"/>
      <c r="BCU162" s="679"/>
      <c r="BCV162" s="679"/>
      <c r="BCW162" s="679"/>
      <c r="BCX162" s="679"/>
      <c r="BCY162" s="679"/>
      <c r="BCZ162" s="679"/>
      <c r="BDA162" s="679"/>
      <c r="BDB162" s="679"/>
      <c r="BDC162" s="679"/>
      <c r="BDD162" s="679"/>
      <c r="BDE162" s="679"/>
      <c r="BDF162" s="679"/>
      <c r="BDG162" s="679"/>
      <c r="BDH162" s="679"/>
      <c r="BDI162" s="679"/>
      <c r="BDJ162" s="679"/>
      <c r="BDK162" s="679"/>
      <c r="BDL162" s="679"/>
      <c r="BDM162" s="679"/>
      <c r="BDN162" s="679"/>
      <c r="BDO162" s="679"/>
      <c r="BDP162" s="679"/>
      <c r="BDQ162" s="679"/>
      <c r="BDR162" s="679"/>
      <c r="BDS162" s="679"/>
      <c r="BDT162" s="679"/>
      <c r="BDU162" s="679"/>
      <c r="BDV162" s="679"/>
      <c r="BDW162" s="679"/>
      <c r="BDX162" s="679"/>
      <c r="BDY162" s="679"/>
      <c r="BDZ162" s="679"/>
      <c r="BEA162" s="679"/>
      <c r="BEB162" s="679"/>
      <c r="BEC162" s="679"/>
      <c r="BED162" s="679"/>
      <c r="BEE162" s="679"/>
      <c r="BEF162" s="679"/>
      <c r="BEG162" s="679"/>
      <c r="BEH162" s="679"/>
      <c r="BEI162" s="679"/>
      <c r="BEJ162" s="679"/>
      <c r="BEK162" s="679"/>
      <c r="BEL162" s="679"/>
      <c r="BEM162" s="679"/>
      <c r="BEN162" s="679"/>
      <c r="BEO162" s="679"/>
      <c r="BEP162" s="679"/>
      <c r="BEQ162" s="679"/>
      <c r="BER162" s="679"/>
      <c r="BES162" s="679"/>
      <c r="BET162" s="679"/>
      <c r="BEU162" s="679"/>
      <c r="BEV162" s="679"/>
      <c r="BEW162" s="679"/>
      <c r="BEX162" s="679"/>
      <c r="BEY162" s="679"/>
      <c r="BEZ162" s="679"/>
      <c r="BFA162" s="679"/>
      <c r="BFB162" s="679"/>
      <c r="BFC162" s="679"/>
      <c r="BFD162" s="679"/>
      <c r="BFE162" s="679"/>
      <c r="BFF162" s="679"/>
      <c r="BFG162" s="679"/>
      <c r="BFH162" s="679"/>
      <c r="BFI162" s="679"/>
      <c r="BFJ162" s="679"/>
      <c r="BFK162" s="679"/>
      <c r="BFL162" s="679"/>
      <c r="BFM162" s="679"/>
      <c r="BFN162" s="679"/>
      <c r="BFO162" s="679"/>
      <c r="BFP162" s="679"/>
      <c r="BFQ162" s="679"/>
      <c r="BFR162" s="679"/>
      <c r="BFS162" s="679"/>
      <c r="BFT162" s="679"/>
      <c r="BFU162" s="679"/>
      <c r="BFV162" s="679"/>
      <c r="BFW162" s="679"/>
      <c r="BFX162" s="679"/>
      <c r="BFY162" s="679"/>
      <c r="BFZ162" s="679"/>
      <c r="BGA162" s="679"/>
      <c r="BGB162" s="679"/>
      <c r="BGC162" s="679"/>
      <c r="BGD162" s="679"/>
      <c r="BGE162" s="679"/>
      <c r="BGF162" s="679"/>
      <c r="BGG162" s="679"/>
      <c r="BGH162" s="679"/>
      <c r="BGI162" s="679"/>
      <c r="BGJ162" s="679"/>
      <c r="BGK162" s="679"/>
      <c r="BGL162" s="679"/>
      <c r="BGM162" s="679"/>
      <c r="BGN162" s="679"/>
      <c r="BGO162" s="679"/>
      <c r="BGP162" s="679"/>
      <c r="BGQ162" s="679"/>
      <c r="BGR162" s="679"/>
      <c r="BGS162" s="679"/>
      <c r="BGT162" s="679"/>
      <c r="BGU162" s="679"/>
      <c r="BGV162" s="679"/>
      <c r="BGW162" s="679"/>
      <c r="BGX162" s="679"/>
      <c r="BGY162" s="679"/>
      <c r="BGZ162" s="679"/>
      <c r="BHA162" s="679"/>
      <c r="BHB162" s="679"/>
      <c r="BHC162" s="679"/>
      <c r="BHD162" s="679"/>
      <c r="BHE162" s="679"/>
      <c r="BHF162" s="679"/>
      <c r="BHG162" s="679"/>
      <c r="BHH162" s="679"/>
      <c r="BHI162" s="679"/>
      <c r="BHJ162" s="679"/>
      <c r="BHK162" s="679"/>
      <c r="BHL162" s="679"/>
      <c r="BHM162" s="679"/>
      <c r="BHN162" s="679"/>
      <c r="BHO162" s="679"/>
      <c r="BHP162" s="679"/>
      <c r="BHQ162" s="679"/>
      <c r="BHR162" s="679"/>
      <c r="BHS162" s="679"/>
      <c r="BHT162" s="679"/>
      <c r="BHU162" s="679"/>
      <c r="BHV162" s="679"/>
      <c r="BHW162" s="679"/>
      <c r="BHX162" s="679"/>
      <c r="BHY162" s="679"/>
      <c r="BHZ162" s="679"/>
      <c r="BIA162" s="679"/>
      <c r="BIB162" s="679"/>
      <c r="BIC162" s="679"/>
      <c r="BID162" s="679"/>
      <c r="BIE162" s="679"/>
      <c r="BIF162" s="679"/>
      <c r="BIG162" s="679"/>
      <c r="BIH162" s="679"/>
      <c r="BII162" s="679"/>
      <c r="BIJ162" s="679"/>
      <c r="BIK162" s="679"/>
      <c r="BIL162" s="679"/>
      <c r="BIM162" s="679"/>
      <c r="BIN162" s="679"/>
      <c r="BIO162" s="679"/>
      <c r="BIP162" s="679"/>
      <c r="BIQ162" s="679"/>
      <c r="BIR162" s="679"/>
      <c r="BIS162" s="679"/>
      <c r="BIT162" s="679"/>
      <c r="BIU162" s="679"/>
      <c r="BIV162" s="679"/>
      <c r="BIW162" s="679"/>
      <c r="BIX162" s="679"/>
      <c r="BIY162" s="679"/>
      <c r="BIZ162" s="679"/>
      <c r="BJA162" s="679"/>
      <c r="BJB162" s="679"/>
      <c r="BJC162" s="679"/>
      <c r="BJD162" s="679"/>
      <c r="BJE162" s="679"/>
      <c r="BJF162" s="679"/>
      <c r="BJG162" s="679"/>
      <c r="BJH162" s="679"/>
      <c r="BJI162" s="679"/>
      <c r="BJJ162" s="679"/>
      <c r="BJK162" s="679"/>
      <c r="BJL162" s="679"/>
      <c r="BJM162" s="679"/>
      <c r="BJN162" s="679"/>
      <c r="BJO162" s="679"/>
      <c r="BJP162" s="679"/>
      <c r="BJQ162" s="679"/>
      <c r="BJR162" s="679"/>
      <c r="BJS162" s="679"/>
      <c r="BJT162" s="679"/>
      <c r="BJU162" s="679"/>
      <c r="BJV162" s="679"/>
      <c r="BJW162" s="679"/>
      <c r="BJX162" s="679"/>
      <c r="BJY162" s="679"/>
      <c r="BJZ162" s="679"/>
      <c r="BKA162" s="679"/>
      <c r="BKB162" s="679"/>
      <c r="BKC162" s="679"/>
      <c r="BKD162" s="679"/>
      <c r="BKE162" s="679"/>
      <c r="BKF162" s="679"/>
      <c r="BKG162" s="679"/>
      <c r="BKH162" s="679"/>
      <c r="BKI162" s="679"/>
      <c r="BKJ162" s="679"/>
      <c r="BKK162" s="679"/>
      <c r="BKL162" s="679"/>
      <c r="BKM162" s="679"/>
      <c r="BKN162" s="679"/>
      <c r="BKO162" s="679"/>
      <c r="BKP162" s="679"/>
      <c r="BKQ162" s="679"/>
      <c r="BKR162" s="679"/>
      <c r="BKS162" s="679"/>
      <c r="BKT162" s="679"/>
      <c r="BKU162" s="679"/>
      <c r="BKV162" s="679"/>
      <c r="BKW162" s="679"/>
      <c r="BKX162" s="679"/>
      <c r="BKY162" s="679"/>
      <c r="BKZ162" s="679"/>
      <c r="BLA162" s="679"/>
      <c r="BLB162" s="679"/>
      <c r="BLC162" s="679"/>
      <c r="BLD162" s="679"/>
      <c r="BLE162" s="679"/>
      <c r="BLF162" s="679"/>
      <c r="BLG162" s="679"/>
      <c r="BLH162" s="679"/>
      <c r="BLI162" s="679"/>
      <c r="BLJ162" s="679"/>
      <c r="BLK162" s="679"/>
      <c r="BLL162" s="679"/>
      <c r="BLM162" s="679"/>
      <c r="BLN162" s="679"/>
      <c r="BLO162" s="679"/>
      <c r="BLP162" s="679"/>
      <c r="BLQ162" s="679"/>
      <c r="BLR162" s="679"/>
      <c r="BLS162" s="679"/>
      <c r="BLT162" s="679"/>
      <c r="BLU162" s="679"/>
      <c r="BLV162" s="679"/>
      <c r="BLW162" s="679"/>
      <c r="BLX162" s="679"/>
      <c r="BLY162" s="679"/>
      <c r="BLZ162" s="679"/>
      <c r="BMA162" s="679"/>
      <c r="BMB162" s="679"/>
      <c r="BMC162" s="679"/>
      <c r="BMD162" s="679"/>
      <c r="BME162" s="679"/>
      <c r="BMF162" s="679"/>
      <c r="BMG162" s="679"/>
      <c r="BMH162" s="679"/>
      <c r="BMI162" s="679"/>
      <c r="BMJ162" s="679"/>
      <c r="BMK162" s="679"/>
      <c r="BML162" s="679"/>
      <c r="BMM162" s="679"/>
      <c r="BMN162" s="679"/>
      <c r="BMO162" s="679"/>
      <c r="BMP162" s="679"/>
      <c r="BMQ162" s="679"/>
      <c r="BMR162" s="679"/>
      <c r="BMS162" s="679"/>
      <c r="BMT162" s="679"/>
      <c r="BMU162" s="679"/>
      <c r="BMV162" s="679"/>
      <c r="BMW162" s="679"/>
      <c r="BMX162" s="679"/>
      <c r="BMY162" s="679"/>
      <c r="BMZ162" s="679"/>
      <c r="BNA162" s="679"/>
      <c r="BNB162" s="679"/>
      <c r="BNC162" s="679"/>
      <c r="BND162" s="679"/>
      <c r="BNE162" s="679"/>
      <c r="BNF162" s="679"/>
      <c r="BNG162" s="679"/>
      <c r="BNH162" s="679"/>
      <c r="BNI162" s="679"/>
      <c r="BNJ162" s="679"/>
      <c r="BNK162" s="679"/>
      <c r="BNL162" s="679"/>
      <c r="BNM162" s="679"/>
      <c r="BNN162" s="679"/>
      <c r="BNO162" s="679"/>
      <c r="BNP162" s="679"/>
      <c r="BNQ162" s="679"/>
      <c r="BNR162" s="679"/>
      <c r="BNS162" s="679"/>
      <c r="BNT162" s="679"/>
      <c r="BNU162" s="679"/>
      <c r="BNV162" s="679"/>
      <c r="BNW162" s="679"/>
      <c r="BNX162" s="679"/>
      <c r="BNY162" s="679"/>
      <c r="BNZ162" s="679"/>
      <c r="BOA162" s="679"/>
      <c r="BOB162" s="679"/>
      <c r="BOC162" s="679"/>
      <c r="BOD162" s="679"/>
      <c r="BOE162" s="679"/>
      <c r="BOF162" s="679"/>
      <c r="BOG162" s="679"/>
      <c r="BOH162" s="679"/>
      <c r="BOI162" s="679"/>
      <c r="BOJ162" s="679"/>
      <c r="BOK162" s="679"/>
      <c r="BOL162" s="679"/>
      <c r="BOM162" s="679"/>
      <c r="BON162" s="679"/>
      <c r="BOO162" s="679"/>
      <c r="BOP162" s="679"/>
      <c r="BOQ162" s="679"/>
      <c r="BOR162" s="679"/>
      <c r="BOS162" s="679"/>
      <c r="BOT162" s="679"/>
      <c r="BOU162" s="679"/>
      <c r="BOV162" s="679"/>
      <c r="BOW162" s="679"/>
      <c r="BOX162" s="679"/>
      <c r="BOY162" s="679"/>
      <c r="BOZ162" s="679"/>
      <c r="BPA162" s="679"/>
      <c r="BPB162" s="679"/>
      <c r="BPC162" s="679"/>
      <c r="BPD162" s="679"/>
      <c r="BPE162" s="679"/>
      <c r="BPF162" s="679"/>
      <c r="BPG162" s="679"/>
      <c r="BPH162" s="679"/>
      <c r="BPI162" s="679"/>
      <c r="BPJ162" s="679"/>
      <c r="BPK162" s="679"/>
      <c r="BPL162" s="679"/>
      <c r="BPM162" s="679"/>
      <c r="BPN162" s="679"/>
      <c r="BPO162" s="679"/>
      <c r="BPP162" s="679"/>
      <c r="BPQ162" s="679"/>
      <c r="BPR162" s="679"/>
      <c r="BPS162" s="679"/>
      <c r="BPT162" s="679"/>
      <c r="BPU162" s="679"/>
      <c r="BPV162" s="679"/>
      <c r="BPW162" s="679"/>
      <c r="BPX162" s="679"/>
      <c r="BPY162" s="679"/>
      <c r="BPZ162" s="679"/>
      <c r="BQA162" s="679"/>
      <c r="BQB162" s="679"/>
      <c r="BQC162" s="679"/>
      <c r="BQD162" s="679"/>
      <c r="BQE162" s="679"/>
      <c r="BQF162" s="679"/>
      <c r="BQG162" s="679"/>
      <c r="BQH162" s="679"/>
      <c r="BQI162" s="679"/>
      <c r="BQJ162" s="679"/>
      <c r="BQK162" s="679"/>
      <c r="BQL162" s="679"/>
      <c r="BQM162" s="679"/>
      <c r="BQN162" s="679"/>
      <c r="BQO162" s="679"/>
      <c r="BQP162" s="679"/>
      <c r="BQQ162" s="679"/>
      <c r="BQR162" s="679"/>
      <c r="BQS162" s="679"/>
      <c r="BQT162" s="679"/>
      <c r="BQU162" s="679"/>
      <c r="BQV162" s="679"/>
      <c r="BQW162" s="679"/>
      <c r="BQX162" s="679"/>
      <c r="BQY162" s="679"/>
      <c r="BQZ162" s="679"/>
      <c r="BRA162" s="679"/>
      <c r="BRB162" s="679"/>
      <c r="BRC162" s="679"/>
      <c r="BRD162" s="679"/>
      <c r="BRE162" s="679"/>
      <c r="BRF162" s="679"/>
      <c r="BRG162" s="679"/>
      <c r="BRH162" s="679"/>
      <c r="BRI162" s="679"/>
      <c r="BRJ162" s="679"/>
      <c r="BRK162" s="679"/>
      <c r="BRL162" s="679"/>
      <c r="BRM162" s="679"/>
      <c r="BRN162" s="679"/>
      <c r="BRO162" s="679"/>
      <c r="BRP162" s="679"/>
      <c r="BRQ162" s="679"/>
      <c r="BRR162" s="679"/>
      <c r="BRS162" s="679"/>
      <c r="BRT162" s="679"/>
      <c r="BRU162" s="679"/>
      <c r="BRV162" s="679"/>
      <c r="BRW162" s="679"/>
      <c r="BRX162" s="679"/>
      <c r="BRY162" s="679"/>
      <c r="BRZ162" s="679"/>
      <c r="BSA162" s="679"/>
      <c r="BSB162" s="679"/>
      <c r="BSC162" s="679"/>
      <c r="BSD162" s="679"/>
      <c r="BSE162" s="679"/>
      <c r="BSF162" s="679"/>
      <c r="BSG162" s="679"/>
      <c r="BSH162" s="679"/>
      <c r="BSI162" s="679"/>
      <c r="BSJ162" s="679"/>
      <c r="BSK162" s="679"/>
      <c r="BSL162" s="679"/>
      <c r="BSM162" s="679"/>
      <c r="BSN162" s="679"/>
      <c r="BSO162" s="679"/>
      <c r="BSP162" s="679"/>
      <c r="BSQ162" s="679"/>
      <c r="BSR162" s="679"/>
      <c r="BSS162" s="679"/>
      <c r="BST162" s="679"/>
      <c r="BSU162" s="679"/>
      <c r="BSV162" s="679"/>
      <c r="BSW162" s="679"/>
      <c r="BSX162" s="679"/>
      <c r="BSY162" s="679"/>
      <c r="BSZ162" s="679"/>
      <c r="BTA162" s="679"/>
      <c r="BTB162" s="679"/>
      <c r="BTC162" s="679"/>
      <c r="BTD162" s="679"/>
      <c r="BTE162" s="679"/>
      <c r="BTF162" s="679"/>
      <c r="BTG162" s="679"/>
      <c r="BTH162" s="679"/>
      <c r="BTI162" s="679"/>
      <c r="BTJ162" s="679"/>
      <c r="BTK162" s="679"/>
      <c r="BTL162" s="679"/>
      <c r="BTM162" s="679"/>
      <c r="BTN162" s="679"/>
      <c r="BTO162" s="679"/>
      <c r="BTP162" s="679"/>
      <c r="BTQ162" s="679"/>
      <c r="BTR162" s="679"/>
      <c r="BTS162" s="679"/>
      <c r="BTT162" s="679"/>
      <c r="BTU162" s="679"/>
      <c r="BTV162" s="679"/>
      <c r="BTW162" s="679"/>
      <c r="BTX162" s="679"/>
      <c r="BTY162" s="679"/>
      <c r="BTZ162" s="679"/>
      <c r="BUA162" s="679"/>
      <c r="BUB162" s="679"/>
      <c r="BUC162" s="679"/>
      <c r="BUD162" s="679"/>
      <c r="BUE162" s="679"/>
      <c r="BUF162" s="679"/>
      <c r="BUG162" s="679"/>
      <c r="BUH162" s="679"/>
      <c r="BUI162" s="679"/>
      <c r="BUJ162" s="679"/>
      <c r="BUK162" s="679"/>
      <c r="BUL162" s="679"/>
      <c r="BUM162" s="679"/>
      <c r="BUN162" s="679"/>
      <c r="BUO162" s="679"/>
      <c r="BUP162" s="679"/>
      <c r="BUQ162" s="679"/>
      <c r="BUR162" s="679"/>
      <c r="BUS162" s="679"/>
      <c r="BUT162" s="679"/>
      <c r="BUU162" s="679"/>
      <c r="BUV162" s="679"/>
      <c r="BUW162" s="679"/>
      <c r="BUX162" s="679"/>
      <c r="BUY162" s="679"/>
      <c r="BUZ162" s="679"/>
      <c r="BVA162" s="679"/>
      <c r="BVB162" s="679"/>
      <c r="BVC162" s="679"/>
      <c r="BVD162" s="679"/>
      <c r="BVE162" s="679"/>
      <c r="BVF162" s="679"/>
      <c r="BVG162" s="679"/>
      <c r="BVH162" s="679"/>
      <c r="BVI162" s="679"/>
      <c r="BVJ162" s="679"/>
      <c r="BVK162" s="679"/>
      <c r="BVL162" s="679"/>
      <c r="BVM162" s="679"/>
      <c r="BVN162" s="679"/>
      <c r="BVO162" s="679"/>
      <c r="BVP162" s="679"/>
      <c r="BVQ162" s="679"/>
      <c r="BVR162" s="679"/>
      <c r="BVS162" s="679"/>
      <c r="BVT162" s="679"/>
      <c r="BVU162" s="679"/>
      <c r="BVV162" s="679"/>
      <c r="BVW162" s="679"/>
      <c r="BVX162" s="679"/>
      <c r="BVY162" s="679"/>
      <c r="BVZ162" s="679"/>
      <c r="BWA162" s="679"/>
      <c r="BWB162" s="679"/>
      <c r="BWC162" s="679"/>
      <c r="BWD162" s="679"/>
      <c r="BWE162" s="679"/>
      <c r="BWF162" s="679"/>
      <c r="BWG162" s="679"/>
      <c r="BWH162" s="679"/>
      <c r="BWI162" s="679"/>
      <c r="BWJ162" s="679"/>
      <c r="BWK162" s="679"/>
      <c r="BWL162" s="679"/>
      <c r="BWM162" s="679"/>
      <c r="BWN162" s="679"/>
      <c r="BWO162" s="679"/>
      <c r="BWP162" s="679"/>
      <c r="BWQ162" s="679"/>
      <c r="BWR162" s="679"/>
      <c r="BWS162" s="679"/>
      <c r="BWT162" s="679"/>
      <c r="BWU162" s="679"/>
      <c r="BWV162" s="679"/>
      <c r="BWW162" s="679"/>
      <c r="BWX162" s="679"/>
      <c r="BWY162" s="679"/>
      <c r="BWZ162" s="679"/>
      <c r="BXA162" s="679"/>
      <c r="BXB162" s="679"/>
      <c r="BXC162" s="679"/>
      <c r="BXD162" s="679"/>
      <c r="BXE162" s="679"/>
      <c r="BXF162" s="679"/>
      <c r="BXG162" s="679"/>
      <c r="BXH162" s="679"/>
      <c r="BXI162" s="679"/>
      <c r="BXJ162" s="679"/>
      <c r="BXK162" s="679"/>
      <c r="BXL162" s="679"/>
      <c r="BXM162" s="679"/>
      <c r="BXN162" s="679"/>
      <c r="BXO162" s="679"/>
      <c r="BXP162" s="679"/>
      <c r="BXQ162" s="679"/>
      <c r="BXR162" s="679"/>
      <c r="BXS162" s="679"/>
      <c r="BXT162" s="679"/>
      <c r="BXU162" s="679"/>
      <c r="BXV162" s="679"/>
      <c r="BXW162" s="679"/>
      <c r="BXX162" s="679"/>
      <c r="BXY162" s="679"/>
      <c r="BXZ162" s="679"/>
      <c r="BYA162" s="679"/>
      <c r="BYB162" s="679"/>
      <c r="BYC162" s="679"/>
      <c r="BYD162" s="679"/>
      <c r="BYE162" s="679"/>
      <c r="BYF162" s="679"/>
      <c r="BYG162" s="679"/>
      <c r="BYH162" s="679"/>
      <c r="BYI162" s="679"/>
      <c r="BYJ162" s="679"/>
      <c r="BYK162" s="679"/>
      <c r="BYL162" s="679"/>
      <c r="BYM162" s="679"/>
      <c r="BYN162" s="679"/>
      <c r="BYO162" s="679"/>
      <c r="BYP162" s="679"/>
      <c r="BYQ162" s="679"/>
      <c r="BYR162" s="679"/>
      <c r="BYS162" s="679"/>
      <c r="BYT162" s="679"/>
      <c r="BYU162" s="679"/>
      <c r="BYV162" s="679"/>
      <c r="BYW162" s="679"/>
      <c r="BYX162" s="679"/>
      <c r="BYY162" s="679"/>
      <c r="BYZ162" s="679"/>
      <c r="BZA162" s="679"/>
      <c r="BZB162" s="679"/>
      <c r="BZC162" s="679"/>
      <c r="BZD162" s="679"/>
      <c r="BZE162" s="679"/>
      <c r="BZF162" s="679"/>
      <c r="BZG162" s="679"/>
      <c r="BZH162" s="679"/>
      <c r="BZI162" s="679"/>
      <c r="BZJ162" s="679"/>
      <c r="BZK162" s="679"/>
      <c r="BZL162" s="679"/>
      <c r="BZM162" s="679"/>
      <c r="BZN162" s="679"/>
      <c r="BZO162" s="679"/>
      <c r="BZP162" s="679"/>
      <c r="BZQ162" s="679"/>
      <c r="BZR162" s="679"/>
      <c r="BZS162" s="679"/>
      <c r="BZT162" s="679"/>
      <c r="BZU162" s="679"/>
      <c r="BZV162" s="679"/>
      <c r="BZW162" s="679"/>
      <c r="BZX162" s="679"/>
      <c r="BZY162" s="679"/>
      <c r="BZZ162" s="679"/>
      <c r="CAA162" s="679"/>
      <c r="CAB162" s="679"/>
      <c r="CAC162" s="679"/>
      <c r="CAD162" s="679"/>
      <c r="CAE162" s="679"/>
      <c r="CAF162" s="679"/>
      <c r="CAG162" s="679"/>
      <c r="CAH162" s="679"/>
      <c r="CAI162" s="679"/>
      <c r="CAJ162" s="679"/>
      <c r="CAK162" s="679"/>
      <c r="CAL162" s="679"/>
      <c r="CAM162" s="679"/>
      <c r="CAN162" s="679"/>
      <c r="CAO162" s="679"/>
      <c r="CAP162" s="679"/>
      <c r="CAQ162" s="679"/>
      <c r="CAR162" s="679"/>
      <c r="CAS162" s="679"/>
      <c r="CAT162" s="679"/>
      <c r="CAU162" s="679"/>
      <c r="CAV162" s="679"/>
      <c r="CAW162" s="679"/>
      <c r="CAX162" s="679"/>
      <c r="CAY162" s="679"/>
      <c r="CAZ162" s="679"/>
      <c r="CBA162" s="679"/>
      <c r="CBB162" s="679"/>
      <c r="CBC162" s="679"/>
      <c r="CBD162" s="679"/>
      <c r="CBE162" s="679"/>
      <c r="CBF162" s="679"/>
      <c r="CBG162" s="679"/>
      <c r="CBH162" s="679"/>
      <c r="CBI162" s="679"/>
      <c r="CBJ162" s="679"/>
      <c r="CBK162" s="679"/>
      <c r="CBL162" s="679"/>
      <c r="CBM162" s="679"/>
      <c r="CBN162" s="679"/>
      <c r="CBO162" s="679"/>
      <c r="CBP162" s="679"/>
      <c r="CBQ162" s="679"/>
      <c r="CBR162" s="679"/>
      <c r="CBS162" s="679"/>
      <c r="CBT162" s="679"/>
      <c r="CBU162" s="679"/>
      <c r="CBV162" s="679"/>
      <c r="CBW162" s="679"/>
      <c r="CBX162" s="679"/>
      <c r="CBY162" s="679"/>
      <c r="CBZ162" s="679"/>
      <c r="CCA162" s="679"/>
      <c r="CCB162" s="679"/>
      <c r="CCC162" s="679"/>
      <c r="CCD162" s="679"/>
      <c r="CCE162" s="679"/>
      <c r="CCF162" s="679"/>
      <c r="CCG162" s="679"/>
      <c r="CCH162" s="679"/>
      <c r="CCI162" s="679"/>
      <c r="CCJ162" s="679"/>
      <c r="CCK162" s="679"/>
      <c r="CCL162" s="679"/>
      <c r="CCM162" s="679"/>
      <c r="CCN162" s="679"/>
      <c r="CCO162" s="679"/>
      <c r="CCP162" s="679"/>
      <c r="CCQ162" s="679"/>
      <c r="CCR162" s="679"/>
      <c r="CCS162" s="679"/>
      <c r="CCT162" s="679"/>
      <c r="CCU162" s="679"/>
      <c r="CCV162" s="679"/>
      <c r="CCW162" s="679"/>
      <c r="CCX162" s="679"/>
      <c r="CCY162" s="679"/>
      <c r="CCZ162" s="679"/>
      <c r="CDA162" s="679"/>
      <c r="CDB162" s="679"/>
      <c r="CDC162" s="679"/>
      <c r="CDD162" s="679"/>
      <c r="CDE162" s="679"/>
      <c r="CDF162" s="679"/>
      <c r="CDG162" s="679"/>
      <c r="CDH162" s="679"/>
      <c r="CDI162" s="679"/>
      <c r="CDJ162" s="679"/>
      <c r="CDK162" s="679"/>
      <c r="CDL162" s="679"/>
      <c r="CDM162" s="679"/>
      <c r="CDN162" s="679"/>
      <c r="CDO162" s="679"/>
      <c r="CDP162" s="679"/>
      <c r="CDQ162" s="679"/>
      <c r="CDR162" s="679"/>
      <c r="CDS162" s="679"/>
      <c r="CDT162" s="679"/>
      <c r="CDU162" s="679"/>
      <c r="CDV162" s="679"/>
      <c r="CDW162" s="679"/>
      <c r="CDX162" s="679"/>
      <c r="CDY162" s="679"/>
      <c r="CDZ162" s="679"/>
      <c r="CEA162" s="679"/>
      <c r="CEB162" s="679"/>
      <c r="CEC162" s="679"/>
      <c r="CED162" s="679"/>
      <c r="CEE162" s="679"/>
      <c r="CEF162" s="679"/>
      <c r="CEG162" s="679"/>
      <c r="CEH162" s="679"/>
      <c r="CEI162" s="679"/>
      <c r="CEJ162" s="679"/>
      <c r="CEK162" s="679"/>
      <c r="CEL162" s="679"/>
      <c r="CEM162" s="679"/>
      <c r="CEN162" s="679"/>
      <c r="CEO162" s="679"/>
      <c r="CEP162" s="679"/>
      <c r="CEQ162" s="679"/>
      <c r="CER162" s="679"/>
      <c r="CES162" s="679"/>
      <c r="CET162" s="679"/>
      <c r="CEU162" s="679"/>
      <c r="CEV162" s="679"/>
      <c r="CEW162" s="679"/>
      <c r="CEX162" s="679"/>
      <c r="CEY162" s="679"/>
      <c r="CEZ162" s="679"/>
      <c r="CFA162" s="679"/>
      <c r="CFB162" s="679"/>
      <c r="CFC162" s="679"/>
      <c r="CFD162" s="679"/>
      <c r="CFE162" s="679"/>
      <c r="CFF162" s="679"/>
      <c r="CFG162" s="679"/>
      <c r="CFH162" s="679"/>
      <c r="CFI162" s="679"/>
      <c r="CFJ162" s="679"/>
      <c r="CFK162" s="679"/>
      <c r="CFL162" s="679"/>
      <c r="CFM162" s="679"/>
      <c r="CFN162" s="679"/>
      <c r="CFO162" s="679"/>
      <c r="CFP162" s="679"/>
      <c r="CFQ162" s="679"/>
      <c r="CFR162" s="679"/>
      <c r="CFS162" s="679"/>
      <c r="CFT162" s="679"/>
      <c r="CFU162" s="679"/>
      <c r="CFV162" s="679"/>
      <c r="CFW162" s="679"/>
      <c r="CFX162" s="679"/>
      <c r="CFY162" s="679"/>
      <c r="CFZ162" s="679"/>
      <c r="CGA162" s="679"/>
      <c r="CGB162" s="679"/>
      <c r="CGC162" s="679"/>
      <c r="CGD162" s="679"/>
      <c r="CGE162" s="679"/>
      <c r="CGF162" s="679"/>
      <c r="CGG162" s="679"/>
      <c r="CGH162" s="679"/>
      <c r="CGI162" s="679"/>
      <c r="CGJ162" s="679"/>
      <c r="CGK162" s="679"/>
      <c r="CGL162" s="679"/>
      <c r="CGM162" s="679"/>
      <c r="CGN162" s="679"/>
      <c r="CGO162" s="679"/>
      <c r="CGP162" s="679"/>
      <c r="CGQ162" s="679"/>
      <c r="CGR162" s="679"/>
      <c r="CGS162" s="679"/>
      <c r="CGT162" s="679"/>
      <c r="CGU162" s="679"/>
      <c r="CGV162" s="679"/>
      <c r="CGW162" s="679"/>
      <c r="CGX162" s="679"/>
      <c r="CGY162" s="679"/>
      <c r="CGZ162" s="679"/>
      <c r="CHA162" s="679"/>
      <c r="CHB162" s="679"/>
      <c r="CHC162" s="679"/>
      <c r="CHD162" s="679"/>
      <c r="CHE162" s="679"/>
      <c r="CHF162" s="679"/>
      <c r="CHG162" s="679"/>
      <c r="CHH162" s="679"/>
      <c r="CHI162" s="679"/>
      <c r="CHJ162" s="679"/>
      <c r="CHK162" s="679"/>
      <c r="CHL162" s="679"/>
      <c r="CHM162" s="679"/>
      <c r="CHN162" s="679"/>
      <c r="CHO162" s="679"/>
      <c r="CHP162" s="679"/>
      <c r="CHQ162" s="679"/>
      <c r="CHR162" s="679"/>
      <c r="CHS162" s="679"/>
      <c r="CHT162" s="679"/>
      <c r="CHU162" s="679"/>
      <c r="CHV162" s="679"/>
      <c r="CHW162" s="679"/>
      <c r="CHX162" s="679"/>
      <c r="CHY162" s="679"/>
      <c r="CHZ162" s="679"/>
      <c r="CIA162" s="679"/>
      <c r="CIB162" s="679"/>
      <c r="CIC162" s="679"/>
      <c r="CID162" s="679"/>
      <c r="CIE162" s="679"/>
      <c r="CIF162" s="679"/>
      <c r="CIG162" s="679"/>
      <c r="CIH162" s="679"/>
      <c r="CII162" s="679"/>
      <c r="CIJ162" s="679"/>
      <c r="CIK162" s="679"/>
      <c r="CIL162" s="679"/>
      <c r="CIM162" s="679"/>
      <c r="CIN162" s="679"/>
      <c r="CIO162" s="679"/>
      <c r="CIP162" s="679"/>
      <c r="CIQ162" s="679"/>
      <c r="CIR162" s="679"/>
      <c r="CIS162" s="679"/>
      <c r="CIT162" s="679"/>
      <c r="CIU162" s="679"/>
      <c r="CIV162" s="679"/>
      <c r="CIW162" s="679"/>
      <c r="CIX162" s="679"/>
      <c r="CIY162" s="679"/>
      <c r="CIZ162" s="679"/>
      <c r="CJA162" s="679"/>
      <c r="CJB162" s="679"/>
      <c r="CJC162" s="679"/>
      <c r="CJD162" s="679"/>
      <c r="CJE162" s="679"/>
      <c r="CJF162" s="679"/>
      <c r="CJG162" s="679"/>
      <c r="CJH162" s="679"/>
      <c r="CJI162" s="679"/>
      <c r="CJJ162" s="679"/>
      <c r="CJK162" s="679"/>
      <c r="CJL162" s="679"/>
      <c r="CJM162" s="679"/>
      <c r="CJN162" s="679"/>
      <c r="CJO162" s="679"/>
      <c r="CJP162" s="679"/>
      <c r="CJQ162" s="679"/>
      <c r="CJR162" s="679"/>
      <c r="CJS162" s="679"/>
      <c r="CJT162" s="679"/>
      <c r="CJU162" s="679"/>
      <c r="CJV162" s="679"/>
      <c r="CJW162" s="679"/>
      <c r="CJX162" s="679"/>
      <c r="CJY162" s="679"/>
      <c r="CJZ162" s="679"/>
      <c r="CKA162" s="679"/>
      <c r="CKB162" s="679"/>
      <c r="CKC162" s="679"/>
      <c r="CKD162" s="679"/>
      <c r="CKE162" s="679"/>
      <c r="CKF162" s="679"/>
      <c r="CKG162" s="679"/>
      <c r="CKH162" s="679"/>
      <c r="CKI162" s="679"/>
      <c r="CKJ162" s="679"/>
      <c r="CKK162" s="679"/>
      <c r="CKL162" s="679"/>
      <c r="CKM162" s="679"/>
      <c r="CKN162" s="679"/>
      <c r="CKO162" s="679"/>
      <c r="CKP162" s="679"/>
      <c r="CKQ162" s="679"/>
      <c r="CKR162" s="679"/>
      <c r="CKS162" s="679"/>
      <c r="CKT162" s="679"/>
      <c r="CKU162" s="679"/>
      <c r="CKV162" s="679"/>
      <c r="CKW162" s="679"/>
      <c r="CKX162" s="679"/>
      <c r="CKY162" s="679"/>
      <c r="CKZ162" s="679"/>
      <c r="CLA162" s="679"/>
      <c r="CLB162" s="679"/>
      <c r="CLC162" s="679"/>
      <c r="CLD162" s="679"/>
      <c r="CLE162" s="679"/>
      <c r="CLF162" s="679"/>
      <c r="CLG162" s="679"/>
      <c r="CLH162" s="679"/>
      <c r="CLI162" s="679"/>
      <c r="CLJ162" s="679"/>
      <c r="CLK162" s="679"/>
      <c r="CLL162" s="679"/>
      <c r="CLM162" s="679"/>
      <c r="CLN162" s="679"/>
      <c r="CLO162" s="679"/>
      <c r="CLP162" s="679"/>
      <c r="CLQ162" s="679"/>
      <c r="CLR162" s="679"/>
      <c r="CLS162" s="679"/>
      <c r="CLT162" s="679"/>
      <c r="CLU162" s="679"/>
      <c r="CLV162" s="679"/>
      <c r="CLW162" s="679"/>
      <c r="CLX162" s="679"/>
      <c r="CLY162" s="679"/>
      <c r="CLZ162" s="679"/>
      <c r="CMA162" s="679"/>
      <c r="CMB162" s="679"/>
      <c r="CMC162" s="679"/>
      <c r="CMD162" s="679"/>
      <c r="CME162" s="679"/>
      <c r="CMF162" s="679"/>
      <c r="CMG162" s="679"/>
      <c r="CMH162" s="679"/>
      <c r="CMI162" s="679"/>
      <c r="CMJ162" s="679"/>
      <c r="CMK162" s="679"/>
      <c r="CML162" s="679"/>
      <c r="CMM162" s="679"/>
      <c r="CMN162" s="679"/>
      <c r="CMO162" s="679"/>
      <c r="CMP162" s="679"/>
      <c r="CMQ162" s="679"/>
      <c r="CMR162" s="679"/>
      <c r="CMS162" s="679"/>
      <c r="CMT162" s="679"/>
      <c r="CMU162" s="679"/>
      <c r="CMV162" s="679"/>
      <c r="CMW162" s="679"/>
      <c r="CMX162" s="679"/>
      <c r="CMY162" s="679"/>
      <c r="CMZ162" s="679"/>
      <c r="CNA162" s="679"/>
      <c r="CNB162" s="679"/>
      <c r="CNC162" s="679"/>
      <c r="CND162" s="679"/>
      <c r="CNE162" s="679"/>
      <c r="CNF162" s="679"/>
      <c r="CNG162" s="679"/>
      <c r="CNH162" s="679"/>
      <c r="CNI162" s="679"/>
      <c r="CNJ162" s="679"/>
      <c r="CNK162" s="679"/>
      <c r="CNL162" s="679"/>
      <c r="CNM162" s="679"/>
      <c r="CNN162" s="679"/>
      <c r="CNO162" s="679"/>
      <c r="CNP162" s="679"/>
      <c r="CNQ162" s="679"/>
      <c r="CNR162" s="679"/>
      <c r="CNS162" s="679"/>
      <c r="CNT162" s="679"/>
      <c r="CNU162" s="679"/>
      <c r="CNV162" s="679"/>
      <c r="CNW162" s="679"/>
      <c r="CNX162" s="679"/>
      <c r="CNY162" s="679"/>
      <c r="CNZ162" s="679"/>
      <c r="COA162" s="679"/>
      <c r="COB162" s="679"/>
      <c r="COC162" s="679"/>
      <c r="COD162" s="679"/>
      <c r="COE162" s="679"/>
      <c r="COF162" s="679"/>
      <c r="COG162" s="679"/>
      <c r="COH162" s="679"/>
      <c r="COI162" s="679"/>
      <c r="COJ162" s="679"/>
      <c r="COK162" s="679"/>
      <c r="COL162" s="679"/>
      <c r="COM162" s="679"/>
      <c r="CON162" s="679"/>
      <c r="COO162" s="679"/>
      <c r="COP162" s="679"/>
      <c r="COQ162" s="679"/>
      <c r="COR162" s="679"/>
      <c r="COS162" s="679"/>
      <c r="COT162" s="679"/>
      <c r="COU162" s="679"/>
      <c r="COV162" s="679"/>
      <c r="COW162" s="679"/>
      <c r="COX162" s="679"/>
      <c r="COY162" s="679"/>
      <c r="COZ162" s="679"/>
      <c r="CPA162" s="679"/>
      <c r="CPB162" s="679"/>
      <c r="CPC162" s="679"/>
      <c r="CPD162" s="679"/>
      <c r="CPE162" s="679"/>
      <c r="CPF162" s="679"/>
      <c r="CPG162" s="679"/>
      <c r="CPH162" s="679"/>
      <c r="CPI162" s="679"/>
      <c r="CPJ162" s="679"/>
      <c r="CPK162" s="679"/>
      <c r="CPL162" s="679"/>
      <c r="CPM162" s="679"/>
      <c r="CPN162" s="679"/>
      <c r="CPO162" s="679"/>
      <c r="CPP162" s="679"/>
      <c r="CPQ162" s="679"/>
      <c r="CPR162" s="679"/>
      <c r="CPS162" s="679"/>
      <c r="CPT162" s="679"/>
      <c r="CPU162" s="679"/>
      <c r="CPV162" s="679"/>
      <c r="CPW162" s="679"/>
      <c r="CPX162" s="679"/>
      <c r="CPY162" s="679"/>
      <c r="CPZ162" s="679"/>
      <c r="CQA162" s="679"/>
      <c r="CQB162" s="679"/>
      <c r="CQC162" s="679"/>
      <c r="CQD162" s="679"/>
      <c r="CQE162" s="679"/>
      <c r="CQF162" s="679"/>
      <c r="CQG162" s="679"/>
      <c r="CQH162" s="679"/>
      <c r="CQI162" s="679"/>
      <c r="CQJ162" s="679"/>
      <c r="CQK162" s="679"/>
      <c r="CQL162" s="679"/>
      <c r="CQM162" s="679"/>
      <c r="CQN162" s="679"/>
      <c r="CQO162" s="679"/>
      <c r="CQP162" s="679"/>
      <c r="CQQ162" s="679"/>
      <c r="CQR162" s="679"/>
      <c r="CQS162" s="679"/>
      <c r="CQT162" s="679"/>
      <c r="CQU162" s="679"/>
      <c r="CQV162" s="679"/>
      <c r="CQW162" s="679"/>
      <c r="CQX162" s="679"/>
      <c r="CQY162" s="679"/>
      <c r="CQZ162" s="679"/>
      <c r="CRA162" s="679"/>
      <c r="CRB162" s="679"/>
      <c r="CRC162" s="679"/>
      <c r="CRD162" s="679"/>
      <c r="CRE162" s="679"/>
      <c r="CRF162" s="679"/>
      <c r="CRG162" s="679"/>
      <c r="CRH162" s="679"/>
      <c r="CRI162" s="679"/>
      <c r="CRJ162" s="679"/>
      <c r="CRK162" s="679"/>
      <c r="CRL162" s="679"/>
      <c r="CRM162" s="679"/>
      <c r="CRN162" s="679"/>
      <c r="CRO162" s="679"/>
      <c r="CRP162" s="679"/>
      <c r="CRQ162" s="679"/>
      <c r="CRR162" s="679"/>
      <c r="CRS162" s="679"/>
      <c r="CRT162" s="679"/>
      <c r="CRU162" s="679"/>
      <c r="CRV162" s="679"/>
      <c r="CRW162" s="679"/>
      <c r="CRX162" s="679"/>
      <c r="CRY162" s="679"/>
      <c r="CRZ162" s="679"/>
      <c r="CSA162" s="679"/>
      <c r="CSB162" s="679"/>
      <c r="CSC162" s="679"/>
      <c r="CSD162" s="679"/>
      <c r="CSE162" s="679"/>
      <c r="CSF162" s="679"/>
      <c r="CSG162" s="679"/>
      <c r="CSH162" s="679"/>
      <c r="CSI162" s="679"/>
      <c r="CSJ162" s="679"/>
      <c r="CSK162" s="679"/>
      <c r="CSL162" s="679"/>
      <c r="CSM162" s="679"/>
      <c r="CSN162" s="679"/>
      <c r="CSO162" s="679"/>
      <c r="CSP162" s="679"/>
      <c r="CSQ162" s="679"/>
      <c r="CSR162" s="679"/>
      <c r="CSS162" s="679"/>
      <c r="CST162" s="679"/>
      <c r="CSU162" s="679"/>
      <c r="CSV162" s="679"/>
      <c r="CSW162" s="679"/>
      <c r="CSX162" s="679"/>
      <c r="CSY162" s="679"/>
      <c r="CSZ162" s="679"/>
      <c r="CTA162" s="679"/>
      <c r="CTB162" s="679"/>
      <c r="CTC162" s="679"/>
      <c r="CTD162" s="679"/>
      <c r="CTE162" s="679"/>
      <c r="CTF162" s="679"/>
      <c r="CTG162" s="679"/>
      <c r="CTH162" s="679"/>
      <c r="CTI162" s="679"/>
      <c r="CTJ162" s="679"/>
      <c r="CTK162" s="679"/>
      <c r="CTL162" s="679"/>
      <c r="CTM162" s="679"/>
      <c r="CTN162" s="679"/>
      <c r="CTO162" s="679"/>
      <c r="CTP162" s="679"/>
      <c r="CTQ162" s="679"/>
      <c r="CTR162" s="679"/>
      <c r="CTS162" s="679"/>
      <c r="CTT162" s="679"/>
      <c r="CTU162" s="679"/>
      <c r="CTV162" s="679"/>
      <c r="CTW162" s="679"/>
      <c r="CTX162" s="679"/>
      <c r="CTY162" s="679"/>
      <c r="CTZ162" s="679"/>
      <c r="CUA162" s="679"/>
      <c r="CUB162" s="679"/>
      <c r="CUC162" s="679"/>
      <c r="CUD162" s="679"/>
      <c r="CUE162" s="679"/>
      <c r="CUF162" s="679"/>
      <c r="CUG162" s="679"/>
      <c r="CUH162" s="679"/>
      <c r="CUI162" s="679"/>
      <c r="CUJ162" s="679"/>
      <c r="CUK162" s="679"/>
      <c r="CUL162" s="679"/>
      <c r="CUM162" s="679"/>
      <c r="CUN162" s="679"/>
      <c r="CUO162" s="679"/>
      <c r="CUP162" s="679"/>
      <c r="CUQ162" s="679"/>
      <c r="CUR162" s="679"/>
      <c r="CUS162" s="679"/>
      <c r="CUT162" s="679"/>
      <c r="CUU162" s="679"/>
      <c r="CUV162" s="679"/>
      <c r="CUW162" s="679"/>
      <c r="CUX162" s="679"/>
      <c r="CUY162" s="679"/>
      <c r="CUZ162" s="679"/>
      <c r="CVA162" s="679"/>
      <c r="CVB162" s="679"/>
      <c r="CVC162" s="679"/>
      <c r="CVD162" s="679"/>
      <c r="CVE162" s="679"/>
      <c r="CVF162" s="679"/>
      <c r="CVG162" s="679"/>
      <c r="CVH162" s="679"/>
      <c r="CVI162" s="679"/>
      <c r="CVJ162" s="679"/>
      <c r="CVK162" s="679"/>
      <c r="CVL162" s="679"/>
      <c r="CVM162" s="679"/>
      <c r="CVN162" s="679"/>
      <c r="CVO162" s="679"/>
      <c r="CVP162" s="679"/>
      <c r="CVQ162" s="679"/>
      <c r="CVR162" s="679"/>
      <c r="CVS162" s="679"/>
      <c r="CVT162" s="679"/>
      <c r="CVU162" s="679"/>
      <c r="CVV162" s="679"/>
      <c r="CVW162" s="679"/>
      <c r="CVX162" s="679"/>
      <c r="CVY162" s="679"/>
      <c r="CVZ162" s="679"/>
      <c r="CWA162" s="679"/>
      <c r="CWB162" s="679"/>
      <c r="CWC162" s="679"/>
      <c r="CWD162" s="679"/>
      <c r="CWE162" s="679"/>
      <c r="CWF162" s="679"/>
      <c r="CWG162" s="679"/>
      <c r="CWH162" s="679"/>
      <c r="CWI162" s="679"/>
      <c r="CWJ162" s="679"/>
      <c r="CWK162" s="679"/>
      <c r="CWL162" s="679"/>
      <c r="CWM162" s="679"/>
      <c r="CWN162" s="679"/>
      <c r="CWO162" s="679"/>
      <c r="CWP162" s="679"/>
      <c r="CWQ162" s="679"/>
      <c r="CWR162" s="679"/>
      <c r="CWS162" s="679"/>
      <c r="CWT162" s="679"/>
      <c r="CWU162" s="679"/>
      <c r="CWV162" s="679"/>
      <c r="CWW162" s="679"/>
      <c r="CWX162" s="679"/>
      <c r="CWY162" s="679"/>
      <c r="CWZ162" s="679"/>
      <c r="CXA162" s="679"/>
      <c r="CXB162" s="679"/>
      <c r="CXC162" s="679"/>
      <c r="CXD162" s="679"/>
      <c r="CXE162" s="679"/>
      <c r="CXF162" s="679"/>
      <c r="CXG162" s="679"/>
      <c r="CXH162" s="679"/>
      <c r="CXI162" s="679"/>
      <c r="CXJ162" s="679"/>
      <c r="CXK162" s="679"/>
      <c r="CXL162" s="679"/>
      <c r="CXM162" s="679"/>
      <c r="CXN162" s="679"/>
      <c r="CXO162" s="679"/>
      <c r="CXP162" s="679"/>
      <c r="CXQ162" s="679"/>
      <c r="CXR162" s="679"/>
      <c r="CXS162" s="679"/>
      <c r="CXT162" s="679"/>
      <c r="CXU162" s="679"/>
      <c r="CXV162" s="679"/>
      <c r="CXW162" s="679"/>
      <c r="CXX162" s="679"/>
      <c r="CXY162" s="679"/>
      <c r="CXZ162" s="679"/>
      <c r="CYA162" s="679"/>
      <c r="CYB162" s="679"/>
      <c r="CYC162" s="679"/>
      <c r="CYD162" s="679"/>
      <c r="CYE162" s="679"/>
      <c r="CYF162" s="679"/>
      <c r="CYG162" s="679"/>
      <c r="CYH162" s="679"/>
      <c r="CYI162" s="679"/>
      <c r="CYJ162" s="679"/>
      <c r="CYK162" s="679"/>
      <c r="CYL162" s="679"/>
      <c r="CYM162" s="679"/>
      <c r="CYN162" s="679"/>
      <c r="CYO162" s="679"/>
      <c r="CYP162" s="679"/>
      <c r="CYQ162" s="679"/>
      <c r="CYR162" s="679"/>
      <c r="CYS162" s="679"/>
      <c r="CYT162" s="679"/>
      <c r="CYU162" s="679"/>
      <c r="CYV162" s="679"/>
      <c r="CYW162" s="679"/>
      <c r="CYX162" s="679"/>
      <c r="CYY162" s="679"/>
      <c r="CYZ162" s="679"/>
      <c r="CZA162" s="679"/>
      <c r="CZB162" s="679"/>
      <c r="CZC162" s="679"/>
      <c r="CZD162" s="679"/>
      <c r="CZE162" s="679"/>
      <c r="CZF162" s="679"/>
      <c r="CZG162" s="679"/>
      <c r="CZH162" s="679"/>
      <c r="CZI162" s="679"/>
      <c r="CZJ162" s="679"/>
      <c r="CZK162" s="679"/>
      <c r="CZL162" s="679"/>
      <c r="CZM162" s="679"/>
      <c r="CZN162" s="679"/>
      <c r="CZO162" s="679"/>
      <c r="CZP162" s="679"/>
      <c r="CZQ162" s="679"/>
      <c r="CZR162" s="679"/>
      <c r="CZS162" s="679"/>
      <c r="CZT162" s="679"/>
      <c r="CZU162" s="679"/>
      <c r="CZV162" s="679"/>
      <c r="CZW162" s="679"/>
      <c r="CZX162" s="679"/>
      <c r="CZY162" s="679"/>
      <c r="CZZ162" s="679"/>
      <c r="DAA162" s="679"/>
      <c r="DAB162" s="679"/>
      <c r="DAC162" s="679"/>
      <c r="DAD162" s="679"/>
      <c r="DAE162" s="679"/>
      <c r="DAF162" s="679"/>
      <c r="DAG162" s="679"/>
      <c r="DAH162" s="679"/>
      <c r="DAI162" s="679"/>
      <c r="DAJ162" s="679"/>
      <c r="DAK162" s="679"/>
      <c r="DAL162" s="679"/>
      <c r="DAM162" s="679"/>
      <c r="DAN162" s="679"/>
      <c r="DAO162" s="679"/>
      <c r="DAP162" s="679"/>
      <c r="DAQ162" s="679"/>
      <c r="DAR162" s="679"/>
      <c r="DAS162" s="679"/>
      <c r="DAT162" s="679"/>
      <c r="DAU162" s="679"/>
      <c r="DAV162" s="679"/>
      <c r="DAW162" s="679"/>
      <c r="DAX162" s="679"/>
      <c r="DAY162" s="679"/>
      <c r="DAZ162" s="679"/>
      <c r="DBA162" s="679"/>
      <c r="DBB162" s="679"/>
      <c r="DBC162" s="679"/>
      <c r="DBD162" s="679"/>
      <c r="DBE162" s="679"/>
      <c r="DBF162" s="679"/>
      <c r="DBG162" s="679"/>
      <c r="DBH162" s="679"/>
      <c r="DBI162" s="679"/>
      <c r="DBJ162" s="679"/>
      <c r="DBK162" s="679"/>
      <c r="DBL162" s="679"/>
      <c r="DBM162" s="679"/>
      <c r="DBN162" s="679"/>
      <c r="DBO162" s="679"/>
      <c r="DBP162" s="679"/>
      <c r="DBQ162" s="679"/>
      <c r="DBR162" s="679"/>
      <c r="DBS162" s="679"/>
      <c r="DBT162" s="679"/>
      <c r="DBU162" s="679"/>
      <c r="DBV162" s="679"/>
      <c r="DBW162" s="679"/>
      <c r="DBX162" s="679"/>
      <c r="DBY162" s="679"/>
      <c r="DBZ162" s="679"/>
      <c r="DCA162" s="679"/>
      <c r="DCB162" s="679"/>
      <c r="DCC162" s="679"/>
      <c r="DCD162" s="679"/>
      <c r="DCE162" s="679"/>
      <c r="DCF162" s="679"/>
      <c r="DCG162" s="679"/>
      <c r="DCH162" s="679"/>
      <c r="DCI162" s="679"/>
      <c r="DCJ162" s="679"/>
      <c r="DCK162" s="679"/>
      <c r="DCL162" s="679"/>
      <c r="DCM162" s="679"/>
      <c r="DCN162" s="679"/>
      <c r="DCO162" s="679"/>
      <c r="DCP162" s="679"/>
      <c r="DCQ162" s="679"/>
      <c r="DCR162" s="679"/>
      <c r="DCS162" s="679"/>
      <c r="DCT162" s="679"/>
      <c r="DCU162" s="679"/>
      <c r="DCV162" s="679"/>
      <c r="DCW162" s="679"/>
      <c r="DCX162" s="679"/>
      <c r="DCY162" s="679"/>
      <c r="DCZ162" s="679"/>
      <c r="DDA162" s="679"/>
      <c r="DDB162" s="679"/>
      <c r="DDC162" s="679"/>
      <c r="DDD162" s="679"/>
      <c r="DDE162" s="679"/>
      <c r="DDF162" s="679"/>
      <c r="DDG162" s="679"/>
      <c r="DDH162" s="679"/>
      <c r="DDI162" s="679"/>
      <c r="DDJ162" s="679"/>
      <c r="DDK162" s="679"/>
      <c r="DDL162" s="679"/>
      <c r="DDM162" s="679"/>
      <c r="DDN162" s="679"/>
      <c r="DDO162" s="679"/>
      <c r="DDP162" s="679"/>
      <c r="DDQ162" s="679"/>
      <c r="DDR162" s="679"/>
      <c r="DDS162" s="679"/>
      <c r="DDT162" s="679"/>
      <c r="DDU162" s="679"/>
      <c r="DDV162" s="679"/>
      <c r="DDW162" s="679"/>
      <c r="DDX162" s="679"/>
      <c r="DDY162" s="679"/>
      <c r="DDZ162" s="679"/>
      <c r="DEA162" s="679"/>
      <c r="DEB162" s="679"/>
      <c r="DEC162" s="679"/>
      <c r="DED162" s="679"/>
      <c r="DEE162" s="679"/>
      <c r="DEF162" s="679"/>
      <c r="DEG162" s="679"/>
      <c r="DEH162" s="679"/>
      <c r="DEI162" s="679"/>
      <c r="DEJ162" s="679"/>
      <c r="DEK162" s="679"/>
      <c r="DEL162" s="679"/>
      <c r="DEM162" s="679"/>
      <c r="DEN162" s="679"/>
      <c r="DEO162" s="679"/>
      <c r="DEP162" s="679"/>
      <c r="DEQ162" s="679"/>
      <c r="DER162" s="679"/>
      <c r="DES162" s="679"/>
      <c r="DET162" s="679"/>
      <c r="DEU162" s="679"/>
      <c r="DEV162" s="679"/>
      <c r="DEW162" s="679"/>
      <c r="DEX162" s="679"/>
      <c r="DEY162" s="679"/>
      <c r="DEZ162" s="679"/>
      <c r="DFA162" s="679"/>
      <c r="DFB162" s="679"/>
      <c r="DFC162" s="679"/>
      <c r="DFD162" s="679"/>
      <c r="DFE162" s="679"/>
      <c r="DFF162" s="679"/>
      <c r="DFG162" s="679"/>
      <c r="DFH162" s="679"/>
      <c r="DFI162" s="679"/>
      <c r="DFJ162" s="679"/>
      <c r="DFK162" s="679"/>
      <c r="DFL162" s="679"/>
      <c r="DFM162" s="679"/>
      <c r="DFN162" s="679"/>
      <c r="DFO162" s="679"/>
      <c r="DFP162" s="679"/>
      <c r="DFQ162" s="679"/>
      <c r="DFR162" s="679"/>
      <c r="DFS162" s="679"/>
      <c r="DFT162" s="679"/>
      <c r="DFU162" s="679"/>
      <c r="DFV162" s="679"/>
      <c r="DFW162" s="679"/>
      <c r="DFX162" s="679"/>
      <c r="DFY162" s="679"/>
      <c r="DFZ162" s="679"/>
      <c r="DGA162" s="679"/>
      <c r="DGB162" s="679"/>
      <c r="DGC162" s="679"/>
      <c r="DGD162" s="679"/>
      <c r="DGE162" s="679"/>
      <c r="DGF162" s="679"/>
      <c r="DGG162" s="679"/>
      <c r="DGH162" s="679"/>
      <c r="DGI162" s="679"/>
      <c r="DGJ162" s="679"/>
      <c r="DGK162" s="679"/>
      <c r="DGL162" s="679"/>
      <c r="DGM162" s="679"/>
      <c r="DGN162" s="679"/>
      <c r="DGO162" s="679"/>
      <c r="DGP162" s="679"/>
      <c r="DGQ162" s="679"/>
      <c r="DGR162" s="679"/>
      <c r="DGS162" s="679"/>
      <c r="DGT162" s="679"/>
      <c r="DGU162" s="679"/>
      <c r="DGV162" s="679"/>
      <c r="DGW162" s="679"/>
      <c r="DGX162" s="679"/>
      <c r="DGY162" s="679"/>
      <c r="DGZ162" s="679"/>
      <c r="DHA162" s="679"/>
      <c r="DHB162" s="679"/>
      <c r="DHC162" s="679"/>
      <c r="DHD162" s="679"/>
      <c r="DHE162" s="679"/>
      <c r="DHF162" s="679"/>
      <c r="DHG162" s="679"/>
      <c r="DHH162" s="679"/>
      <c r="DHI162" s="679"/>
      <c r="DHJ162" s="679"/>
      <c r="DHK162" s="679"/>
      <c r="DHL162" s="679"/>
      <c r="DHM162" s="679"/>
      <c r="DHN162" s="679"/>
      <c r="DHO162" s="679"/>
      <c r="DHP162" s="679"/>
      <c r="DHQ162" s="679"/>
      <c r="DHR162" s="679"/>
      <c r="DHS162" s="679"/>
      <c r="DHT162" s="679"/>
      <c r="DHU162" s="679"/>
      <c r="DHV162" s="679"/>
      <c r="DHW162" s="679"/>
      <c r="DHX162" s="679"/>
      <c r="DHY162" s="679"/>
      <c r="DHZ162" s="679"/>
      <c r="DIA162" s="679"/>
      <c r="DIB162" s="679"/>
      <c r="DIC162" s="679"/>
      <c r="DID162" s="679"/>
      <c r="DIE162" s="679"/>
      <c r="DIF162" s="679"/>
      <c r="DIG162" s="679"/>
      <c r="DIH162" s="679"/>
      <c r="DII162" s="679"/>
      <c r="DIJ162" s="679"/>
      <c r="DIK162" s="679"/>
      <c r="DIL162" s="679"/>
      <c r="DIM162" s="679"/>
      <c r="DIN162" s="679"/>
      <c r="DIO162" s="679"/>
      <c r="DIP162" s="679"/>
      <c r="DIQ162" s="679"/>
      <c r="DIR162" s="679"/>
      <c r="DIS162" s="679"/>
      <c r="DIT162" s="679"/>
      <c r="DIU162" s="679"/>
      <c r="DIV162" s="679"/>
      <c r="DIW162" s="679"/>
      <c r="DIX162" s="679"/>
      <c r="DIY162" s="679"/>
      <c r="DIZ162" s="679"/>
      <c r="DJA162" s="679"/>
      <c r="DJB162" s="679"/>
      <c r="DJC162" s="679"/>
      <c r="DJD162" s="679"/>
      <c r="DJE162" s="679"/>
      <c r="DJF162" s="679"/>
      <c r="DJG162" s="679"/>
      <c r="DJH162" s="679"/>
      <c r="DJI162" s="679"/>
      <c r="DJJ162" s="679"/>
      <c r="DJK162" s="679"/>
      <c r="DJL162" s="679"/>
      <c r="DJM162" s="679"/>
      <c r="DJN162" s="679"/>
      <c r="DJO162" s="679"/>
      <c r="DJP162" s="679"/>
      <c r="DJQ162" s="679"/>
      <c r="DJR162" s="679"/>
      <c r="DJS162" s="679"/>
      <c r="DJT162" s="679"/>
      <c r="DJU162" s="679"/>
      <c r="DJV162" s="679"/>
      <c r="DJW162" s="679"/>
      <c r="DJX162" s="679"/>
      <c r="DJY162" s="679"/>
      <c r="DJZ162" s="679"/>
      <c r="DKA162" s="679"/>
      <c r="DKB162" s="679"/>
      <c r="DKC162" s="679"/>
      <c r="DKD162" s="679"/>
      <c r="DKE162" s="679"/>
      <c r="DKF162" s="679"/>
      <c r="DKG162" s="679"/>
      <c r="DKH162" s="679"/>
      <c r="DKI162" s="679"/>
      <c r="DKJ162" s="679"/>
      <c r="DKK162" s="679"/>
      <c r="DKL162" s="679"/>
      <c r="DKM162" s="679"/>
      <c r="DKN162" s="679"/>
      <c r="DKO162" s="679"/>
      <c r="DKP162" s="679"/>
      <c r="DKQ162" s="679"/>
      <c r="DKR162" s="679"/>
      <c r="DKS162" s="679"/>
      <c r="DKT162" s="679"/>
      <c r="DKU162" s="679"/>
      <c r="DKV162" s="679"/>
      <c r="DKW162" s="679"/>
      <c r="DKX162" s="679"/>
      <c r="DKY162" s="679"/>
      <c r="DKZ162" s="679"/>
      <c r="DLA162" s="679"/>
      <c r="DLB162" s="679"/>
      <c r="DLC162" s="679"/>
      <c r="DLD162" s="679"/>
      <c r="DLE162" s="679"/>
      <c r="DLF162" s="679"/>
      <c r="DLG162" s="679"/>
      <c r="DLH162" s="679"/>
      <c r="DLI162" s="679"/>
      <c r="DLJ162" s="679"/>
      <c r="DLK162" s="679"/>
      <c r="DLL162" s="679"/>
      <c r="DLM162" s="679"/>
      <c r="DLN162" s="679"/>
      <c r="DLO162" s="679"/>
      <c r="DLP162" s="679"/>
      <c r="DLQ162" s="679"/>
      <c r="DLR162" s="679"/>
      <c r="DLS162" s="679"/>
      <c r="DLT162" s="679"/>
      <c r="DLU162" s="679"/>
      <c r="DLV162" s="679"/>
      <c r="DLW162" s="679"/>
      <c r="DLX162" s="679"/>
      <c r="DLY162" s="679"/>
      <c r="DLZ162" s="679"/>
      <c r="DMA162" s="679"/>
      <c r="DMB162" s="679"/>
      <c r="DMC162" s="679"/>
      <c r="DMD162" s="679"/>
      <c r="DME162" s="679"/>
      <c r="DMF162" s="679"/>
      <c r="DMG162" s="679"/>
      <c r="DMH162" s="679"/>
      <c r="DMI162" s="679"/>
      <c r="DMJ162" s="679"/>
      <c r="DMK162" s="679"/>
      <c r="DML162" s="679"/>
      <c r="DMM162" s="679"/>
      <c r="DMN162" s="679"/>
      <c r="DMO162" s="679"/>
      <c r="DMP162" s="679"/>
      <c r="DMQ162" s="679"/>
      <c r="DMR162" s="679"/>
      <c r="DMS162" s="679"/>
      <c r="DMT162" s="679"/>
      <c r="DMU162" s="679"/>
      <c r="DMV162" s="679"/>
      <c r="DMW162" s="679"/>
      <c r="DMX162" s="679"/>
      <c r="DMY162" s="679"/>
      <c r="DMZ162" s="679"/>
      <c r="DNA162" s="679"/>
      <c r="DNB162" s="679"/>
      <c r="DNC162" s="679"/>
      <c r="DND162" s="679"/>
      <c r="DNE162" s="679"/>
      <c r="DNF162" s="679"/>
      <c r="DNG162" s="679"/>
      <c r="DNH162" s="679"/>
      <c r="DNI162" s="679"/>
      <c r="DNJ162" s="679"/>
      <c r="DNK162" s="679"/>
      <c r="DNL162" s="679"/>
      <c r="DNM162" s="679"/>
      <c r="DNN162" s="679"/>
      <c r="DNO162" s="679"/>
      <c r="DNP162" s="679"/>
      <c r="DNQ162" s="679"/>
      <c r="DNR162" s="679"/>
      <c r="DNS162" s="679"/>
      <c r="DNT162" s="679"/>
      <c r="DNU162" s="679"/>
      <c r="DNV162" s="679"/>
      <c r="DNW162" s="679"/>
      <c r="DNX162" s="679"/>
      <c r="DNY162" s="679"/>
      <c r="DNZ162" s="679"/>
      <c r="DOA162" s="679"/>
      <c r="DOB162" s="679"/>
      <c r="DOC162" s="679"/>
      <c r="DOD162" s="679"/>
      <c r="DOE162" s="679"/>
      <c r="DOF162" s="679"/>
      <c r="DOG162" s="679"/>
      <c r="DOH162" s="679"/>
      <c r="DOI162" s="679"/>
      <c r="DOJ162" s="679"/>
      <c r="DOK162" s="679"/>
      <c r="DOL162" s="679"/>
      <c r="DOM162" s="679"/>
      <c r="DON162" s="679"/>
      <c r="DOO162" s="679"/>
      <c r="DOP162" s="679"/>
      <c r="DOQ162" s="679"/>
      <c r="DOR162" s="679"/>
      <c r="DOS162" s="679"/>
      <c r="DOT162" s="679"/>
      <c r="DOU162" s="679"/>
      <c r="DOV162" s="679"/>
      <c r="DOW162" s="679"/>
      <c r="DOX162" s="679"/>
      <c r="DOY162" s="679"/>
      <c r="DOZ162" s="679"/>
      <c r="DPA162" s="679"/>
      <c r="DPB162" s="679"/>
      <c r="DPC162" s="679"/>
      <c r="DPD162" s="679"/>
      <c r="DPE162" s="679"/>
      <c r="DPF162" s="679"/>
      <c r="DPG162" s="679"/>
      <c r="DPH162" s="679"/>
      <c r="DPI162" s="679"/>
      <c r="DPJ162" s="679"/>
      <c r="DPK162" s="679"/>
      <c r="DPL162" s="679"/>
      <c r="DPM162" s="679"/>
      <c r="DPN162" s="679"/>
      <c r="DPO162" s="679"/>
      <c r="DPP162" s="679"/>
      <c r="DPQ162" s="679"/>
      <c r="DPR162" s="679"/>
      <c r="DPS162" s="679"/>
      <c r="DPT162" s="679"/>
      <c r="DPU162" s="679"/>
      <c r="DPV162" s="679"/>
      <c r="DPW162" s="679"/>
      <c r="DPX162" s="679"/>
      <c r="DPY162" s="679"/>
      <c r="DPZ162" s="679"/>
      <c r="DQA162" s="679"/>
      <c r="DQB162" s="679"/>
      <c r="DQC162" s="679"/>
      <c r="DQD162" s="679"/>
      <c r="DQE162" s="679"/>
      <c r="DQF162" s="679"/>
      <c r="DQG162" s="679"/>
      <c r="DQH162" s="679"/>
      <c r="DQI162" s="679"/>
      <c r="DQJ162" s="679"/>
      <c r="DQK162" s="679"/>
      <c r="DQL162" s="679"/>
      <c r="DQM162" s="679"/>
      <c r="DQN162" s="679"/>
      <c r="DQO162" s="679"/>
      <c r="DQP162" s="679"/>
      <c r="DQQ162" s="679"/>
      <c r="DQR162" s="679"/>
      <c r="DQS162" s="679"/>
      <c r="DQT162" s="679"/>
      <c r="DQU162" s="679"/>
      <c r="DQV162" s="679"/>
      <c r="DQW162" s="679"/>
      <c r="DQX162" s="679"/>
      <c r="DQY162" s="679"/>
      <c r="DQZ162" s="679"/>
      <c r="DRA162" s="679"/>
      <c r="DRB162" s="679"/>
      <c r="DRC162" s="679"/>
      <c r="DRD162" s="679"/>
      <c r="DRE162" s="679"/>
      <c r="DRF162" s="679"/>
      <c r="DRG162" s="679"/>
      <c r="DRH162" s="679"/>
      <c r="DRI162" s="679"/>
      <c r="DRJ162" s="679"/>
      <c r="DRK162" s="679"/>
      <c r="DRL162" s="679"/>
      <c r="DRM162" s="679"/>
      <c r="DRN162" s="679"/>
      <c r="DRO162" s="679"/>
      <c r="DRP162" s="679"/>
      <c r="DRQ162" s="679"/>
      <c r="DRR162" s="679"/>
      <c r="DRS162" s="679"/>
      <c r="DRT162" s="679"/>
      <c r="DRU162" s="679"/>
      <c r="DRV162" s="679"/>
      <c r="DRW162" s="679"/>
      <c r="DRX162" s="679"/>
      <c r="DRY162" s="679"/>
      <c r="DRZ162" s="679"/>
      <c r="DSA162" s="679"/>
      <c r="DSB162" s="679"/>
      <c r="DSC162" s="679"/>
      <c r="DSD162" s="679"/>
      <c r="DSE162" s="679"/>
      <c r="DSF162" s="679"/>
      <c r="DSG162" s="679"/>
      <c r="DSH162" s="679"/>
      <c r="DSI162" s="679"/>
      <c r="DSJ162" s="679"/>
      <c r="DSK162" s="679"/>
      <c r="DSL162" s="679"/>
      <c r="DSM162" s="679"/>
      <c r="DSN162" s="679"/>
      <c r="DSO162" s="679"/>
      <c r="DSP162" s="679"/>
      <c r="DSQ162" s="679"/>
      <c r="DSR162" s="679"/>
      <c r="DSS162" s="679"/>
      <c r="DST162" s="679"/>
      <c r="DSU162" s="679"/>
      <c r="DSV162" s="679"/>
      <c r="DSW162" s="679"/>
      <c r="DSX162" s="679"/>
      <c r="DSY162" s="679"/>
      <c r="DSZ162" s="679"/>
      <c r="DTA162" s="679"/>
      <c r="DTB162" s="679"/>
      <c r="DTC162" s="679"/>
      <c r="DTD162" s="679"/>
      <c r="DTE162" s="679"/>
      <c r="DTF162" s="679"/>
      <c r="DTG162" s="679"/>
      <c r="DTH162" s="679"/>
      <c r="DTI162" s="679"/>
      <c r="DTJ162" s="679"/>
      <c r="DTK162" s="679"/>
      <c r="DTL162" s="679"/>
      <c r="DTM162" s="679"/>
      <c r="DTN162" s="679"/>
      <c r="DTO162" s="679"/>
      <c r="DTP162" s="679"/>
      <c r="DTQ162" s="679"/>
      <c r="DTR162" s="679"/>
      <c r="DTS162" s="679"/>
      <c r="DTT162" s="679"/>
      <c r="DTU162" s="679"/>
      <c r="DTV162" s="679"/>
      <c r="DTW162" s="679"/>
      <c r="DTX162" s="679"/>
      <c r="DTY162" s="679"/>
      <c r="DTZ162" s="679"/>
      <c r="DUA162" s="679"/>
      <c r="DUB162" s="679"/>
      <c r="DUC162" s="679"/>
      <c r="DUD162" s="679"/>
      <c r="DUE162" s="679"/>
      <c r="DUF162" s="679"/>
      <c r="DUG162" s="679"/>
      <c r="DUH162" s="679"/>
      <c r="DUI162" s="679"/>
      <c r="DUJ162" s="679"/>
      <c r="DUK162" s="679"/>
      <c r="DUL162" s="679"/>
      <c r="DUM162" s="679"/>
      <c r="DUN162" s="679"/>
      <c r="DUO162" s="679"/>
      <c r="DUP162" s="679"/>
      <c r="DUQ162" s="679"/>
      <c r="DUR162" s="679"/>
      <c r="DUS162" s="679"/>
      <c r="DUT162" s="679"/>
      <c r="DUU162" s="679"/>
      <c r="DUV162" s="679"/>
      <c r="DUW162" s="679"/>
      <c r="DUX162" s="679"/>
      <c r="DUY162" s="679"/>
      <c r="DUZ162" s="679"/>
      <c r="DVA162" s="679"/>
      <c r="DVB162" s="679"/>
      <c r="DVC162" s="679"/>
      <c r="DVD162" s="679"/>
      <c r="DVE162" s="679"/>
      <c r="DVF162" s="679"/>
      <c r="DVG162" s="679"/>
      <c r="DVH162" s="679"/>
      <c r="DVI162" s="679"/>
      <c r="DVJ162" s="679"/>
      <c r="DVK162" s="679"/>
      <c r="DVL162" s="679"/>
      <c r="DVM162" s="679"/>
      <c r="DVN162" s="679"/>
      <c r="DVO162" s="679"/>
      <c r="DVP162" s="679"/>
      <c r="DVQ162" s="679"/>
      <c r="DVR162" s="679"/>
      <c r="DVS162" s="679"/>
      <c r="DVT162" s="679"/>
      <c r="DVU162" s="679"/>
      <c r="DVV162" s="679"/>
      <c r="DVW162" s="679"/>
      <c r="DVX162" s="679"/>
      <c r="DVY162" s="679"/>
      <c r="DVZ162" s="679"/>
      <c r="DWA162" s="679"/>
      <c r="DWB162" s="679"/>
      <c r="DWC162" s="679"/>
      <c r="DWD162" s="679"/>
      <c r="DWE162" s="679"/>
      <c r="DWF162" s="679"/>
      <c r="DWG162" s="679"/>
      <c r="DWH162" s="679"/>
      <c r="DWI162" s="679"/>
      <c r="DWJ162" s="679"/>
      <c r="DWK162" s="679"/>
      <c r="DWL162" s="679"/>
      <c r="DWM162" s="679"/>
      <c r="DWN162" s="679"/>
      <c r="DWO162" s="679"/>
      <c r="DWP162" s="679"/>
      <c r="DWQ162" s="679"/>
      <c r="DWR162" s="679"/>
      <c r="DWS162" s="679"/>
      <c r="DWT162" s="679"/>
      <c r="DWU162" s="679"/>
      <c r="DWV162" s="679"/>
      <c r="DWW162" s="679"/>
      <c r="DWX162" s="679"/>
      <c r="DWY162" s="679"/>
      <c r="DWZ162" s="679"/>
      <c r="DXA162" s="679"/>
      <c r="DXB162" s="679"/>
      <c r="DXC162" s="679"/>
      <c r="DXD162" s="679"/>
      <c r="DXE162" s="679"/>
      <c r="DXF162" s="679"/>
      <c r="DXG162" s="679"/>
      <c r="DXH162" s="679"/>
      <c r="DXI162" s="679"/>
      <c r="DXJ162" s="679"/>
      <c r="DXK162" s="679"/>
      <c r="DXL162" s="679"/>
      <c r="DXM162" s="679"/>
      <c r="DXN162" s="679"/>
      <c r="DXO162" s="679"/>
      <c r="DXP162" s="679"/>
      <c r="DXQ162" s="679"/>
      <c r="DXR162" s="679"/>
      <c r="DXS162" s="679"/>
      <c r="DXT162" s="679"/>
      <c r="DXU162" s="679"/>
      <c r="DXV162" s="679"/>
      <c r="DXW162" s="679"/>
      <c r="DXX162" s="679"/>
      <c r="DXY162" s="679"/>
      <c r="DXZ162" s="679"/>
      <c r="DYA162" s="679"/>
      <c r="DYB162" s="679"/>
      <c r="DYC162" s="679"/>
      <c r="DYD162" s="679"/>
      <c r="DYE162" s="679"/>
      <c r="DYF162" s="679"/>
      <c r="DYG162" s="679"/>
      <c r="DYH162" s="679"/>
      <c r="DYI162" s="679"/>
      <c r="DYJ162" s="679"/>
      <c r="DYK162" s="679"/>
      <c r="DYL162" s="679"/>
      <c r="DYM162" s="679"/>
      <c r="DYN162" s="679"/>
      <c r="DYO162" s="679"/>
      <c r="DYP162" s="679"/>
      <c r="DYQ162" s="679"/>
      <c r="DYR162" s="679"/>
      <c r="DYS162" s="679"/>
      <c r="DYT162" s="679"/>
      <c r="DYU162" s="679"/>
      <c r="DYV162" s="679"/>
      <c r="DYW162" s="679"/>
      <c r="DYX162" s="679"/>
      <c r="DYY162" s="679"/>
      <c r="DYZ162" s="679"/>
      <c r="DZA162" s="679"/>
      <c r="DZB162" s="679"/>
      <c r="DZC162" s="679"/>
      <c r="DZD162" s="679"/>
      <c r="DZE162" s="679"/>
      <c r="DZF162" s="679"/>
      <c r="DZG162" s="679"/>
      <c r="DZH162" s="679"/>
      <c r="DZI162" s="679"/>
      <c r="DZJ162" s="679"/>
      <c r="DZK162" s="679"/>
      <c r="DZL162" s="679"/>
      <c r="DZM162" s="679"/>
      <c r="DZN162" s="679"/>
      <c r="DZO162" s="679"/>
      <c r="DZP162" s="679"/>
      <c r="DZQ162" s="679"/>
      <c r="DZR162" s="679"/>
      <c r="DZS162" s="679"/>
      <c r="DZT162" s="679"/>
      <c r="DZU162" s="679"/>
      <c r="DZV162" s="679"/>
      <c r="DZW162" s="679"/>
      <c r="DZX162" s="679"/>
      <c r="DZY162" s="679"/>
      <c r="DZZ162" s="679"/>
      <c r="EAA162" s="679"/>
      <c r="EAB162" s="679"/>
      <c r="EAC162" s="679"/>
      <c r="EAD162" s="679"/>
      <c r="EAE162" s="679"/>
      <c r="EAF162" s="679"/>
      <c r="EAG162" s="679"/>
      <c r="EAH162" s="679"/>
      <c r="EAI162" s="679"/>
      <c r="EAJ162" s="679"/>
      <c r="EAK162" s="679"/>
      <c r="EAL162" s="679"/>
      <c r="EAM162" s="679"/>
      <c r="EAN162" s="679"/>
      <c r="EAO162" s="679"/>
      <c r="EAP162" s="679"/>
      <c r="EAQ162" s="679"/>
      <c r="EAR162" s="679"/>
      <c r="EAS162" s="679"/>
      <c r="EAT162" s="679"/>
      <c r="EAU162" s="679"/>
      <c r="EAV162" s="679"/>
      <c r="EAW162" s="679"/>
      <c r="EAX162" s="679"/>
      <c r="EAY162" s="679"/>
      <c r="EAZ162" s="679"/>
      <c r="EBA162" s="679"/>
      <c r="EBB162" s="679"/>
      <c r="EBC162" s="679"/>
      <c r="EBD162" s="679"/>
      <c r="EBE162" s="679"/>
      <c r="EBF162" s="679"/>
      <c r="EBG162" s="679"/>
      <c r="EBH162" s="679"/>
      <c r="EBI162" s="679"/>
      <c r="EBJ162" s="679"/>
      <c r="EBK162" s="679"/>
      <c r="EBL162" s="679"/>
      <c r="EBM162" s="679"/>
      <c r="EBN162" s="679"/>
      <c r="EBO162" s="679"/>
      <c r="EBP162" s="679"/>
      <c r="EBQ162" s="679"/>
      <c r="EBR162" s="679"/>
      <c r="EBS162" s="679"/>
      <c r="EBT162" s="679"/>
      <c r="EBU162" s="679"/>
      <c r="EBV162" s="679"/>
      <c r="EBW162" s="679"/>
      <c r="EBX162" s="679"/>
      <c r="EBY162" s="679"/>
      <c r="EBZ162" s="679"/>
      <c r="ECA162" s="679"/>
      <c r="ECB162" s="679"/>
      <c r="ECC162" s="679"/>
      <c r="ECD162" s="679"/>
      <c r="ECE162" s="679"/>
      <c r="ECF162" s="679"/>
      <c r="ECG162" s="679"/>
      <c r="ECH162" s="679"/>
      <c r="ECI162" s="679"/>
      <c r="ECJ162" s="679"/>
      <c r="ECK162" s="679"/>
      <c r="ECL162" s="679"/>
      <c r="ECM162" s="679"/>
      <c r="ECN162" s="679"/>
      <c r="ECO162" s="679"/>
      <c r="ECP162" s="679"/>
      <c r="ECQ162" s="679"/>
      <c r="ECR162" s="679"/>
      <c r="ECS162" s="679"/>
      <c r="ECT162" s="679"/>
      <c r="ECU162" s="679"/>
      <c r="ECV162" s="679"/>
      <c r="ECW162" s="679"/>
      <c r="ECX162" s="679"/>
      <c r="ECY162" s="679"/>
      <c r="ECZ162" s="679"/>
      <c r="EDA162" s="679"/>
      <c r="EDB162" s="679"/>
      <c r="EDC162" s="679"/>
      <c r="EDD162" s="679"/>
      <c r="EDE162" s="679"/>
      <c r="EDF162" s="679"/>
      <c r="EDG162" s="679"/>
      <c r="EDH162" s="679"/>
      <c r="EDI162" s="679"/>
      <c r="EDJ162" s="679"/>
      <c r="EDK162" s="679"/>
      <c r="EDL162" s="679"/>
      <c r="EDM162" s="679"/>
      <c r="EDN162" s="679"/>
      <c r="EDO162" s="679"/>
      <c r="EDP162" s="679"/>
      <c r="EDQ162" s="679"/>
      <c r="EDR162" s="679"/>
      <c r="EDS162" s="679"/>
      <c r="EDT162" s="679"/>
      <c r="EDU162" s="679"/>
      <c r="EDV162" s="679"/>
      <c r="EDW162" s="679"/>
      <c r="EDX162" s="679"/>
      <c r="EDY162" s="679"/>
      <c r="EDZ162" s="679"/>
      <c r="EEA162" s="679"/>
      <c r="EEB162" s="679"/>
      <c r="EEC162" s="679"/>
      <c r="EED162" s="679"/>
      <c r="EEE162" s="679"/>
      <c r="EEF162" s="679"/>
      <c r="EEG162" s="679"/>
      <c r="EEH162" s="679"/>
      <c r="EEI162" s="679"/>
      <c r="EEJ162" s="679"/>
      <c r="EEK162" s="679"/>
      <c r="EEL162" s="679"/>
      <c r="EEM162" s="679"/>
      <c r="EEN162" s="679"/>
      <c r="EEO162" s="679"/>
      <c r="EEP162" s="679"/>
      <c r="EEQ162" s="679"/>
      <c r="EER162" s="679"/>
      <c r="EES162" s="679"/>
      <c r="EET162" s="679"/>
      <c r="EEU162" s="679"/>
      <c r="EEV162" s="679"/>
      <c r="EEW162" s="679"/>
      <c r="EEX162" s="679"/>
      <c r="EEY162" s="679"/>
      <c r="EEZ162" s="679"/>
      <c r="EFA162" s="679"/>
      <c r="EFB162" s="679"/>
      <c r="EFC162" s="679"/>
      <c r="EFD162" s="679"/>
      <c r="EFE162" s="679"/>
      <c r="EFF162" s="679"/>
      <c r="EFG162" s="679"/>
      <c r="EFH162" s="679"/>
      <c r="EFI162" s="679"/>
      <c r="EFJ162" s="679"/>
      <c r="EFK162" s="679"/>
      <c r="EFL162" s="679"/>
      <c r="EFM162" s="679"/>
      <c r="EFN162" s="679"/>
      <c r="EFO162" s="679"/>
      <c r="EFP162" s="679"/>
      <c r="EFQ162" s="679"/>
      <c r="EFR162" s="679"/>
      <c r="EFS162" s="679"/>
      <c r="EFT162" s="679"/>
      <c r="EFU162" s="679"/>
      <c r="EFV162" s="679"/>
      <c r="EFW162" s="679"/>
      <c r="EFX162" s="679"/>
      <c r="EFY162" s="679"/>
      <c r="EFZ162" s="679"/>
      <c r="EGA162" s="679"/>
      <c r="EGB162" s="679"/>
      <c r="EGC162" s="679"/>
      <c r="EGD162" s="679"/>
      <c r="EGE162" s="679"/>
      <c r="EGF162" s="679"/>
      <c r="EGG162" s="679"/>
      <c r="EGH162" s="679"/>
      <c r="EGI162" s="679"/>
      <c r="EGJ162" s="679"/>
      <c r="EGK162" s="679"/>
      <c r="EGL162" s="679"/>
      <c r="EGM162" s="679"/>
      <c r="EGN162" s="679"/>
      <c r="EGO162" s="679"/>
      <c r="EGP162" s="679"/>
      <c r="EGQ162" s="679"/>
      <c r="EGR162" s="679"/>
      <c r="EGS162" s="679"/>
      <c r="EGT162" s="679"/>
      <c r="EGU162" s="679"/>
      <c r="EGV162" s="679"/>
      <c r="EGW162" s="679"/>
      <c r="EGX162" s="679"/>
      <c r="EGY162" s="679"/>
      <c r="EGZ162" s="679"/>
      <c r="EHA162" s="679"/>
      <c r="EHB162" s="679"/>
      <c r="EHC162" s="679"/>
      <c r="EHD162" s="679"/>
      <c r="EHE162" s="679"/>
      <c r="EHF162" s="679"/>
      <c r="EHG162" s="679"/>
      <c r="EHH162" s="679"/>
      <c r="EHI162" s="679"/>
      <c r="EHJ162" s="679"/>
      <c r="EHK162" s="679"/>
      <c r="EHL162" s="679"/>
      <c r="EHM162" s="679"/>
      <c r="EHN162" s="679"/>
      <c r="EHO162" s="679"/>
      <c r="EHP162" s="679"/>
      <c r="EHQ162" s="679"/>
      <c r="EHR162" s="679"/>
      <c r="EHS162" s="679"/>
      <c r="EHT162" s="679"/>
      <c r="EHU162" s="679"/>
      <c r="EHV162" s="679"/>
      <c r="EHW162" s="679"/>
      <c r="EHX162" s="679"/>
      <c r="EHY162" s="679"/>
      <c r="EHZ162" s="679"/>
      <c r="EIA162" s="679"/>
      <c r="EIB162" s="679"/>
      <c r="EIC162" s="679"/>
      <c r="EID162" s="679"/>
      <c r="EIE162" s="679"/>
      <c r="EIF162" s="679"/>
      <c r="EIG162" s="679"/>
      <c r="EIH162" s="679"/>
      <c r="EII162" s="679"/>
      <c r="EIJ162" s="679"/>
      <c r="EIK162" s="679"/>
      <c r="EIL162" s="679"/>
      <c r="EIM162" s="679"/>
      <c r="EIN162" s="679"/>
      <c r="EIO162" s="679"/>
      <c r="EIP162" s="679"/>
      <c r="EIQ162" s="679"/>
      <c r="EIR162" s="679"/>
      <c r="EIS162" s="679"/>
      <c r="EIT162" s="679"/>
      <c r="EIU162" s="679"/>
      <c r="EIV162" s="679"/>
      <c r="EIW162" s="679"/>
      <c r="EIX162" s="679"/>
      <c r="EIY162" s="679"/>
      <c r="EIZ162" s="679"/>
      <c r="EJA162" s="679"/>
      <c r="EJB162" s="679"/>
      <c r="EJC162" s="679"/>
      <c r="EJD162" s="679"/>
      <c r="EJE162" s="679"/>
      <c r="EJF162" s="679"/>
      <c r="EJG162" s="679"/>
      <c r="EJH162" s="679"/>
      <c r="EJI162" s="679"/>
      <c r="EJJ162" s="679"/>
      <c r="EJK162" s="679"/>
      <c r="EJL162" s="679"/>
      <c r="EJM162" s="679"/>
      <c r="EJN162" s="679"/>
      <c r="EJO162" s="679"/>
      <c r="EJP162" s="679"/>
      <c r="EJQ162" s="679"/>
      <c r="EJR162" s="679"/>
      <c r="EJS162" s="679"/>
      <c r="EJT162" s="679"/>
      <c r="EJU162" s="679"/>
      <c r="EJV162" s="679"/>
      <c r="EJW162" s="679"/>
      <c r="EJX162" s="679"/>
      <c r="EJY162" s="679"/>
      <c r="EJZ162" s="679"/>
      <c r="EKA162" s="679"/>
      <c r="EKB162" s="679"/>
      <c r="EKC162" s="679"/>
      <c r="EKD162" s="679"/>
      <c r="EKE162" s="679"/>
      <c r="EKF162" s="679"/>
      <c r="EKG162" s="679"/>
      <c r="EKH162" s="679"/>
      <c r="EKI162" s="679"/>
      <c r="EKJ162" s="679"/>
      <c r="EKK162" s="679"/>
      <c r="EKL162" s="679"/>
      <c r="EKM162" s="679"/>
      <c r="EKN162" s="679"/>
      <c r="EKO162" s="679"/>
      <c r="EKP162" s="679"/>
      <c r="EKQ162" s="679"/>
      <c r="EKR162" s="679"/>
      <c r="EKS162" s="679"/>
      <c r="EKT162" s="679"/>
      <c r="EKU162" s="679"/>
      <c r="EKV162" s="679"/>
      <c r="EKW162" s="679"/>
      <c r="EKX162" s="679"/>
      <c r="EKY162" s="679"/>
      <c r="EKZ162" s="679"/>
      <c r="ELA162" s="679"/>
      <c r="ELB162" s="679"/>
      <c r="ELC162" s="679"/>
      <c r="ELD162" s="679"/>
      <c r="ELE162" s="679"/>
      <c r="ELF162" s="679"/>
      <c r="ELG162" s="679"/>
      <c r="ELH162" s="679"/>
      <c r="ELI162" s="679"/>
      <c r="ELJ162" s="679"/>
      <c r="ELK162" s="679"/>
      <c r="ELL162" s="679"/>
      <c r="ELM162" s="679"/>
      <c r="ELN162" s="679"/>
      <c r="ELO162" s="679"/>
      <c r="ELP162" s="679"/>
      <c r="ELQ162" s="679"/>
      <c r="ELR162" s="679"/>
      <c r="ELS162" s="679"/>
      <c r="ELT162" s="679"/>
      <c r="ELU162" s="679"/>
      <c r="ELV162" s="679"/>
      <c r="ELW162" s="679"/>
      <c r="ELX162" s="679"/>
      <c r="ELY162" s="679"/>
      <c r="ELZ162" s="679"/>
      <c r="EMA162" s="679"/>
      <c r="EMB162" s="679"/>
      <c r="EMC162" s="679"/>
      <c r="EMD162" s="679"/>
      <c r="EME162" s="679"/>
      <c r="EMF162" s="679"/>
      <c r="EMG162" s="679"/>
      <c r="EMH162" s="679"/>
      <c r="EMI162" s="679"/>
      <c r="EMJ162" s="679"/>
      <c r="EMK162" s="679"/>
      <c r="EML162" s="679"/>
      <c r="EMM162" s="679"/>
      <c r="EMN162" s="679"/>
      <c r="EMO162" s="679"/>
      <c r="EMP162" s="679"/>
      <c r="EMQ162" s="679"/>
      <c r="EMR162" s="679"/>
      <c r="EMS162" s="679"/>
      <c r="EMT162" s="679"/>
      <c r="EMU162" s="679"/>
      <c r="EMV162" s="679"/>
      <c r="EMW162" s="679"/>
      <c r="EMX162" s="679"/>
      <c r="EMY162" s="679"/>
      <c r="EMZ162" s="679"/>
      <c r="ENA162" s="679"/>
      <c r="ENB162" s="679"/>
      <c r="ENC162" s="679"/>
      <c r="END162" s="679"/>
      <c r="ENE162" s="679"/>
      <c r="ENF162" s="679"/>
      <c r="ENG162" s="679"/>
      <c r="ENH162" s="679"/>
      <c r="ENI162" s="679"/>
      <c r="ENJ162" s="679"/>
      <c r="ENK162" s="679"/>
      <c r="ENL162" s="679"/>
      <c r="ENM162" s="679"/>
      <c r="ENN162" s="679"/>
      <c r="ENO162" s="679"/>
      <c r="ENP162" s="679"/>
      <c r="ENQ162" s="679"/>
      <c r="ENR162" s="679"/>
      <c r="ENS162" s="679"/>
      <c r="ENT162" s="679"/>
      <c r="ENU162" s="679"/>
      <c r="ENV162" s="679"/>
      <c r="ENW162" s="679"/>
      <c r="ENX162" s="679"/>
      <c r="ENY162" s="679"/>
      <c r="ENZ162" s="679"/>
      <c r="EOA162" s="679"/>
      <c r="EOB162" s="679"/>
      <c r="EOC162" s="679"/>
      <c r="EOD162" s="679"/>
      <c r="EOE162" s="679"/>
      <c r="EOF162" s="679"/>
      <c r="EOG162" s="679"/>
      <c r="EOH162" s="679"/>
      <c r="EOI162" s="679"/>
      <c r="EOJ162" s="679"/>
      <c r="EOK162" s="679"/>
      <c r="EOL162" s="679"/>
      <c r="EOM162" s="679"/>
      <c r="EON162" s="679"/>
      <c r="EOO162" s="679"/>
      <c r="EOP162" s="679"/>
      <c r="EOQ162" s="679"/>
      <c r="EOR162" s="679"/>
      <c r="EOS162" s="679"/>
      <c r="EOT162" s="679"/>
      <c r="EOU162" s="679"/>
      <c r="EOV162" s="679"/>
      <c r="EOW162" s="679"/>
      <c r="EOX162" s="679"/>
      <c r="EOY162" s="679"/>
      <c r="EOZ162" s="679"/>
      <c r="EPA162" s="679"/>
      <c r="EPB162" s="679"/>
      <c r="EPC162" s="679"/>
      <c r="EPD162" s="679"/>
      <c r="EPE162" s="679"/>
      <c r="EPF162" s="679"/>
      <c r="EPG162" s="679"/>
      <c r="EPH162" s="679"/>
      <c r="EPI162" s="679"/>
      <c r="EPJ162" s="679"/>
      <c r="EPK162" s="679"/>
      <c r="EPL162" s="679"/>
      <c r="EPM162" s="679"/>
      <c r="EPN162" s="679"/>
      <c r="EPO162" s="679"/>
      <c r="EPP162" s="679"/>
      <c r="EPQ162" s="679"/>
      <c r="EPR162" s="679"/>
      <c r="EPS162" s="679"/>
      <c r="EPT162" s="679"/>
      <c r="EPU162" s="679"/>
      <c r="EPV162" s="679"/>
      <c r="EPW162" s="679"/>
      <c r="EPX162" s="679"/>
      <c r="EPY162" s="679"/>
      <c r="EPZ162" s="679"/>
      <c r="EQA162" s="679"/>
      <c r="EQB162" s="679"/>
      <c r="EQC162" s="679"/>
      <c r="EQD162" s="679"/>
      <c r="EQE162" s="679"/>
      <c r="EQF162" s="679"/>
      <c r="EQG162" s="679"/>
      <c r="EQH162" s="679"/>
      <c r="EQI162" s="679"/>
      <c r="EQJ162" s="679"/>
      <c r="EQK162" s="679"/>
      <c r="EQL162" s="679"/>
      <c r="EQM162" s="679"/>
      <c r="EQN162" s="679"/>
      <c r="EQO162" s="679"/>
      <c r="EQP162" s="679"/>
      <c r="EQQ162" s="679"/>
      <c r="EQR162" s="679"/>
      <c r="EQS162" s="679"/>
      <c r="EQT162" s="679"/>
      <c r="EQU162" s="679"/>
      <c r="EQV162" s="679"/>
      <c r="EQW162" s="679"/>
      <c r="EQX162" s="679"/>
      <c r="EQY162" s="679"/>
      <c r="EQZ162" s="679"/>
      <c r="ERA162" s="679"/>
      <c r="ERB162" s="679"/>
      <c r="ERC162" s="679"/>
      <c r="ERD162" s="679"/>
      <c r="ERE162" s="679"/>
      <c r="ERF162" s="679"/>
      <c r="ERG162" s="679"/>
      <c r="ERH162" s="679"/>
      <c r="ERI162" s="679"/>
      <c r="ERJ162" s="679"/>
      <c r="ERK162" s="679"/>
      <c r="ERL162" s="679"/>
      <c r="ERM162" s="679"/>
      <c r="ERN162" s="679"/>
      <c r="ERO162" s="679"/>
      <c r="ERP162" s="679"/>
      <c r="ERQ162" s="679"/>
      <c r="ERR162" s="679"/>
      <c r="ERS162" s="679"/>
      <c r="ERT162" s="679"/>
      <c r="ERU162" s="679"/>
      <c r="ERV162" s="679"/>
      <c r="ERW162" s="679"/>
      <c r="ERX162" s="679"/>
      <c r="ERY162" s="679"/>
      <c r="ERZ162" s="679"/>
      <c r="ESA162" s="679"/>
      <c r="ESB162" s="679"/>
      <c r="ESC162" s="679"/>
      <c r="ESD162" s="679"/>
      <c r="ESE162" s="679"/>
      <c r="ESF162" s="679"/>
      <c r="ESG162" s="679"/>
      <c r="ESH162" s="679"/>
      <c r="ESI162" s="679"/>
      <c r="ESJ162" s="679"/>
      <c r="ESK162" s="679"/>
      <c r="ESL162" s="679"/>
      <c r="ESM162" s="679"/>
      <c r="ESN162" s="679"/>
      <c r="ESO162" s="679"/>
      <c r="ESP162" s="679"/>
      <c r="ESQ162" s="679"/>
      <c r="ESR162" s="679"/>
      <c r="ESS162" s="679"/>
      <c r="EST162" s="679"/>
      <c r="ESU162" s="679"/>
      <c r="ESV162" s="679"/>
      <c r="ESW162" s="679"/>
      <c r="ESX162" s="679"/>
      <c r="ESY162" s="679"/>
      <c r="ESZ162" s="679"/>
      <c r="ETA162" s="679"/>
      <c r="ETB162" s="679"/>
      <c r="ETC162" s="679"/>
      <c r="ETD162" s="679"/>
      <c r="ETE162" s="679"/>
      <c r="ETF162" s="679"/>
      <c r="ETG162" s="679"/>
      <c r="ETH162" s="679"/>
      <c r="ETI162" s="679"/>
      <c r="ETJ162" s="679"/>
      <c r="ETK162" s="679"/>
      <c r="ETL162" s="679"/>
      <c r="ETM162" s="679"/>
      <c r="ETN162" s="679"/>
      <c r="ETO162" s="679"/>
      <c r="ETP162" s="679"/>
      <c r="ETQ162" s="679"/>
      <c r="ETR162" s="679"/>
      <c r="ETS162" s="679"/>
      <c r="ETT162" s="679"/>
      <c r="ETU162" s="679"/>
      <c r="ETV162" s="679"/>
      <c r="ETW162" s="679"/>
      <c r="ETX162" s="679"/>
      <c r="ETY162" s="679"/>
      <c r="ETZ162" s="679"/>
      <c r="EUA162" s="679"/>
      <c r="EUB162" s="679"/>
      <c r="EUC162" s="679"/>
      <c r="EUD162" s="679"/>
      <c r="EUE162" s="679"/>
      <c r="EUF162" s="679"/>
      <c r="EUG162" s="679"/>
      <c r="EUH162" s="679"/>
      <c r="EUI162" s="679"/>
      <c r="EUJ162" s="679"/>
      <c r="EUK162" s="679"/>
      <c r="EUL162" s="679"/>
      <c r="EUM162" s="679"/>
      <c r="EUN162" s="679"/>
      <c r="EUO162" s="679"/>
      <c r="EUP162" s="679"/>
      <c r="EUQ162" s="679"/>
      <c r="EUR162" s="679"/>
      <c r="EUS162" s="679"/>
      <c r="EUT162" s="679"/>
      <c r="EUU162" s="679"/>
      <c r="EUV162" s="679"/>
      <c r="EUW162" s="679"/>
      <c r="EUX162" s="679"/>
      <c r="EUY162" s="679"/>
      <c r="EUZ162" s="679"/>
      <c r="EVA162" s="679"/>
      <c r="EVB162" s="679"/>
      <c r="EVC162" s="679"/>
      <c r="EVD162" s="679"/>
      <c r="EVE162" s="679"/>
      <c r="EVF162" s="679"/>
      <c r="EVG162" s="679"/>
      <c r="EVH162" s="679"/>
      <c r="EVI162" s="679"/>
      <c r="EVJ162" s="679"/>
      <c r="EVK162" s="679"/>
      <c r="EVL162" s="679"/>
      <c r="EVM162" s="679"/>
      <c r="EVN162" s="679"/>
      <c r="EVO162" s="679"/>
      <c r="EVP162" s="679"/>
      <c r="EVQ162" s="679"/>
      <c r="EVR162" s="679"/>
      <c r="EVS162" s="679"/>
      <c r="EVT162" s="679"/>
      <c r="EVU162" s="679"/>
      <c r="EVV162" s="679"/>
      <c r="EVW162" s="679"/>
      <c r="EVX162" s="679"/>
      <c r="EVY162" s="679"/>
      <c r="EVZ162" s="679"/>
      <c r="EWA162" s="679"/>
      <c r="EWB162" s="679"/>
      <c r="EWC162" s="679"/>
      <c r="EWD162" s="679"/>
      <c r="EWE162" s="679"/>
      <c r="EWF162" s="679"/>
      <c r="EWG162" s="679"/>
      <c r="EWH162" s="679"/>
      <c r="EWI162" s="679"/>
      <c r="EWJ162" s="679"/>
      <c r="EWK162" s="679"/>
      <c r="EWL162" s="679"/>
      <c r="EWM162" s="679"/>
      <c r="EWN162" s="679"/>
      <c r="EWO162" s="679"/>
      <c r="EWP162" s="679"/>
      <c r="EWQ162" s="679"/>
      <c r="EWR162" s="679"/>
      <c r="EWS162" s="679"/>
      <c r="EWT162" s="679"/>
      <c r="EWU162" s="679"/>
      <c r="EWV162" s="679"/>
      <c r="EWW162" s="679"/>
      <c r="EWX162" s="679"/>
      <c r="EWY162" s="679"/>
      <c r="EWZ162" s="679"/>
      <c r="EXA162" s="679"/>
      <c r="EXB162" s="679"/>
      <c r="EXC162" s="679"/>
      <c r="EXD162" s="679"/>
      <c r="EXE162" s="679"/>
      <c r="EXF162" s="679"/>
      <c r="EXG162" s="679"/>
      <c r="EXH162" s="679"/>
      <c r="EXI162" s="679"/>
      <c r="EXJ162" s="679"/>
      <c r="EXK162" s="679"/>
      <c r="EXL162" s="679"/>
      <c r="EXM162" s="679"/>
      <c r="EXN162" s="679"/>
      <c r="EXO162" s="679"/>
      <c r="EXP162" s="679"/>
      <c r="EXQ162" s="679"/>
      <c r="EXR162" s="679"/>
      <c r="EXS162" s="679"/>
      <c r="EXT162" s="679"/>
      <c r="EXU162" s="679"/>
      <c r="EXV162" s="679"/>
      <c r="EXW162" s="679"/>
      <c r="EXX162" s="679"/>
      <c r="EXY162" s="679"/>
      <c r="EXZ162" s="679"/>
      <c r="EYA162" s="679"/>
      <c r="EYB162" s="679"/>
      <c r="EYC162" s="679"/>
      <c r="EYD162" s="679"/>
      <c r="EYE162" s="679"/>
      <c r="EYF162" s="679"/>
      <c r="EYG162" s="679"/>
      <c r="EYH162" s="679"/>
      <c r="EYI162" s="679"/>
      <c r="EYJ162" s="679"/>
      <c r="EYK162" s="679"/>
      <c r="EYL162" s="679"/>
      <c r="EYM162" s="679"/>
      <c r="EYN162" s="679"/>
      <c r="EYO162" s="679"/>
      <c r="EYP162" s="679"/>
      <c r="EYQ162" s="679"/>
      <c r="EYR162" s="679"/>
      <c r="EYS162" s="679"/>
      <c r="EYT162" s="679"/>
      <c r="EYU162" s="679"/>
      <c r="EYV162" s="679"/>
      <c r="EYW162" s="679"/>
      <c r="EYX162" s="679"/>
      <c r="EYY162" s="679"/>
      <c r="EYZ162" s="679"/>
      <c r="EZA162" s="679"/>
      <c r="EZB162" s="679"/>
      <c r="EZC162" s="679"/>
      <c r="EZD162" s="679"/>
      <c r="EZE162" s="679"/>
      <c r="EZF162" s="679"/>
      <c r="EZG162" s="679"/>
      <c r="EZH162" s="679"/>
      <c r="EZI162" s="679"/>
      <c r="EZJ162" s="679"/>
      <c r="EZK162" s="679"/>
      <c r="EZL162" s="679"/>
      <c r="EZM162" s="679"/>
      <c r="EZN162" s="679"/>
      <c r="EZO162" s="679"/>
      <c r="EZP162" s="679"/>
      <c r="EZQ162" s="679"/>
      <c r="EZR162" s="679"/>
      <c r="EZS162" s="679"/>
      <c r="EZT162" s="679"/>
      <c r="EZU162" s="679"/>
      <c r="EZV162" s="679"/>
      <c r="EZW162" s="679"/>
      <c r="EZX162" s="679"/>
      <c r="EZY162" s="679"/>
      <c r="EZZ162" s="679"/>
      <c r="FAA162" s="679"/>
      <c r="FAB162" s="679"/>
      <c r="FAC162" s="679"/>
      <c r="FAD162" s="679"/>
      <c r="FAE162" s="679"/>
      <c r="FAF162" s="679"/>
      <c r="FAG162" s="679"/>
      <c r="FAH162" s="679"/>
      <c r="FAI162" s="679"/>
      <c r="FAJ162" s="679"/>
      <c r="FAK162" s="679"/>
      <c r="FAL162" s="679"/>
      <c r="FAM162" s="679"/>
      <c r="FAN162" s="679"/>
      <c r="FAO162" s="679"/>
      <c r="FAP162" s="679"/>
      <c r="FAQ162" s="679"/>
      <c r="FAR162" s="679"/>
      <c r="FAS162" s="679"/>
      <c r="FAT162" s="679"/>
      <c r="FAU162" s="679"/>
      <c r="FAV162" s="679"/>
      <c r="FAW162" s="679"/>
      <c r="FAX162" s="679"/>
      <c r="FAY162" s="679"/>
      <c r="FAZ162" s="679"/>
      <c r="FBA162" s="679"/>
      <c r="FBB162" s="679"/>
      <c r="FBC162" s="679"/>
      <c r="FBD162" s="679"/>
      <c r="FBE162" s="679"/>
      <c r="FBF162" s="679"/>
      <c r="FBG162" s="679"/>
      <c r="FBH162" s="679"/>
      <c r="FBI162" s="679"/>
      <c r="FBJ162" s="679"/>
      <c r="FBK162" s="679"/>
      <c r="FBL162" s="679"/>
      <c r="FBM162" s="679"/>
      <c r="FBN162" s="679"/>
      <c r="FBO162" s="679"/>
      <c r="FBP162" s="679"/>
      <c r="FBQ162" s="679"/>
      <c r="FBR162" s="679"/>
      <c r="FBS162" s="679"/>
      <c r="FBT162" s="679"/>
      <c r="FBU162" s="679"/>
      <c r="FBV162" s="679"/>
      <c r="FBW162" s="679"/>
      <c r="FBX162" s="679"/>
      <c r="FBY162" s="679"/>
      <c r="FBZ162" s="679"/>
      <c r="FCA162" s="679"/>
      <c r="FCB162" s="679"/>
      <c r="FCC162" s="679"/>
      <c r="FCD162" s="679"/>
      <c r="FCE162" s="679"/>
      <c r="FCF162" s="679"/>
      <c r="FCG162" s="679"/>
      <c r="FCH162" s="679"/>
      <c r="FCI162" s="679"/>
      <c r="FCJ162" s="679"/>
      <c r="FCK162" s="679"/>
      <c r="FCL162" s="679"/>
      <c r="FCM162" s="679"/>
      <c r="FCN162" s="679"/>
      <c r="FCO162" s="679"/>
      <c r="FCP162" s="679"/>
      <c r="FCQ162" s="679"/>
      <c r="FCR162" s="679"/>
      <c r="FCS162" s="679"/>
      <c r="FCT162" s="679"/>
      <c r="FCU162" s="679"/>
      <c r="FCV162" s="679"/>
      <c r="FCW162" s="679"/>
      <c r="FCX162" s="679"/>
      <c r="FCY162" s="679"/>
      <c r="FCZ162" s="679"/>
      <c r="FDA162" s="679"/>
      <c r="FDB162" s="679"/>
      <c r="FDC162" s="679"/>
      <c r="FDD162" s="679"/>
      <c r="FDE162" s="679"/>
      <c r="FDF162" s="679"/>
      <c r="FDG162" s="679"/>
      <c r="FDH162" s="679"/>
      <c r="FDI162" s="679"/>
      <c r="FDJ162" s="679"/>
      <c r="FDK162" s="679"/>
      <c r="FDL162" s="679"/>
      <c r="FDM162" s="679"/>
      <c r="FDN162" s="679"/>
      <c r="FDO162" s="679"/>
      <c r="FDP162" s="679"/>
      <c r="FDQ162" s="679"/>
      <c r="FDR162" s="679"/>
      <c r="FDS162" s="679"/>
      <c r="FDT162" s="679"/>
      <c r="FDU162" s="679"/>
      <c r="FDV162" s="679"/>
      <c r="FDW162" s="679"/>
      <c r="FDX162" s="679"/>
      <c r="FDY162" s="679"/>
      <c r="FDZ162" s="679"/>
      <c r="FEA162" s="679"/>
      <c r="FEB162" s="679"/>
      <c r="FEC162" s="679"/>
      <c r="FED162" s="679"/>
      <c r="FEE162" s="679"/>
      <c r="FEF162" s="679"/>
      <c r="FEG162" s="679"/>
      <c r="FEH162" s="679"/>
      <c r="FEI162" s="679"/>
      <c r="FEJ162" s="679"/>
      <c r="FEK162" s="679"/>
      <c r="FEL162" s="679"/>
      <c r="FEM162" s="679"/>
      <c r="FEN162" s="679"/>
      <c r="FEO162" s="679"/>
      <c r="FEP162" s="679"/>
      <c r="FEQ162" s="679"/>
      <c r="FER162" s="679"/>
      <c r="FES162" s="679"/>
      <c r="FET162" s="679"/>
      <c r="FEU162" s="679"/>
      <c r="FEV162" s="679"/>
      <c r="FEW162" s="679"/>
      <c r="FEX162" s="679"/>
      <c r="FEY162" s="679"/>
      <c r="FEZ162" s="679"/>
      <c r="FFA162" s="679"/>
      <c r="FFB162" s="679"/>
      <c r="FFC162" s="679"/>
      <c r="FFD162" s="679"/>
      <c r="FFE162" s="679"/>
      <c r="FFF162" s="679"/>
      <c r="FFG162" s="679"/>
      <c r="FFH162" s="679"/>
      <c r="FFI162" s="679"/>
      <c r="FFJ162" s="679"/>
      <c r="FFK162" s="679"/>
      <c r="FFL162" s="679"/>
      <c r="FFM162" s="679"/>
      <c r="FFN162" s="679"/>
      <c r="FFO162" s="679"/>
      <c r="FFP162" s="679"/>
      <c r="FFQ162" s="679"/>
      <c r="FFR162" s="679"/>
      <c r="FFS162" s="679"/>
      <c r="FFT162" s="679"/>
      <c r="FFU162" s="679"/>
      <c r="FFV162" s="679"/>
      <c r="FFW162" s="679"/>
      <c r="FFX162" s="679"/>
      <c r="FFY162" s="679"/>
      <c r="FFZ162" s="679"/>
      <c r="FGA162" s="679"/>
      <c r="FGB162" s="679"/>
      <c r="FGC162" s="679"/>
      <c r="FGD162" s="679"/>
      <c r="FGE162" s="679"/>
      <c r="FGF162" s="679"/>
      <c r="FGG162" s="679"/>
      <c r="FGH162" s="679"/>
      <c r="FGI162" s="679"/>
      <c r="FGJ162" s="679"/>
      <c r="FGK162" s="679"/>
      <c r="FGL162" s="679"/>
      <c r="FGM162" s="679"/>
      <c r="FGN162" s="679"/>
      <c r="FGO162" s="679"/>
      <c r="FGP162" s="679"/>
      <c r="FGQ162" s="679"/>
      <c r="FGR162" s="679"/>
      <c r="FGS162" s="679"/>
      <c r="FGT162" s="679"/>
      <c r="FGU162" s="679"/>
      <c r="FGV162" s="679"/>
      <c r="FGW162" s="679"/>
      <c r="FGX162" s="679"/>
      <c r="FGY162" s="679"/>
      <c r="FGZ162" s="679"/>
      <c r="FHA162" s="679"/>
      <c r="FHB162" s="679"/>
      <c r="FHC162" s="679"/>
      <c r="FHD162" s="679"/>
      <c r="FHE162" s="679"/>
      <c r="FHF162" s="679"/>
      <c r="FHG162" s="679"/>
      <c r="FHH162" s="679"/>
      <c r="FHI162" s="679"/>
      <c r="FHJ162" s="679"/>
      <c r="FHK162" s="679"/>
      <c r="FHL162" s="679"/>
      <c r="FHM162" s="679"/>
      <c r="FHN162" s="679"/>
      <c r="FHO162" s="679"/>
      <c r="FHP162" s="679"/>
      <c r="FHQ162" s="679"/>
      <c r="FHR162" s="679"/>
      <c r="FHS162" s="679"/>
      <c r="FHT162" s="679"/>
      <c r="FHU162" s="679"/>
      <c r="FHV162" s="679"/>
      <c r="FHW162" s="679"/>
      <c r="FHX162" s="679"/>
      <c r="FHY162" s="679"/>
      <c r="FHZ162" s="679"/>
      <c r="FIA162" s="679"/>
      <c r="FIB162" s="679"/>
      <c r="FIC162" s="679"/>
      <c r="FID162" s="679"/>
      <c r="FIE162" s="679"/>
      <c r="FIF162" s="679"/>
      <c r="FIG162" s="679"/>
      <c r="FIH162" s="679"/>
      <c r="FII162" s="679"/>
      <c r="FIJ162" s="679"/>
      <c r="FIK162" s="679"/>
      <c r="FIL162" s="679"/>
      <c r="FIM162" s="679"/>
      <c r="FIN162" s="679"/>
      <c r="FIO162" s="679"/>
      <c r="FIP162" s="679"/>
      <c r="FIQ162" s="679"/>
      <c r="FIR162" s="679"/>
      <c r="FIS162" s="679"/>
      <c r="FIT162" s="679"/>
      <c r="FIU162" s="679"/>
      <c r="FIV162" s="679"/>
      <c r="FIW162" s="679"/>
      <c r="FIX162" s="679"/>
      <c r="FIY162" s="679"/>
      <c r="FIZ162" s="679"/>
      <c r="FJA162" s="679"/>
      <c r="FJB162" s="679"/>
      <c r="FJC162" s="679"/>
      <c r="FJD162" s="679"/>
      <c r="FJE162" s="679"/>
      <c r="FJF162" s="679"/>
      <c r="FJG162" s="679"/>
      <c r="FJH162" s="679"/>
      <c r="FJI162" s="679"/>
      <c r="FJJ162" s="679"/>
      <c r="FJK162" s="679"/>
      <c r="FJL162" s="679"/>
      <c r="FJM162" s="679"/>
      <c r="FJN162" s="679"/>
      <c r="FJO162" s="679"/>
      <c r="FJP162" s="679"/>
      <c r="FJQ162" s="679"/>
      <c r="FJR162" s="679"/>
      <c r="FJS162" s="679"/>
      <c r="FJT162" s="679"/>
      <c r="FJU162" s="679"/>
      <c r="FJV162" s="679"/>
      <c r="FJW162" s="679"/>
      <c r="FJX162" s="679"/>
      <c r="FJY162" s="679"/>
      <c r="FJZ162" s="679"/>
      <c r="FKA162" s="679"/>
      <c r="FKB162" s="679"/>
      <c r="FKC162" s="679"/>
      <c r="FKD162" s="679"/>
      <c r="FKE162" s="679"/>
      <c r="FKF162" s="679"/>
      <c r="FKG162" s="679"/>
      <c r="FKH162" s="679"/>
      <c r="FKI162" s="679"/>
      <c r="FKJ162" s="679"/>
      <c r="FKK162" s="679"/>
      <c r="FKL162" s="679"/>
      <c r="FKM162" s="679"/>
      <c r="FKN162" s="679"/>
      <c r="FKO162" s="679"/>
      <c r="FKP162" s="679"/>
      <c r="FKQ162" s="679"/>
      <c r="FKR162" s="679"/>
      <c r="FKS162" s="679"/>
      <c r="FKT162" s="679"/>
      <c r="FKU162" s="679"/>
      <c r="FKV162" s="679"/>
      <c r="FKW162" s="679"/>
      <c r="FKX162" s="679"/>
      <c r="FKY162" s="679"/>
      <c r="FKZ162" s="679"/>
      <c r="FLA162" s="679"/>
      <c r="FLB162" s="679"/>
      <c r="FLC162" s="679"/>
      <c r="FLD162" s="679"/>
      <c r="FLE162" s="679"/>
      <c r="FLF162" s="679"/>
      <c r="FLG162" s="679"/>
      <c r="FLH162" s="679"/>
      <c r="FLI162" s="679"/>
      <c r="FLJ162" s="679"/>
      <c r="FLK162" s="679"/>
      <c r="FLL162" s="679"/>
      <c r="FLM162" s="679"/>
      <c r="FLN162" s="679"/>
      <c r="FLO162" s="679"/>
      <c r="FLP162" s="679"/>
      <c r="FLQ162" s="679"/>
      <c r="FLR162" s="679"/>
      <c r="FLS162" s="679"/>
      <c r="FLT162" s="679"/>
      <c r="FLU162" s="679"/>
      <c r="FLV162" s="679"/>
      <c r="FLW162" s="679"/>
      <c r="FLX162" s="679"/>
      <c r="FLY162" s="679"/>
      <c r="FLZ162" s="679"/>
      <c r="FMA162" s="679"/>
      <c r="FMB162" s="679"/>
      <c r="FMC162" s="679"/>
      <c r="FMD162" s="679"/>
      <c r="FME162" s="679"/>
      <c r="FMF162" s="679"/>
      <c r="FMG162" s="679"/>
      <c r="FMH162" s="679"/>
      <c r="FMI162" s="679"/>
      <c r="FMJ162" s="679"/>
      <c r="FMK162" s="679"/>
      <c r="FML162" s="679"/>
      <c r="FMM162" s="679"/>
      <c r="FMN162" s="679"/>
      <c r="FMO162" s="679"/>
      <c r="FMP162" s="679"/>
      <c r="FMQ162" s="679"/>
      <c r="FMR162" s="679"/>
      <c r="FMS162" s="679"/>
      <c r="FMT162" s="679"/>
      <c r="FMU162" s="679"/>
      <c r="FMV162" s="679"/>
      <c r="FMW162" s="679"/>
      <c r="FMX162" s="679"/>
      <c r="FMY162" s="679"/>
      <c r="FMZ162" s="679"/>
      <c r="FNA162" s="679"/>
      <c r="FNB162" s="679"/>
      <c r="FNC162" s="679"/>
      <c r="FND162" s="679"/>
      <c r="FNE162" s="679"/>
      <c r="FNF162" s="679"/>
      <c r="FNG162" s="679"/>
      <c r="FNH162" s="679"/>
      <c r="FNI162" s="679"/>
      <c r="FNJ162" s="679"/>
      <c r="FNK162" s="679"/>
      <c r="FNL162" s="679"/>
      <c r="FNM162" s="679"/>
      <c r="FNN162" s="679"/>
      <c r="FNO162" s="679"/>
      <c r="FNP162" s="679"/>
      <c r="FNQ162" s="679"/>
      <c r="FNR162" s="679"/>
      <c r="FNS162" s="679"/>
      <c r="FNT162" s="679"/>
      <c r="FNU162" s="679"/>
      <c r="FNV162" s="679"/>
      <c r="FNW162" s="679"/>
      <c r="FNX162" s="679"/>
      <c r="FNY162" s="679"/>
      <c r="FNZ162" s="679"/>
      <c r="FOA162" s="679"/>
      <c r="FOB162" s="679"/>
      <c r="FOC162" s="679"/>
      <c r="FOD162" s="679"/>
      <c r="FOE162" s="679"/>
      <c r="FOF162" s="679"/>
      <c r="FOG162" s="679"/>
      <c r="FOH162" s="679"/>
      <c r="FOI162" s="679"/>
      <c r="FOJ162" s="679"/>
      <c r="FOK162" s="679"/>
      <c r="FOL162" s="679"/>
      <c r="FOM162" s="679"/>
      <c r="FON162" s="679"/>
      <c r="FOO162" s="679"/>
      <c r="FOP162" s="679"/>
      <c r="FOQ162" s="679"/>
      <c r="FOR162" s="679"/>
      <c r="FOS162" s="679"/>
      <c r="FOT162" s="679"/>
      <c r="FOU162" s="679"/>
      <c r="FOV162" s="679"/>
      <c r="FOW162" s="679"/>
      <c r="FOX162" s="679"/>
      <c r="FOY162" s="679"/>
      <c r="FOZ162" s="679"/>
      <c r="FPA162" s="679"/>
      <c r="FPB162" s="679"/>
      <c r="FPC162" s="679"/>
      <c r="FPD162" s="679"/>
      <c r="FPE162" s="679"/>
      <c r="FPF162" s="679"/>
      <c r="FPG162" s="679"/>
      <c r="FPH162" s="679"/>
      <c r="FPI162" s="679"/>
      <c r="FPJ162" s="679"/>
      <c r="FPK162" s="679"/>
      <c r="FPL162" s="679"/>
      <c r="FPM162" s="679"/>
      <c r="FPN162" s="679"/>
      <c r="FPO162" s="679"/>
      <c r="FPP162" s="679"/>
      <c r="FPQ162" s="679"/>
      <c r="FPR162" s="679"/>
      <c r="FPS162" s="679"/>
      <c r="FPT162" s="679"/>
      <c r="FPU162" s="679"/>
      <c r="FPV162" s="679"/>
      <c r="FPW162" s="679"/>
      <c r="FPX162" s="679"/>
      <c r="FPY162" s="679"/>
      <c r="FPZ162" s="679"/>
      <c r="FQA162" s="679"/>
      <c r="FQB162" s="679"/>
      <c r="FQC162" s="679"/>
      <c r="FQD162" s="679"/>
      <c r="FQE162" s="679"/>
      <c r="FQF162" s="679"/>
      <c r="FQG162" s="679"/>
      <c r="FQH162" s="679"/>
      <c r="FQI162" s="679"/>
      <c r="FQJ162" s="679"/>
      <c r="FQK162" s="679"/>
      <c r="FQL162" s="679"/>
      <c r="FQM162" s="679"/>
      <c r="FQN162" s="679"/>
      <c r="FQO162" s="679"/>
      <c r="FQP162" s="679"/>
      <c r="FQQ162" s="679"/>
      <c r="FQR162" s="679"/>
      <c r="FQS162" s="679"/>
      <c r="FQT162" s="679"/>
      <c r="FQU162" s="679"/>
      <c r="FQV162" s="679"/>
      <c r="FQW162" s="679"/>
      <c r="FQX162" s="679"/>
      <c r="FQY162" s="679"/>
      <c r="FQZ162" s="679"/>
      <c r="FRA162" s="679"/>
      <c r="FRB162" s="679"/>
      <c r="FRC162" s="679"/>
      <c r="FRD162" s="679"/>
      <c r="FRE162" s="679"/>
      <c r="FRF162" s="679"/>
      <c r="FRG162" s="679"/>
      <c r="FRH162" s="679"/>
      <c r="FRI162" s="679"/>
      <c r="FRJ162" s="679"/>
      <c r="FRK162" s="679"/>
      <c r="FRL162" s="679"/>
      <c r="FRM162" s="679"/>
      <c r="FRN162" s="679"/>
      <c r="FRO162" s="679"/>
      <c r="FRP162" s="679"/>
      <c r="FRQ162" s="679"/>
      <c r="FRR162" s="679"/>
      <c r="FRS162" s="679"/>
      <c r="FRT162" s="679"/>
      <c r="FRU162" s="679"/>
      <c r="FRV162" s="679"/>
      <c r="FRW162" s="679"/>
      <c r="FRX162" s="679"/>
      <c r="FRY162" s="679"/>
      <c r="FRZ162" s="679"/>
      <c r="FSA162" s="679"/>
      <c r="FSB162" s="679"/>
      <c r="FSC162" s="679"/>
      <c r="FSD162" s="679"/>
      <c r="FSE162" s="679"/>
      <c r="FSF162" s="679"/>
      <c r="FSG162" s="679"/>
      <c r="FSH162" s="679"/>
      <c r="FSI162" s="679"/>
      <c r="FSJ162" s="679"/>
      <c r="FSK162" s="679"/>
      <c r="FSL162" s="679"/>
      <c r="FSM162" s="679"/>
      <c r="FSN162" s="679"/>
      <c r="FSO162" s="679"/>
      <c r="FSP162" s="679"/>
      <c r="FSQ162" s="679"/>
      <c r="FSR162" s="679"/>
      <c r="FSS162" s="679"/>
      <c r="FST162" s="679"/>
      <c r="FSU162" s="679"/>
      <c r="FSV162" s="679"/>
      <c r="FSW162" s="679"/>
      <c r="FSX162" s="679"/>
      <c r="FSY162" s="679"/>
      <c r="FSZ162" s="679"/>
      <c r="FTA162" s="679"/>
      <c r="FTB162" s="679"/>
      <c r="FTC162" s="679"/>
      <c r="FTD162" s="679"/>
      <c r="FTE162" s="679"/>
      <c r="FTF162" s="679"/>
      <c r="FTG162" s="679"/>
      <c r="FTH162" s="679"/>
      <c r="FTI162" s="679"/>
      <c r="FTJ162" s="679"/>
      <c r="FTK162" s="679"/>
      <c r="FTL162" s="679"/>
      <c r="FTM162" s="679"/>
      <c r="FTN162" s="679"/>
      <c r="FTO162" s="679"/>
      <c r="FTP162" s="679"/>
      <c r="FTQ162" s="679"/>
      <c r="FTR162" s="679"/>
      <c r="FTS162" s="679"/>
      <c r="FTT162" s="679"/>
      <c r="FTU162" s="679"/>
      <c r="FTV162" s="679"/>
      <c r="FTW162" s="679"/>
      <c r="FTX162" s="679"/>
      <c r="FTY162" s="679"/>
      <c r="FTZ162" s="679"/>
      <c r="FUA162" s="679"/>
      <c r="FUB162" s="679"/>
      <c r="FUC162" s="679"/>
      <c r="FUD162" s="679"/>
      <c r="FUE162" s="679"/>
      <c r="FUF162" s="679"/>
      <c r="FUG162" s="679"/>
      <c r="FUH162" s="679"/>
      <c r="FUI162" s="679"/>
      <c r="FUJ162" s="679"/>
      <c r="FUK162" s="679"/>
      <c r="FUL162" s="679"/>
      <c r="FUM162" s="679"/>
      <c r="FUN162" s="679"/>
      <c r="FUO162" s="679"/>
      <c r="FUP162" s="679"/>
      <c r="FUQ162" s="679"/>
      <c r="FUR162" s="679"/>
      <c r="FUS162" s="679"/>
      <c r="FUT162" s="679"/>
      <c r="FUU162" s="679"/>
      <c r="FUV162" s="679"/>
      <c r="FUW162" s="679"/>
      <c r="FUX162" s="679"/>
      <c r="FUY162" s="679"/>
      <c r="FUZ162" s="679"/>
      <c r="FVA162" s="679"/>
      <c r="FVB162" s="679"/>
      <c r="FVC162" s="679"/>
      <c r="FVD162" s="679"/>
      <c r="FVE162" s="679"/>
      <c r="FVF162" s="679"/>
      <c r="FVG162" s="679"/>
      <c r="FVH162" s="679"/>
      <c r="FVI162" s="679"/>
      <c r="FVJ162" s="679"/>
      <c r="FVK162" s="679"/>
      <c r="FVL162" s="679"/>
      <c r="FVM162" s="679"/>
      <c r="FVN162" s="679"/>
      <c r="FVO162" s="679"/>
      <c r="FVP162" s="679"/>
      <c r="FVQ162" s="679"/>
      <c r="FVR162" s="679"/>
      <c r="FVS162" s="679"/>
      <c r="FVT162" s="679"/>
      <c r="FVU162" s="679"/>
      <c r="FVV162" s="679"/>
      <c r="FVW162" s="679"/>
      <c r="FVX162" s="679"/>
      <c r="FVY162" s="679"/>
      <c r="FVZ162" s="679"/>
      <c r="FWA162" s="679"/>
      <c r="FWB162" s="679"/>
      <c r="FWC162" s="679"/>
      <c r="FWD162" s="679"/>
      <c r="FWE162" s="679"/>
      <c r="FWF162" s="679"/>
      <c r="FWG162" s="679"/>
      <c r="FWH162" s="679"/>
      <c r="FWI162" s="679"/>
      <c r="FWJ162" s="679"/>
      <c r="FWK162" s="679"/>
      <c r="FWL162" s="679"/>
      <c r="FWM162" s="679"/>
      <c r="FWN162" s="679"/>
      <c r="FWO162" s="679"/>
      <c r="FWP162" s="679"/>
      <c r="FWQ162" s="679"/>
      <c r="FWR162" s="679"/>
      <c r="FWS162" s="679"/>
      <c r="FWT162" s="679"/>
      <c r="FWU162" s="679"/>
      <c r="FWV162" s="679"/>
      <c r="FWW162" s="679"/>
      <c r="FWX162" s="679"/>
      <c r="FWY162" s="679"/>
      <c r="FWZ162" s="679"/>
      <c r="FXA162" s="679"/>
      <c r="FXB162" s="679"/>
      <c r="FXC162" s="679"/>
      <c r="FXD162" s="679"/>
      <c r="FXE162" s="679"/>
      <c r="FXF162" s="679"/>
      <c r="FXG162" s="679"/>
      <c r="FXH162" s="679"/>
      <c r="FXI162" s="679"/>
      <c r="FXJ162" s="679"/>
      <c r="FXK162" s="679"/>
      <c r="FXL162" s="679"/>
      <c r="FXM162" s="679"/>
      <c r="FXN162" s="679"/>
      <c r="FXO162" s="679"/>
      <c r="FXP162" s="679"/>
      <c r="FXQ162" s="679"/>
      <c r="FXR162" s="679"/>
      <c r="FXS162" s="679"/>
      <c r="FXT162" s="679"/>
      <c r="FXU162" s="679"/>
      <c r="FXV162" s="679"/>
      <c r="FXW162" s="679"/>
      <c r="FXX162" s="679"/>
      <c r="FXY162" s="679"/>
      <c r="FXZ162" s="679"/>
      <c r="FYA162" s="679"/>
      <c r="FYB162" s="679"/>
      <c r="FYC162" s="679"/>
      <c r="FYD162" s="679"/>
      <c r="FYE162" s="679"/>
      <c r="FYF162" s="679"/>
      <c r="FYG162" s="679"/>
      <c r="FYH162" s="679"/>
      <c r="FYI162" s="679"/>
      <c r="FYJ162" s="679"/>
      <c r="FYK162" s="679"/>
      <c r="FYL162" s="679"/>
      <c r="FYM162" s="679"/>
      <c r="FYN162" s="679"/>
      <c r="FYO162" s="679"/>
      <c r="FYP162" s="679"/>
      <c r="FYQ162" s="679"/>
      <c r="FYR162" s="679"/>
      <c r="FYS162" s="679"/>
      <c r="FYT162" s="679"/>
      <c r="FYU162" s="679"/>
      <c r="FYV162" s="679"/>
      <c r="FYW162" s="679"/>
      <c r="FYX162" s="679"/>
      <c r="FYY162" s="679"/>
      <c r="FYZ162" s="679"/>
      <c r="FZA162" s="679"/>
      <c r="FZB162" s="679"/>
      <c r="FZC162" s="679"/>
      <c r="FZD162" s="679"/>
      <c r="FZE162" s="679"/>
      <c r="FZF162" s="679"/>
      <c r="FZG162" s="679"/>
      <c r="FZH162" s="679"/>
      <c r="FZI162" s="679"/>
      <c r="FZJ162" s="679"/>
      <c r="FZK162" s="679"/>
      <c r="FZL162" s="679"/>
      <c r="FZM162" s="679"/>
      <c r="FZN162" s="679"/>
      <c r="FZO162" s="679"/>
      <c r="FZP162" s="679"/>
      <c r="FZQ162" s="679"/>
      <c r="FZR162" s="679"/>
      <c r="FZS162" s="679"/>
      <c r="FZT162" s="679"/>
      <c r="FZU162" s="679"/>
      <c r="FZV162" s="679"/>
      <c r="FZW162" s="679"/>
      <c r="FZX162" s="679"/>
      <c r="FZY162" s="679"/>
      <c r="FZZ162" s="679"/>
      <c r="GAA162" s="679"/>
      <c r="GAB162" s="679"/>
      <c r="GAC162" s="679"/>
      <c r="GAD162" s="679"/>
      <c r="GAE162" s="679"/>
      <c r="GAF162" s="679"/>
      <c r="GAG162" s="679"/>
      <c r="GAH162" s="679"/>
      <c r="GAI162" s="679"/>
      <c r="GAJ162" s="679"/>
      <c r="GAK162" s="679"/>
      <c r="GAL162" s="679"/>
      <c r="GAM162" s="679"/>
      <c r="GAN162" s="679"/>
      <c r="GAO162" s="679"/>
      <c r="GAP162" s="679"/>
      <c r="GAQ162" s="679"/>
      <c r="GAR162" s="679"/>
      <c r="GAS162" s="679"/>
      <c r="GAT162" s="679"/>
      <c r="GAU162" s="679"/>
      <c r="GAV162" s="679"/>
      <c r="GAW162" s="679"/>
      <c r="GAX162" s="679"/>
      <c r="GAY162" s="679"/>
      <c r="GAZ162" s="679"/>
      <c r="GBA162" s="679"/>
      <c r="GBB162" s="679"/>
      <c r="GBC162" s="679"/>
      <c r="GBD162" s="679"/>
      <c r="GBE162" s="679"/>
      <c r="GBF162" s="679"/>
      <c r="GBG162" s="679"/>
      <c r="GBH162" s="679"/>
      <c r="GBI162" s="679"/>
      <c r="GBJ162" s="679"/>
      <c r="GBK162" s="679"/>
      <c r="GBL162" s="679"/>
      <c r="GBM162" s="679"/>
      <c r="GBN162" s="679"/>
      <c r="GBO162" s="679"/>
      <c r="GBP162" s="679"/>
      <c r="GBQ162" s="679"/>
      <c r="GBR162" s="679"/>
      <c r="GBS162" s="679"/>
      <c r="GBT162" s="679"/>
      <c r="GBU162" s="679"/>
      <c r="GBV162" s="679"/>
      <c r="GBW162" s="679"/>
      <c r="GBX162" s="679"/>
      <c r="GBY162" s="679"/>
      <c r="GBZ162" s="679"/>
      <c r="GCA162" s="679"/>
      <c r="GCB162" s="679"/>
      <c r="GCC162" s="679"/>
      <c r="GCD162" s="679"/>
      <c r="GCE162" s="679"/>
      <c r="GCF162" s="679"/>
      <c r="GCG162" s="679"/>
      <c r="GCH162" s="679"/>
      <c r="GCI162" s="679"/>
      <c r="GCJ162" s="679"/>
      <c r="GCK162" s="679"/>
      <c r="GCL162" s="679"/>
      <c r="GCM162" s="679"/>
      <c r="GCN162" s="679"/>
      <c r="GCO162" s="679"/>
      <c r="GCP162" s="679"/>
      <c r="GCQ162" s="679"/>
      <c r="GCR162" s="679"/>
      <c r="GCS162" s="679"/>
      <c r="GCT162" s="679"/>
      <c r="GCU162" s="679"/>
      <c r="GCV162" s="679"/>
      <c r="GCW162" s="679"/>
      <c r="GCX162" s="679"/>
      <c r="GCY162" s="679"/>
      <c r="GCZ162" s="679"/>
      <c r="GDA162" s="679"/>
      <c r="GDB162" s="679"/>
      <c r="GDC162" s="679"/>
      <c r="GDD162" s="679"/>
      <c r="GDE162" s="679"/>
      <c r="GDF162" s="679"/>
      <c r="GDG162" s="679"/>
      <c r="GDH162" s="679"/>
      <c r="GDI162" s="679"/>
      <c r="GDJ162" s="679"/>
      <c r="GDK162" s="679"/>
      <c r="GDL162" s="679"/>
      <c r="GDM162" s="679"/>
      <c r="GDN162" s="679"/>
      <c r="GDO162" s="679"/>
      <c r="GDP162" s="679"/>
      <c r="GDQ162" s="679"/>
      <c r="GDR162" s="679"/>
      <c r="GDS162" s="679"/>
      <c r="GDT162" s="679"/>
      <c r="GDU162" s="679"/>
      <c r="GDV162" s="679"/>
      <c r="GDW162" s="679"/>
      <c r="GDX162" s="679"/>
      <c r="GDY162" s="679"/>
      <c r="GDZ162" s="679"/>
      <c r="GEA162" s="679"/>
      <c r="GEB162" s="679"/>
      <c r="GEC162" s="679"/>
      <c r="GED162" s="679"/>
      <c r="GEE162" s="679"/>
      <c r="GEF162" s="679"/>
      <c r="GEG162" s="679"/>
      <c r="GEH162" s="679"/>
      <c r="GEI162" s="679"/>
      <c r="GEJ162" s="679"/>
      <c r="GEK162" s="679"/>
      <c r="GEL162" s="679"/>
      <c r="GEM162" s="679"/>
      <c r="GEN162" s="679"/>
      <c r="GEO162" s="679"/>
      <c r="GEP162" s="679"/>
      <c r="GEQ162" s="679"/>
      <c r="GER162" s="679"/>
      <c r="GES162" s="679"/>
      <c r="GET162" s="679"/>
      <c r="GEU162" s="679"/>
      <c r="GEV162" s="679"/>
      <c r="GEW162" s="679"/>
      <c r="GEX162" s="679"/>
      <c r="GEY162" s="679"/>
      <c r="GEZ162" s="679"/>
      <c r="GFA162" s="679"/>
      <c r="GFB162" s="679"/>
      <c r="GFC162" s="679"/>
      <c r="GFD162" s="679"/>
      <c r="GFE162" s="679"/>
      <c r="GFF162" s="679"/>
      <c r="GFG162" s="679"/>
      <c r="GFH162" s="679"/>
      <c r="GFI162" s="679"/>
      <c r="GFJ162" s="679"/>
      <c r="GFK162" s="679"/>
      <c r="GFL162" s="679"/>
      <c r="GFM162" s="679"/>
      <c r="GFN162" s="679"/>
      <c r="GFO162" s="679"/>
      <c r="GFP162" s="679"/>
      <c r="GFQ162" s="679"/>
      <c r="GFR162" s="679"/>
      <c r="GFS162" s="679"/>
      <c r="GFT162" s="679"/>
      <c r="GFU162" s="679"/>
      <c r="GFV162" s="679"/>
      <c r="GFW162" s="679"/>
      <c r="GFX162" s="679"/>
      <c r="GFY162" s="679"/>
      <c r="GFZ162" s="679"/>
      <c r="GGA162" s="679"/>
      <c r="GGB162" s="679"/>
      <c r="GGC162" s="679"/>
      <c r="GGD162" s="679"/>
      <c r="GGE162" s="679"/>
      <c r="GGF162" s="679"/>
      <c r="GGG162" s="679"/>
      <c r="GGH162" s="679"/>
      <c r="GGI162" s="679"/>
      <c r="GGJ162" s="679"/>
      <c r="GGK162" s="679"/>
      <c r="GGL162" s="679"/>
      <c r="GGM162" s="679"/>
      <c r="GGN162" s="679"/>
      <c r="GGO162" s="679"/>
      <c r="GGP162" s="679"/>
      <c r="GGQ162" s="679"/>
      <c r="GGR162" s="679"/>
      <c r="GGS162" s="679"/>
      <c r="GGT162" s="679"/>
      <c r="GGU162" s="679"/>
      <c r="GGV162" s="679"/>
      <c r="GGW162" s="679"/>
      <c r="GGX162" s="679"/>
      <c r="GGY162" s="679"/>
      <c r="GGZ162" s="679"/>
      <c r="GHA162" s="679"/>
      <c r="GHB162" s="679"/>
      <c r="GHC162" s="679"/>
      <c r="GHD162" s="679"/>
      <c r="GHE162" s="679"/>
      <c r="GHF162" s="679"/>
      <c r="GHG162" s="679"/>
      <c r="GHH162" s="679"/>
      <c r="GHI162" s="679"/>
      <c r="GHJ162" s="679"/>
      <c r="GHK162" s="679"/>
      <c r="GHL162" s="679"/>
      <c r="GHM162" s="679"/>
      <c r="GHN162" s="679"/>
      <c r="GHO162" s="679"/>
      <c r="GHP162" s="679"/>
      <c r="GHQ162" s="679"/>
      <c r="GHR162" s="679"/>
      <c r="GHS162" s="679"/>
      <c r="GHT162" s="679"/>
      <c r="GHU162" s="679"/>
      <c r="GHV162" s="679"/>
      <c r="GHW162" s="679"/>
      <c r="GHX162" s="679"/>
      <c r="GHY162" s="679"/>
      <c r="GHZ162" s="679"/>
      <c r="GIA162" s="679"/>
      <c r="GIB162" s="679"/>
      <c r="GIC162" s="679"/>
      <c r="GID162" s="679"/>
      <c r="GIE162" s="679"/>
      <c r="GIF162" s="679"/>
      <c r="GIG162" s="679"/>
      <c r="GIH162" s="679"/>
      <c r="GII162" s="679"/>
      <c r="GIJ162" s="679"/>
      <c r="GIK162" s="679"/>
      <c r="GIL162" s="679"/>
      <c r="GIM162" s="679"/>
      <c r="GIN162" s="679"/>
      <c r="GIO162" s="679"/>
      <c r="GIP162" s="679"/>
      <c r="GIQ162" s="679"/>
      <c r="GIR162" s="679"/>
      <c r="GIS162" s="679"/>
      <c r="GIT162" s="679"/>
      <c r="GIU162" s="679"/>
      <c r="GIV162" s="679"/>
      <c r="GIW162" s="679"/>
      <c r="GIX162" s="679"/>
      <c r="GIY162" s="679"/>
      <c r="GIZ162" s="679"/>
      <c r="GJA162" s="679"/>
      <c r="GJB162" s="679"/>
      <c r="GJC162" s="679"/>
      <c r="GJD162" s="679"/>
      <c r="GJE162" s="679"/>
      <c r="GJF162" s="679"/>
      <c r="GJG162" s="679"/>
      <c r="GJH162" s="679"/>
      <c r="GJI162" s="679"/>
      <c r="GJJ162" s="679"/>
      <c r="GJK162" s="679"/>
      <c r="GJL162" s="679"/>
      <c r="GJM162" s="679"/>
      <c r="GJN162" s="679"/>
      <c r="GJO162" s="679"/>
      <c r="GJP162" s="679"/>
      <c r="GJQ162" s="679"/>
      <c r="GJR162" s="679"/>
      <c r="GJS162" s="679"/>
      <c r="GJT162" s="679"/>
      <c r="GJU162" s="679"/>
      <c r="GJV162" s="679"/>
      <c r="GJW162" s="679"/>
      <c r="GJX162" s="679"/>
      <c r="GJY162" s="679"/>
      <c r="GJZ162" s="679"/>
      <c r="GKA162" s="679"/>
      <c r="GKB162" s="679"/>
      <c r="GKC162" s="679"/>
      <c r="GKD162" s="679"/>
      <c r="GKE162" s="679"/>
      <c r="GKF162" s="679"/>
      <c r="GKG162" s="679"/>
      <c r="GKH162" s="679"/>
      <c r="GKI162" s="679"/>
      <c r="GKJ162" s="679"/>
      <c r="GKK162" s="679"/>
      <c r="GKL162" s="679"/>
      <c r="GKM162" s="679"/>
      <c r="GKN162" s="679"/>
      <c r="GKO162" s="679"/>
      <c r="GKP162" s="679"/>
      <c r="GKQ162" s="679"/>
      <c r="GKR162" s="679"/>
      <c r="GKS162" s="679"/>
      <c r="GKT162" s="679"/>
      <c r="GKU162" s="679"/>
      <c r="GKV162" s="679"/>
      <c r="GKW162" s="679"/>
      <c r="GKX162" s="679"/>
      <c r="GKY162" s="679"/>
      <c r="GKZ162" s="679"/>
      <c r="GLA162" s="679"/>
      <c r="GLB162" s="679"/>
      <c r="GLC162" s="679"/>
      <c r="GLD162" s="679"/>
      <c r="GLE162" s="679"/>
      <c r="GLF162" s="679"/>
      <c r="GLG162" s="679"/>
      <c r="GLH162" s="679"/>
      <c r="GLI162" s="679"/>
      <c r="GLJ162" s="679"/>
      <c r="GLK162" s="679"/>
      <c r="GLL162" s="679"/>
      <c r="GLM162" s="679"/>
      <c r="GLN162" s="679"/>
      <c r="GLO162" s="679"/>
      <c r="GLP162" s="679"/>
      <c r="GLQ162" s="679"/>
      <c r="GLR162" s="679"/>
      <c r="GLS162" s="679"/>
      <c r="GLT162" s="679"/>
      <c r="GLU162" s="679"/>
      <c r="GLV162" s="679"/>
      <c r="GLW162" s="679"/>
      <c r="GLX162" s="679"/>
      <c r="GLY162" s="679"/>
      <c r="GLZ162" s="679"/>
      <c r="GMA162" s="679"/>
      <c r="GMB162" s="679"/>
      <c r="GMC162" s="679"/>
      <c r="GMD162" s="679"/>
      <c r="GME162" s="679"/>
      <c r="GMF162" s="679"/>
      <c r="GMG162" s="679"/>
      <c r="GMH162" s="679"/>
      <c r="GMI162" s="679"/>
      <c r="GMJ162" s="679"/>
      <c r="GMK162" s="679"/>
      <c r="GML162" s="679"/>
      <c r="GMM162" s="679"/>
      <c r="GMN162" s="679"/>
      <c r="GMO162" s="679"/>
      <c r="GMP162" s="679"/>
      <c r="GMQ162" s="679"/>
      <c r="GMR162" s="679"/>
      <c r="GMS162" s="679"/>
      <c r="GMT162" s="679"/>
      <c r="GMU162" s="679"/>
      <c r="GMV162" s="679"/>
      <c r="GMW162" s="679"/>
      <c r="GMX162" s="679"/>
      <c r="GMY162" s="679"/>
      <c r="GMZ162" s="679"/>
      <c r="GNA162" s="679"/>
      <c r="GNB162" s="679"/>
      <c r="GNC162" s="679"/>
      <c r="GND162" s="679"/>
      <c r="GNE162" s="679"/>
      <c r="GNF162" s="679"/>
      <c r="GNG162" s="679"/>
      <c r="GNH162" s="679"/>
      <c r="GNI162" s="679"/>
      <c r="GNJ162" s="679"/>
      <c r="GNK162" s="679"/>
      <c r="GNL162" s="679"/>
      <c r="GNM162" s="679"/>
      <c r="GNN162" s="679"/>
      <c r="GNO162" s="679"/>
      <c r="GNP162" s="679"/>
      <c r="GNQ162" s="679"/>
      <c r="GNR162" s="679"/>
      <c r="GNS162" s="679"/>
      <c r="GNT162" s="679"/>
      <c r="GNU162" s="679"/>
      <c r="GNV162" s="679"/>
      <c r="GNW162" s="679"/>
      <c r="GNX162" s="679"/>
      <c r="GNY162" s="679"/>
      <c r="GNZ162" s="679"/>
      <c r="GOA162" s="679"/>
      <c r="GOB162" s="679"/>
      <c r="GOC162" s="679"/>
      <c r="GOD162" s="679"/>
      <c r="GOE162" s="679"/>
      <c r="GOF162" s="679"/>
      <c r="GOG162" s="679"/>
      <c r="GOH162" s="679"/>
      <c r="GOI162" s="679"/>
      <c r="GOJ162" s="679"/>
      <c r="GOK162" s="679"/>
      <c r="GOL162" s="679"/>
      <c r="GOM162" s="679"/>
      <c r="GON162" s="679"/>
      <c r="GOO162" s="679"/>
      <c r="GOP162" s="679"/>
      <c r="GOQ162" s="679"/>
      <c r="GOR162" s="679"/>
      <c r="GOS162" s="679"/>
      <c r="GOT162" s="679"/>
      <c r="GOU162" s="679"/>
      <c r="GOV162" s="679"/>
      <c r="GOW162" s="679"/>
      <c r="GOX162" s="679"/>
      <c r="GOY162" s="679"/>
      <c r="GOZ162" s="679"/>
      <c r="GPA162" s="679"/>
      <c r="GPB162" s="679"/>
      <c r="GPC162" s="679"/>
      <c r="GPD162" s="679"/>
      <c r="GPE162" s="679"/>
      <c r="GPF162" s="679"/>
      <c r="GPG162" s="679"/>
      <c r="GPH162" s="679"/>
      <c r="GPI162" s="679"/>
      <c r="GPJ162" s="679"/>
      <c r="GPK162" s="679"/>
      <c r="GPL162" s="679"/>
      <c r="GPM162" s="679"/>
      <c r="GPN162" s="679"/>
      <c r="GPO162" s="679"/>
      <c r="GPP162" s="679"/>
      <c r="GPQ162" s="679"/>
      <c r="GPR162" s="679"/>
      <c r="GPS162" s="679"/>
      <c r="GPT162" s="679"/>
      <c r="GPU162" s="679"/>
      <c r="GPV162" s="679"/>
      <c r="GPW162" s="679"/>
      <c r="GPX162" s="679"/>
      <c r="GPY162" s="679"/>
      <c r="GPZ162" s="679"/>
      <c r="GQA162" s="679"/>
      <c r="GQB162" s="679"/>
      <c r="GQC162" s="679"/>
      <c r="GQD162" s="679"/>
      <c r="GQE162" s="679"/>
      <c r="GQF162" s="679"/>
      <c r="GQG162" s="679"/>
      <c r="GQH162" s="679"/>
      <c r="GQI162" s="679"/>
      <c r="GQJ162" s="679"/>
      <c r="GQK162" s="679"/>
      <c r="GQL162" s="679"/>
      <c r="GQM162" s="679"/>
      <c r="GQN162" s="679"/>
      <c r="GQO162" s="679"/>
      <c r="GQP162" s="679"/>
      <c r="GQQ162" s="679"/>
      <c r="GQR162" s="679"/>
      <c r="GQS162" s="679"/>
      <c r="GQT162" s="679"/>
      <c r="GQU162" s="679"/>
      <c r="GQV162" s="679"/>
      <c r="GQW162" s="679"/>
      <c r="GQX162" s="679"/>
      <c r="GQY162" s="679"/>
      <c r="GQZ162" s="679"/>
      <c r="GRA162" s="679"/>
      <c r="GRB162" s="679"/>
      <c r="GRC162" s="679"/>
      <c r="GRD162" s="679"/>
      <c r="GRE162" s="679"/>
      <c r="GRF162" s="679"/>
      <c r="GRG162" s="679"/>
      <c r="GRH162" s="679"/>
      <c r="GRI162" s="679"/>
      <c r="GRJ162" s="679"/>
      <c r="GRK162" s="679"/>
      <c r="GRL162" s="679"/>
      <c r="GRM162" s="679"/>
      <c r="GRN162" s="679"/>
      <c r="GRO162" s="679"/>
      <c r="GRP162" s="679"/>
      <c r="GRQ162" s="679"/>
      <c r="GRR162" s="679"/>
      <c r="GRS162" s="679"/>
      <c r="GRT162" s="679"/>
      <c r="GRU162" s="679"/>
      <c r="GRV162" s="679"/>
      <c r="GRW162" s="679"/>
      <c r="GRX162" s="679"/>
      <c r="GRY162" s="679"/>
      <c r="GRZ162" s="679"/>
      <c r="GSA162" s="679"/>
      <c r="GSB162" s="679"/>
      <c r="GSC162" s="679"/>
      <c r="GSD162" s="679"/>
      <c r="GSE162" s="679"/>
      <c r="GSF162" s="679"/>
      <c r="GSG162" s="679"/>
      <c r="GSH162" s="679"/>
      <c r="GSI162" s="679"/>
      <c r="GSJ162" s="679"/>
      <c r="GSK162" s="679"/>
      <c r="GSL162" s="679"/>
      <c r="GSM162" s="679"/>
      <c r="GSN162" s="679"/>
      <c r="GSO162" s="679"/>
      <c r="GSP162" s="679"/>
      <c r="GSQ162" s="679"/>
      <c r="GSR162" s="679"/>
      <c r="GSS162" s="679"/>
      <c r="GST162" s="679"/>
      <c r="GSU162" s="679"/>
      <c r="GSV162" s="679"/>
      <c r="GSW162" s="679"/>
      <c r="GSX162" s="679"/>
      <c r="GSY162" s="679"/>
      <c r="GSZ162" s="679"/>
      <c r="GTA162" s="679"/>
      <c r="GTB162" s="679"/>
      <c r="GTC162" s="679"/>
      <c r="GTD162" s="679"/>
      <c r="GTE162" s="679"/>
      <c r="GTF162" s="679"/>
      <c r="GTG162" s="679"/>
      <c r="GTH162" s="679"/>
      <c r="GTI162" s="679"/>
      <c r="GTJ162" s="679"/>
      <c r="GTK162" s="679"/>
      <c r="GTL162" s="679"/>
      <c r="GTM162" s="679"/>
      <c r="GTN162" s="679"/>
      <c r="GTO162" s="679"/>
      <c r="GTP162" s="679"/>
      <c r="GTQ162" s="679"/>
      <c r="GTR162" s="679"/>
      <c r="GTS162" s="679"/>
      <c r="GTT162" s="679"/>
      <c r="GTU162" s="679"/>
      <c r="GTV162" s="679"/>
      <c r="GTW162" s="679"/>
      <c r="GTX162" s="679"/>
      <c r="GTY162" s="679"/>
      <c r="GTZ162" s="679"/>
      <c r="GUA162" s="679"/>
      <c r="GUB162" s="679"/>
      <c r="GUC162" s="679"/>
      <c r="GUD162" s="679"/>
      <c r="GUE162" s="679"/>
      <c r="GUF162" s="679"/>
      <c r="GUG162" s="679"/>
      <c r="GUH162" s="679"/>
      <c r="GUI162" s="679"/>
      <c r="GUJ162" s="679"/>
      <c r="GUK162" s="679"/>
      <c r="GUL162" s="679"/>
      <c r="GUM162" s="679"/>
      <c r="GUN162" s="679"/>
      <c r="GUO162" s="679"/>
      <c r="GUP162" s="679"/>
      <c r="GUQ162" s="679"/>
      <c r="GUR162" s="679"/>
      <c r="GUS162" s="679"/>
      <c r="GUT162" s="679"/>
      <c r="GUU162" s="679"/>
      <c r="GUV162" s="679"/>
      <c r="GUW162" s="679"/>
      <c r="GUX162" s="679"/>
      <c r="GUY162" s="679"/>
      <c r="GUZ162" s="679"/>
      <c r="GVA162" s="679"/>
      <c r="GVB162" s="679"/>
      <c r="GVC162" s="679"/>
      <c r="GVD162" s="679"/>
      <c r="GVE162" s="679"/>
      <c r="GVF162" s="679"/>
      <c r="GVG162" s="679"/>
      <c r="GVH162" s="679"/>
      <c r="GVI162" s="679"/>
      <c r="GVJ162" s="679"/>
      <c r="GVK162" s="679"/>
      <c r="GVL162" s="679"/>
      <c r="GVM162" s="679"/>
      <c r="GVN162" s="679"/>
      <c r="GVO162" s="679"/>
      <c r="GVP162" s="679"/>
      <c r="GVQ162" s="679"/>
      <c r="GVR162" s="679"/>
      <c r="GVS162" s="679"/>
      <c r="GVT162" s="679"/>
      <c r="GVU162" s="679"/>
      <c r="GVV162" s="679"/>
      <c r="GVW162" s="679"/>
      <c r="GVX162" s="679"/>
      <c r="GVY162" s="679"/>
      <c r="GVZ162" s="679"/>
      <c r="GWA162" s="679"/>
      <c r="GWB162" s="679"/>
      <c r="GWC162" s="679"/>
      <c r="GWD162" s="679"/>
      <c r="GWE162" s="679"/>
      <c r="GWF162" s="679"/>
      <c r="GWG162" s="679"/>
      <c r="GWH162" s="679"/>
      <c r="GWI162" s="679"/>
      <c r="GWJ162" s="679"/>
      <c r="GWK162" s="679"/>
      <c r="GWL162" s="679"/>
      <c r="GWM162" s="679"/>
      <c r="GWN162" s="679"/>
      <c r="GWO162" s="679"/>
      <c r="GWP162" s="679"/>
      <c r="GWQ162" s="679"/>
      <c r="GWR162" s="679"/>
      <c r="GWS162" s="679"/>
      <c r="GWT162" s="679"/>
      <c r="GWU162" s="679"/>
      <c r="GWV162" s="679"/>
      <c r="GWW162" s="679"/>
      <c r="GWX162" s="679"/>
      <c r="GWY162" s="679"/>
      <c r="GWZ162" s="679"/>
      <c r="GXA162" s="679"/>
      <c r="GXB162" s="679"/>
      <c r="GXC162" s="679"/>
      <c r="GXD162" s="679"/>
      <c r="GXE162" s="679"/>
      <c r="GXF162" s="679"/>
      <c r="GXG162" s="679"/>
      <c r="GXH162" s="679"/>
      <c r="GXI162" s="679"/>
      <c r="GXJ162" s="679"/>
      <c r="GXK162" s="679"/>
      <c r="GXL162" s="679"/>
      <c r="GXM162" s="679"/>
      <c r="GXN162" s="679"/>
      <c r="GXO162" s="679"/>
      <c r="GXP162" s="679"/>
      <c r="GXQ162" s="679"/>
      <c r="GXR162" s="679"/>
      <c r="GXS162" s="679"/>
      <c r="GXT162" s="679"/>
      <c r="GXU162" s="679"/>
      <c r="GXV162" s="679"/>
      <c r="GXW162" s="679"/>
      <c r="GXX162" s="679"/>
      <c r="GXY162" s="679"/>
      <c r="GXZ162" s="679"/>
      <c r="GYA162" s="679"/>
      <c r="GYB162" s="679"/>
      <c r="GYC162" s="679"/>
      <c r="GYD162" s="679"/>
      <c r="GYE162" s="679"/>
      <c r="GYF162" s="679"/>
      <c r="GYG162" s="679"/>
      <c r="GYH162" s="679"/>
      <c r="GYI162" s="679"/>
      <c r="GYJ162" s="679"/>
      <c r="GYK162" s="679"/>
      <c r="GYL162" s="679"/>
      <c r="GYM162" s="679"/>
      <c r="GYN162" s="679"/>
      <c r="GYO162" s="679"/>
      <c r="GYP162" s="679"/>
      <c r="GYQ162" s="679"/>
      <c r="GYR162" s="679"/>
      <c r="GYS162" s="679"/>
      <c r="GYT162" s="679"/>
      <c r="GYU162" s="679"/>
      <c r="GYV162" s="679"/>
      <c r="GYW162" s="679"/>
      <c r="GYX162" s="679"/>
      <c r="GYY162" s="679"/>
      <c r="GYZ162" s="679"/>
      <c r="GZA162" s="679"/>
      <c r="GZB162" s="679"/>
      <c r="GZC162" s="679"/>
      <c r="GZD162" s="679"/>
      <c r="GZE162" s="679"/>
      <c r="GZF162" s="679"/>
      <c r="GZG162" s="679"/>
      <c r="GZH162" s="679"/>
      <c r="GZI162" s="679"/>
      <c r="GZJ162" s="679"/>
      <c r="GZK162" s="679"/>
      <c r="GZL162" s="679"/>
      <c r="GZM162" s="679"/>
      <c r="GZN162" s="679"/>
      <c r="GZO162" s="679"/>
      <c r="GZP162" s="679"/>
      <c r="GZQ162" s="679"/>
      <c r="GZR162" s="679"/>
      <c r="GZS162" s="679"/>
      <c r="GZT162" s="679"/>
      <c r="GZU162" s="679"/>
      <c r="GZV162" s="679"/>
      <c r="GZW162" s="679"/>
      <c r="GZX162" s="679"/>
      <c r="GZY162" s="679"/>
      <c r="GZZ162" s="679"/>
      <c r="HAA162" s="679"/>
      <c r="HAB162" s="679"/>
      <c r="HAC162" s="679"/>
      <c r="HAD162" s="679"/>
      <c r="HAE162" s="679"/>
      <c r="HAF162" s="679"/>
      <c r="HAG162" s="679"/>
      <c r="HAH162" s="679"/>
      <c r="HAI162" s="679"/>
      <c r="HAJ162" s="679"/>
      <c r="HAK162" s="679"/>
      <c r="HAL162" s="679"/>
      <c r="HAM162" s="679"/>
      <c r="HAN162" s="679"/>
      <c r="HAO162" s="679"/>
      <c r="HAP162" s="679"/>
      <c r="HAQ162" s="679"/>
      <c r="HAR162" s="679"/>
      <c r="HAS162" s="679"/>
      <c r="HAT162" s="679"/>
      <c r="HAU162" s="679"/>
      <c r="HAV162" s="679"/>
      <c r="HAW162" s="679"/>
      <c r="HAX162" s="679"/>
      <c r="HAY162" s="679"/>
      <c r="HAZ162" s="679"/>
      <c r="HBA162" s="679"/>
      <c r="HBB162" s="679"/>
      <c r="HBC162" s="679"/>
      <c r="HBD162" s="679"/>
      <c r="HBE162" s="679"/>
      <c r="HBF162" s="679"/>
      <c r="HBG162" s="679"/>
      <c r="HBH162" s="679"/>
      <c r="HBI162" s="679"/>
      <c r="HBJ162" s="679"/>
      <c r="HBK162" s="679"/>
      <c r="HBL162" s="679"/>
      <c r="HBM162" s="679"/>
      <c r="HBN162" s="679"/>
      <c r="HBO162" s="679"/>
      <c r="HBP162" s="679"/>
      <c r="HBQ162" s="679"/>
      <c r="HBR162" s="679"/>
      <c r="HBS162" s="679"/>
      <c r="HBT162" s="679"/>
      <c r="HBU162" s="679"/>
      <c r="HBV162" s="679"/>
      <c r="HBW162" s="679"/>
      <c r="HBX162" s="679"/>
      <c r="HBY162" s="679"/>
      <c r="HBZ162" s="679"/>
      <c r="HCA162" s="679"/>
      <c r="HCB162" s="679"/>
      <c r="HCC162" s="679"/>
      <c r="HCD162" s="679"/>
      <c r="HCE162" s="679"/>
      <c r="HCF162" s="679"/>
      <c r="HCG162" s="679"/>
      <c r="HCH162" s="679"/>
      <c r="HCI162" s="679"/>
      <c r="HCJ162" s="679"/>
      <c r="HCK162" s="679"/>
      <c r="HCL162" s="679"/>
      <c r="HCM162" s="679"/>
      <c r="HCN162" s="679"/>
      <c r="HCO162" s="679"/>
      <c r="HCP162" s="679"/>
      <c r="HCQ162" s="679"/>
      <c r="HCR162" s="679"/>
      <c r="HCS162" s="679"/>
      <c r="HCT162" s="679"/>
      <c r="HCU162" s="679"/>
      <c r="HCV162" s="679"/>
      <c r="HCW162" s="679"/>
      <c r="HCX162" s="679"/>
      <c r="HCY162" s="679"/>
      <c r="HCZ162" s="679"/>
      <c r="HDA162" s="679"/>
      <c r="HDB162" s="679"/>
      <c r="HDC162" s="679"/>
      <c r="HDD162" s="679"/>
      <c r="HDE162" s="679"/>
      <c r="HDF162" s="679"/>
      <c r="HDG162" s="679"/>
      <c r="HDH162" s="679"/>
      <c r="HDI162" s="679"/>
      <c r="HDJ162" s="679"/>
      <c r="HDK162" s="679"/>
      <c r="HDL162" s="679"/>
      <c r="HDM162" s="679"/>
      <c r="HDN162" s="679"/>
      <c r="HDO162" s="679"/>
      <c r="HDP162" s="679"/>
      <c r="HDQ162" s="679"/>
      <c r="HDR162" s="679"/>
      <c r="HDS162" s="679"/>
      <c r="HDT162" s="679"/>
      <c r="HDU162" s="679"/>
      <c r="HDV162" s="679"/>
      <c r="HDW162" s="679"/>
      <c r="HDX162" s="679"/>
      <c r="HDY162" s="679"/>
      <c r="HDZ162" s="679"/>
      <c r="HEA162" s="679"/>
      <c r="HEB162" s="679"/>
      <c r="HEC162" s="679"/>
      <c r="HED162" s="679"/>
      <c r="HEE162" s="679"/>
      <c r="HEF162" s="679"/>
      <c r="HEG162" s="679"/>
      <c r="HEH162" s="679"/>
      <c r="HEI162" s="679"/>
      <c r="HEJ162" s="679"/>
      <c r="HEK162" s="679"/>
      <c r="HEL162" s="679"/>
      <c r="HEM162" s="679"/>
      <c r="HEN162" s="679"/>
      <c r="HEO162" s="679"/>
      <c r="HEP162" s="679"/>
      <c r="HEQ162" s="679"/>
      <c r="HER162" s="679"/>
      <c r="HES162" s="679"/>
      <c r="HET162" s="679"/>
      <c r="HEU162" s="679"/>
      <c r="HEV162" s="679"/>
      <c r="HEW162" s="679"/>
      <c r="HEX162" s="679"/>
      <c r="HEY162" s="679"/>
      <c r="HEZ162" s="679"/>
      <c r="HFA162" s="679"/>
      <c r="HFB162" s="679"/>
      <c r="HFC162" s="679"/>
      <c r="HFD162" s="679"/>
      <c r="HFE162" s="679"/>
      <c r="HFF162" s="679"/>
      <c r="HFG162" s="679"/>
      <c r="HFH162" s="679"/>
      <c r="HFI162" s="679"/>
      <c r="HFJ162" s="679"/>
      <c r="HFK162" s="679"/>
      <c r="HFL162" s="679"/>
      <c r="HFM162" s="679"/>
      <c r="HFN162" s="679"/>
      <c r="HFO162" s="679"/>
      <c r="HFP162" s="679"/>
      <c r="HFQ162" s="679"/>
      <c r="HFR162" s="679"/>
      <c r="HFS162" s="679"/>
      <c r="HFT162" s="679"/>
      <c r="HFU162" s="679"/>
      <c r="HFV162" s="679"/>
      <c r="HFW162" s="679"/>
      <c r="HFX162" s="679"/>
      <c r="HFY162" s="679"/>
      <c r="HFZ162" s="679"/>
      <c r="HGA162" s="679"/>
      <c r="HGB162" s="679"/>
      <c r="HGC162" s="679"/>
      <c r="HGD162" s="679"/>
      <c r="HGE162" s="679"/>
      <c r="HGF162" s="679"/>
      <c r="HGG162" s="679"/>
      <c r="HGH162" s="679"/>
      <c r="HGI162" s="679"/>
      <c r="HGJ162" s="679"/>
      <c r="HGK162" s="679"/>
      <c r="HGL162" s="679"/>
      <c r="HGM162" s="679"/>
      <c r="HGN162" s="679"/>
      <c r="HGO162" s="679"/>
      <c r="HGP162" s="679"/>
      <c r="HGQ162" s="679"/>
      <c r="HGR162" s="679"/>
      <c r="HGS162" s="679"/>
      <c r="HGT162" s="679"/>
      <c r="HGU162" s="679"/>
      <c r="HGV162" s="679"/>
      <c r="HGW162" s="679"/>
      <c r="HGX162" s="679"/>
      <c r="HGY162" s="679"/>
      <c r="HGZ162" s="679"/>
      <c r="HHA162" s="679"/>
      <c r="HHB162" s="679"/>
      <c r="HHC162" s="679"/>
      <c r="HHD162" s="679"/>
      <c r="HHE162" s="679"/>
      <c r="HHF162" s="679"/>
      <c r="HHG162" s="679"/>
      <c r="HHH162" s="679"/>
      <c r="HHI162" s="679"/>
      <c r="HHJ162" s="679"/>
      <c r="HHK162" s="679"/>
      <c r="HHL162" s="679"/>
      <c r="HHM162" s="679"/>
      <c r="HHN162" s="679"/>
      <c r="HHO162" s="679"/>
      <c r="HHP162" s="679"/>
      <c r="HHQ162" s="679"/>
      <c r="HHR162" s="679"/>
      <c r="HHS162" s="679"/>
      <c r="HHT162" s="679"/>
      <c r="HHU162" s="679"/>
      <c r="HHV162" s="679"/>
      <c r="HHW162" s="679"/>
      <c r="HHX162" s="679"/>
      <c r="HHY162" s="679"/>
      <c r="HHZ162" s="679"/>
      <c r="HIA162" s="679"/>
      <c r="HIB162" s="679"/>
      <c r="HIC162" s="679"/>
      <c r="HID162" s="679"/>
      <c r="HIE162" s="679"/>
      <c r="HIF162" s="679"/>
      <c r="HIG162" s="679"/>
      <c r="HIH162" s="679"/>
      <c r="HII162" s="679"/>
      <c r="HIJ162" s="679"/>
      <c r="HIK162" s="679"/>
      <c r="HIL162" s="679"/>
      <c r="HIM162" s="679"/>
      <c r="HIN162" s="679"/>
      <c r="HIO162" s="679"/>
      <c r="HIP162" s="679"/>
      <c r="HIQ162" s="679"/>
      <c r="HIR162" s="679"/>
      <c r="HIS162" s="679"/>
      <c r="HIT162" s="679"/>
      <c r="HIU162" s="679"/>
      <c r="HIV162" s="679"/>
      <c r="HIW162" s="679"/>
      <c r="HIX162" s="679"/>
      <c r="HIY162" s="679"/>
      <c r="HIZ162" s="679"/>
      <c r="HJA162" s="679"/>
      <c r="HJB162" s="679"/>
      <c r="HJC162" s="679"/>
      <c r="HJD162" s="679"/>
      <c r="HJE162" s="679"/>
      <c r="HJF162" s="679"/>
      <c r="HJG162" s="679"/>
      <c r="HJH162" s="679"/>
      <c r="HJI162" s="679"/>
      <c r="HJJ162" s="679"/>
      <c r="HJK162" s="679"/>
      <c r="HJL162" s="679"/>
      <c r="HJM162" s="679"/>
      <c r="HJN162" s="679"/>
      <c r="HJO162" s="679"/>
      <c r="HJP162" s="679"/>
      <c r="HJQ162" s="679"/>
      <c r="HJR162" s="679"/>
      <c r="HJS162" s="679"/>
      <c r="HJT162" s="679"/>
      <c r="HJU162" s="679"/>
      <c r="HJV162" s="679"/>
      <c r="HJW162" s="679"/>
      <c r="HJX162" s="679"/>
      <c r="HJY162" s="679"/>
      <c r="HJZ162" s="679"/>
      <c r="HKA162" s="679"/>
      <c r="HKB162" s="679"/>
      <c r="HKC162" s="679"/>
      <c r="HKD162" s="679"/>
      <c r="HKE162" s="679"/>
      <c r="HKF162" s="679"/>
      <c r="HKG162" s="679"/>
      <c r="HKH162" s="679"/>
      <c r="HKI162" s="679"/>
      <c r="HKJ162" s="679"/>
      <c r="HKK162" s="679"/>
      <c r="HKL162" s="679"/>
      <c r="HKM162" s="679"/>
      <c r="HKN162" s="679"/>
      <c r="HKO162" s="679"/>
      <c r="HKP162" s="679"/>
      <c r="HKQ162" s="679"/>
      <c r="HKR162" s="679"/>
      <c r="HKS162" s="679"/>
      <c r="HKT162" s="679"/>
      <c r="HKU162" s="679"/>
      <c r="HKV162" s="679"/>
      <c r="HKW162" s="679"/>
      <c r="HKX162" s="679"/>
      <c r="HKY162" s="679"/>
      <c r="HKZ162" s="679"/>
      <c r="HLA162" s="679"/>
      <c r="HLB162" s="679"/>
      <c r="HLC162" s="679"/>
      <c r="HLD162" s="679"/>
      <c r="HLE162" s="679"/>
      <c r="HLF162" s="679"/>
      <c r="HLG162" s="679"/>
      <c r="HLH162" s="679"/>
      <c r="HLI162" s="679"/>
      <c r="HLJ162" s="679"/>
      <c r="HLK162" s="679"/>
      <c r="HLL162" s="679"/>
      <c r="HLM162" s="679"/>
      <c r="HLN162" s="679"/>
      <c r="HLO162" s="679"/>
      <c r="HLP162" s="679"/>
      <c r="HLQ162" s="679"/>
      <c r="HLR162" s="679"/>
      <c r="HLS162" s="679"/>
      <c r="HLT162" s="679"/>
      <c r="HLU162" s="679"/>
      <c r="HLV162" s="679"/>
      <c r="HLW162" s="679"/>
      <c r="HLX162" s="679"/>
      <c r="HLY162" s="679"/>
      <c r="HLZ162" s="679"/>
      <c r="HMA162" s="679"/>
      <c r="HMB162" s="679"/>
      <c r="HMC162" s="679"/>
      <c r="HMD162" s="679"/>
      <c r="HME162" s="679"/>
      <c r="HMF162" s="679"/>
      <c r="HMG162" s="679"/>
      <c r="HMH162" s="679"/>
      <c r="HMI162" s="679"/>
      <c r="HMJ162" s="679"/>
      <c r="HMK162" s="679"/>
      <c r="HML162" s="679"/>
      <c r="HMM162" s="679"/>
      <c r="HMN162" s="679"/>
      <c r="HMO162" s="679"/>
      <c r="HMP162" s="679"/>
      <c r="HMQ162" s="679"/>
      <c r="HMR162" s="679"/>
      <c r="HMS162" s="679"/>
      <c r="HMT162" s="679"/>
      <c r="HMU162" s="679"/>
      <c r="HMV162" s="679"/>
      <c r="HMW162" s="679"/>
      <c r="HMX162" s="679"/>
      <c r="HMY162" s="679"/>
      <c r="HMZ162" s="679"/>
      <c r="HNA162" s="679"/>
      <c r="HNB162" s="679"/>
      <c r="HNC162" s="679"/>
      <c r="HND162" s="679"/>
      <c r="HNE162" s="679"/>
      <c r="HNF162" s="679"/>
      <c r="HNG162" s="679"/>
      <c r="HNH162" s="679"/>
      <c r="HNI162" s="679"/>
      <c r="HNJ162" s="679"/>
      <c r="HNK162" s="679"/>
      <c r="HNL162" s="679"/>
      <c r="HNM162" s="679"/>
      <c r="HNN162" s="679"/>
      <c r="HNO162" s="679"/>
      <c r="HNP162" s="679"/>
      <c r="HNQ162" s="679"/>
      <c r="HNR162" s="679"/>
      <c r="HNS162" s="679"/>
      <c r="HNT162" s="679"/>
      <c r="HNU162" s="679"/>
      <c r="HNV162" s="679"/>
      <c r="HNW162" s="679"/>
      <c r="HNX162" s="679"/>
      <c r="HNY162" s="679"/>
      <c r="HNZ162" s="679"/>
      <c r="HOA162" s="679"/>
      <c r="HOB162" s="679"/>
      <c r="HOC162" s="679"/>
      <c r="HOD162" s="679"/>
      <c r="HOE162" s="679"/>
      <c r="HOF162" s="679"/>
      <c r="HOG162" s="679"/>
      <c r="HOH162" s="679"/>
      <c r="HOI162" s="679"/>
      <c r="HOJ162" s="679"/>
      <c r="HOK162" s="679"/>
      <c r="HOL162" s="679"/>
      <c r="HOM162" s="679"/>
      <c r="HON162" s="679"/>
      <c r="HOO162" s="679"/>
      <c r="HOP162" s="679"/>
      <c r="HOQ162" s="679"/>
      <c r="HOR162" s="679"/>
      <c r="HOS162" s="679"/>
      <c r="HOT162" s="679"/>
      <c r="HOU162" s="679"/>
      <c r="HOV162" s="679"/>
      <c r="HOW162" s="679"/>
      <c r="HOX162" s="679"/>
      <c r="HOY162" s="679"/>
      <c r="HOZ162" s="679"/>
      <c r="HPA162" s="679"/>
      <c r="HPB162" s="679"/>
      <c r="HPC162" s="679"/>
      <c r="HPD162" s="679"/>
      <c r="HPE162" s="679"/>
      <c r="HPF162" s="679"/>
      <c r="HPG162" s="679"/>
      <c r="HPH162" s="679"/>
      <c r="HPI162" s="679"/>
      <c r="HPJ162" s="679"/>
      <c r="HPK162" s="679"/>
      <c r="HPL162" s="679"/>
      <c r="HPM162" s="679"/>
      <c r="HPN162" s="679"/>
      <c r="HPO162" s="679"/>
      <c r="HPP162" s="679"/>
      <c r="HPQ162" s="679"/>
      <c r="HPR162" s="679"/>
      <c r="HPS162" s="679"/>
      <c r="HPT162" s="679"/>
      <c r="HPU162" s="679"/>
      <c r="HPV162" s="679"/>
      <c r="HPW162" s="679"/>
      <c r="HPX162" s="679"/>
      <c r="HPY162" s="679"/>
      <c r="HPZ162" s="679"/>
      <c r="HQA162" s="679"/>
      <c r="HQB162" s="679"/>
      <c r="HQC162" s="679"/>
      <c r="HQD162" s="679"/>
      <c r="HQE162" s="679"/>
      <c r="HQF162" s="679"/>
      <c r="HQG162" s="679"/>
      <c r="HQH162" s="679"/>
      <c r="HQI162" s="679"/>
      <c r="HQJ162" s="679"/>
      <c r="HQK162" s="679"/>
      <c r="HQL162" s="679"/>
      <c r="HQM162" s="679"/>
      <c r="HQN162" s="679"/>
      <c r="HQO162" s="679"/>
      <c r="HQP162" s="679"/>
      <c r="HQQ162" s="679"/>
      <c r="HQR162" s="679"/>
      <c r="HQS162" s="679"/>
      <c r="HQT162" s="679"/>
      <c r="HQU162" s="679"/>
      <c r="HQV162" s="679"/>
      <c r="HQW162" s="679"/>
      <c r="HQX162" s="679"/>
      <c r="HQY162" s="679"/>
      <c r="HQZ162" s="679"/>
      <c r="HRA162" s="679"/>
      <c r="HRB162" s="679"/>
      <c r="HRC162" s="679"/>
      <c r="HRD162" s="679"/>
      <c r="HRE162" s="679"/>
      <c r="HRF162" s="679"/>
      <c r="HRG162" s="679"/>
      <c r="HRH162" s="679"/>
      <c r="HRI162" s="679"/>
      <c r="HRJ162" s="679"/>
      <c r="HRK162" s="679"/>
      <c r="HRL162" s="679"/>
      <c r="HRM162" s="679"/>
      <c r="HRN162" s="679"/>
      <c r="HRO162" s="679"/>
      <c r="HRP162" s="679"/>
      <c r="HRQ162" s="679"/>
      <c r="HRR162" s="679"/>
      <c r="HRS162" s="679"/>
      <c r="HRT162" s="679"/>
      <c r="HRU162" s="679"/>
      <c r="HRV162" s="679"/>
      <c r="HRW162" s="679"/>
      <c r="HRX162" s="679"/>
      <c r="HRY162" s="679"/>
      <c r="HRZ162" s="679"/>
      <c r="HSA162" s="679"/>
      <c r="HSB162" s="679"/>
      <c r="HSC162" s="679"/>
      <c r="HSD162" s="679"/>
      <c r="HSE162" s="679"/>
      <c r="HSF162" s="679"/>
      <c r="HSG162" s="679"/>
      <c r="HSH162" s="679"/>
      <c r="HSI162" s="679"/>
      <c r="HSJ162" s="679"/>
      <c r="HSK162" s="679"/>
      <c r="HSL162" s="679"/>
      <c r="HSM162" s="679"/>
      <c r="HSN162" s="679"/>
      <c r="HSO162" s="679"/>
      <c r="HSP162" s="679"/>
      <c r="HSQ162" s="679"/>
      <c r="HSR162" s="679"/>
      <c r="HSS162" s="679"/>
      <c r="HST162" s="679"/>
      <c r="HSU162" s="679"/>
      <c r="HSV162" s="679"/>
      <c r="HSW162" s="679"/>
      <c r="HSX162" s="679"/>
      <c r="HSY162" s="679"/>
      <c r="HSZ162" s="679"/>
      <c r="HTA162" s="679"/>
      <c r="HTB162" s="679"/>
      <c r="HTC162" s="679"/>
      <c r="HTD162" s="679"/>
      <c r="HTE162" s="679"/>
      <c r="HTF162" s="679"/>
      <c r="HTG162" s="679"/>
      <c r="HTH162" s="679"/>
      <c r="HTI162" s="679"/>
      <c r="HTJ162" s="679"/>
      <c r="HTK162" s="679"/>
      <c r="HTL162" s="679"/>
      <c r="HTM162" s="679"/>
      <c r="HTN162" s="679"/>
      <c r="HTO162" s="679"/>
      <c r="HTP162" s="679"/>
      <c r="HTQ162" s="679"/>
      <c r="HTR162" s="679"/>
      <c r="HTS162" s="679"/>
      <c r="HTT162" s="679"/>
      <c r="HTU162" s="679"/>
      <c r="HTV162" s="679"/>
      <c r="HTW162" s="679"/>
      <c r="HTX162" s="679"/>
      <c r="HTY162" s="679"/>
      <c r="HTZ162" s="679"/>
      <c r="HUA162" s="679"/>
      <c r="HUB162" s="679"/>
      <c r="HUC162" s="679"/>
      <c r="HUD162" s="679"/>
      <c r="HUE162" s="679"/>
      <c r="HUF162" s="679"/>
      <c r="HUG162" s="679"/>
      <c r="HUH162" s="679"/>
      <c r="HUI162" s="679"/>
      <c r="HUJ162" s="679"/>
      <c r="HUK162" s="679"/>
      <c r="HUL162" s="679"/>
      <c r="HUM162" s="679"/>
      <c r="HUN162" s="679"/>
      <c r="HUO162" s="679"/>
      <c r="HUP162" s="679"/>
      <c r="HUQ162" s="679"/>
      <c r="HUR162" s="679"/>
      <c r="HUS162" s="679"/>
      <c r="HUT162" s="679"/>
      <c r="HUU162" s="679"/>
      <c r="HUV162" s="679"/>
      <c r="HUW162" s="679"/>
      <c r="HUX162" s="679"/>
      <c r="HUY162" s="679"/>
      <c r="HUZ162" s="679"/>
      <c r="HVA162" s="679"/>
      <c r="HVB162" s="679"/>
      <c r="HVC162" s="679"/>
      <c r="HVD162" s="679"/>
      <c r="HVE162" s="679"/>
      <c r="HVF162" s="679"/>
      <c r="HVG162" s="679"/>
      <c r="HVH162" s="679"/>
      <c r="HVI162" s="679"/>
      <c r="HVJ162" s="679"/>
      <c r="HVK162" s="679"/>
      <c r="HVL162" s="679"/>
      <c r="HVM162" s="679"/>
      <c r="HVN162" s="679"/>
      <c r="HVO162" s="679"/>
      <c r="HVP162" s="679"/>
      <c r="HVQ162" s="679"/>
      <c r="HVR162" s="679"/>
      <c r="HVS162" s="679"/>
      <c r="HVT162" s="679"/>
      <c r="HVU162" s="679"/>
      <c r="HVV162" s="679"/>
      <c r="HVW162" s="679"/>
      <c r="HVX162" s="679"/>
      <c r="HVY162" s="679"/>
      <c r="HVZ162" s="679"/>
      <c r="HWA162" s="679"/>
      <c r="HWB162" s="679"/>
      <c r="HWC162" s="679"/>
      <c r="HWD162" s="679"/>
      <c r="HWE162" s="679"/>
      <c r="HWF162" s="679"/>
      <c r="HWG162" s="679"/>
      <c r="HWH162" s="679"/>
      <c r="HWI162" s="679"/>
      <c r="HWJ162" s="679"/>
      <c r="HWK162" s="679"/>
      <c r="HWL162" s="679"/>
      <c r="HWM162" s="679"/>
      <c r="HWN162" s="679"/>
      <c r="HWO162" s="679"/>
      <c r="HWP162" s="679"/>
      <c r="HWQ162" s="679"/>
      <c r="HWR162" s="679"/>
      <c r="HWS162" s="679"/>
      <c r="HWT162" s="679"/>
      <c r="HWU162" s="679"/>
      <c r="HWV162" s="679"/>
      <c r="HWW162" s="679"/>
      <c r="HWX162" s="679"/>
      <c r="HWY162" s="679"/>
      <c r="HWZ162" s="679"/>
      <c r="HXA162" s="679"/>
      <c r="HXB162" s="679"/>
      <c r="HXC162" s="679"/>
      <c r="HXD162" s="679"/>
      <c r="HXE162" s="679"/>
      <c r="HXF162" s="679"/>
      <c r="HXG162" s="679"/>
      <c r="HXH162" s="679"/>
      <c r="HXI162" s="679"/>
      <c r="HXJ162" s="679"/>
      <c r="HXK162" s="679"/>
      <c r="HXL162" s="679"/>
      <c r="HXM162" s="679"/>
      <c r="HXN162" s="679"/>
      <c r="HXO162" s="679"/>
      <c r="HXP162" s="679"/>
      <c r="HXQ162" s="679"/>
      <c r="HXR162" s="679"/>
      <c r="HXS162" s="679"/>
      <c r="HXT162" s="679"/>
      <c r="HXU162" s="679"/>
      <c r="HXV162" s="679"/>
      <c r="HXW162" s="679"/>
      <c r="HXX162" s="679"/>
      <c r="HXY162" s="679"/>
      <c r="HXZ162" s="679"/>
      <c r="HYA162" s="679"/>
      <c r="HYB162" s="679"/>
      <c r="HYC162" s="679"/>
      <c r="HYD162" s="679"/>
      <c r="HYE162" s="679"/>
      <c r="HYF162" s="679"/>
      <c r="HYG162" s="679"/>
      <c r="HYH162" s="679"/>
      <c r="HYI162" s="679"/>
      <c r="HYJ162" s="679"/>
      <c r="HYK162" s="679"/>
      <c r="HYL162" s="679"/>
      <c r="HYM162" s="679"/>
      <c r="HYN162" s="679"/>
      <c r="HYO162" s="679"/>
      <c r="HYP162" s="679"/>
      <c r="HYQ162" s="679"/>
      <c r="HYR162" s="679"/>
      <c r="HYS162" s="679"/>
      <c r="HYT162" s="679"/>
      <c r="HYU162" s="679"/>
      <c r="HYV162" s="679"/>
      <c r="HYW162" s="679"/>
      <c r="HYX162" s="679"/>
      <c r="HYY162" s="679"/>
      <c r="HYZ162" s="679"/>
      <c r="HZA162" s="679"/>
      <c r="HZB162" s="679"/>
      <c r="HZC162" s="679"/>
      <c r="HZD162" s="679"/>
      <c r="HZE162" s="679"/>
      <c r="HZF162" s="679"/>
      <c r="HZG162" s="679"/>
      <c r="HZH162" s="679"/>
      <c r="HZI162" s="679"/>
      <c r="HZJ162" s="679"/>
      <c r="HZK162" s="679"/>
      <c r="HZL162" s="679"/>
      <c r="HZM162" s="679"/>
      <c r="HZN162" s="679"/>
      <c r="HZO162" s="679"/>
      <c r="HZP162" s="679"/>
      <c r="HZQ162" s="679"/>
      <c r="HZR162" s="679"/>
      <c r="HZS162" s="679"/>
      <c r="HZT162" s="679"/>
      <c r="HZU162" s="679"/>
      <c r="HZV162" s="679"/>
      <c r="HZW162" s="679"/>
      <c r="HZX162" s="679"/>
      <c r="HZY162" s="679"/>
      <c r="HZZ162" s="679"/>
      <c r="IAA162" s="679"/>
      <c r="IAB162" s="679"/>
      <c r="IAC162" s="679"/>
      <c r="IAD162" s="679"/>
      <c r="IAE162" s="679"/>
      <c r="IAF162" s="679"/>
      <c r="IAG162" s="679"/>
      <c r="IAH162" s="679"/>
      <c r="IAI162" s="679"/>
      <c r="IAJ162" s="679"/>
      <c r="IAK162" s="679"/>
      <c r="IAL162" s="679"/>
      <c r="IAM162" s="679"/>
      <c r="IAN162" s="679"/>
      <c r="IAO162" s="679"/>
      <c r="IAP162" s="679"/>
      <c r="IAQ162" s="679"/>
      <c r="IAR162" s="679"/>
      <c r="IAS162" s="679"/>
      <c r="IAT162" s="679"/>
      <c r="IAU162" s="679"/>
      <c r="IAV162" s="679"/>
      <c r="IAW162" s="679"/>
      <c r="IAX162" s="679"/>
      <c r="IAY162" s="679"/>
      <c r="IAZ162" s="679"/>
      <c r="IBA162" s="679"/>
      <c r="IBB162" s="679"/>
      <c r="IBC162" s="679"/>
      <c r="IBD162" s="679"/>
      <c r="IBE162" s="679"/>
      <c r="IBF162" s="679"/>
      <c r="IBG162" s="679"/>
      <c r="IBH162" s="679"/>
      <c r="IBI162" s="679"/>
      <c r="IBJ162" s="679"/>
      <c r="IBK162" s="679"/>
      <c r="IBL162" s="679"/>
      <c r="IBM162" s="679"/>
      <c r="IBN162" s="679"/>
      <c r="IBO162" s="679"/>
      <c r="IBP162" s="679"/>
      <c r="IBQ162" s="679"/>
      <c r="IBR162" s="679"/>
      <c r="IBS162" s="679"/>
      <c r="IBT162" s="679"/>
      <c r="IBU162" s="679"/>
      <c r="IBV162" s="679"/>
      <c r="IBW162" s="679"/>
      <c r="IBX162" s="679"/>
      <c r="IBY162" s="679"/>
      <c r="IBZ162" s="679"/>
      <c r="ICA162" s="679"/>
      <c r="ICB162" s="679"/>
      <c r="ICC162" s="679"/>
      <c r="ICD162" s="679"/>
      <c r="ICE162" s="679"/>
      <c r="ICF162" s="679"/>
      <c r="ICG162" s="679"/>
      <c r="ICH162" s="679"/>
      <c r="ICI162" s="679"/>
      <c r="ICJ162" s="679"/>
      <c r="ICK162" s="679"/>
      <c r="ICL162" s="679"/>
      <c r="ICM162" s="679"/>
      <c r="ICN162" s="679"/>
      <c r="ICO162" s="679"/>
      <c r="ICP162" s="679"/>
      <c r="ICQ162" s="679"/>
      <c r="ICR162" s="679"/>
      <c r="ICS162" s="679"/>
      <c r="ICT162" s="679"/>
      <c r="ICU162" s="679"/>
      <c r="ICV162" s="679"/>
      <c r="ICW162" s="679"/>
      <c r="ICX162" s="679"/>
      <c r="ICY162" s="679"/>
      <c r="ICZ162" s="679"/>
      <c r="IDA162" s="679"/>
      <c r="IDB162" s="679"/>
      <c r="IDC162" s="679"/>
      <c r="IDD162" s="679"/>
      <c r="IDE162" s="679"/>
      <c r="IDF162" s="679"/>
      <c r="IDG162" s="679"/>
      <c r="IDH162" s="679"/>
      <c r="IDI162" s="679"/>
      <c r="IDJ162" s="679"/>
      <c r="IDK162" s="679"/>
      <c r="IDL162" s="679"/>
      <c r="IDM162" s="679"/>
      <c r="IDN162" s="679"/>
      <c r="IDO162" s="679"/>
      <c r="IDP162" s="679"/>
      <c r="IDQ162" s="679"/>
      <c r="IDR162" s="679"/>
      <c r="IDS162" s="679"/>
      <c r="IDT162" s="679"/>
      <c r="IDU162" s="679"/>
      <c r="IDV162" s="679"/>
      <c r="IDW162" s="679"/>
      <c r="IDX162" s="679"/>
      <c r="IDY162" s="679"/>
      <c r="IDZ162" s="679"/>
      <c r="IEA162" s="679"/>
      <c r="IEB162" s="679"/>
      <c r="IEC162" s="679"/>
      <c r="IED162" s="679"/>
      <c r="IEE162" s="679"/>
      <c r="IEF162" s="679"/>
      <c r="IEG162" s="679"/>
      <c r="IEH162" s="679"/>
      <c r="IEI162" s="679"/>
      <c r="IEJ162" s="679"/>
      <c r="IEK162" s="679"/>
      <c r="IEL162" s="679"/>
      <c r="IEM162" s="679"/>
      <c r="IEN162" s="679"/>
      <c r="IEO162" s="679"/>
      <c r="IEP162" s="679"/>
      <c r="IEQ162" s="679"/>
      <c r="IER162" s="679"/>
      <c r="IES162" s="679"/>
      <c r="IET162" s="679"/>
      <c r="IEU162" s="679"/>
      <c r="IEV162" s="679"/>
      <c r="IEW162" s="679"/>
      <c r="IEX162" s="679"/>
      <c r="IEY162" s="679"/>
      <c r="IEZ162" s="679"/>
      <c r="IFA162" s="679"/>
      <c r="IFB162" s="679"/>
      <c r="IFC162" s="679"/>
      <c r="IFD162" s="679"/>
      <c r="IFE162" s="679"/>
      <c r="IFF162" s="679"/>
      <c r="IFG162" s="679"/>
      <c r="IFH162" s="679"/>
      <c r="IFI162" s="679"/>
      <c r="IFJ162" s="679"/>
      <c r="IFK162" s="679"/>
      <c r="IFL162" s="679"/>
      <c r="IFM162" s="679"/>
      <c r="IFN162" s="679"/>
      <c r="IFO162" s="679"/>
      <c r="IFP162" s="679"/>
      <c r="IFQ162" s="679"/>
      <c r="IFR162" s="679"/>
      <c r="IFS162" s="679"/>
      <c r="IFT162" s="679"/>
      <c r="IFU162" s="679"/>
      <c r="IFV162" s="679"/>
      <c r="IFW162" s="679"/>
      <c r="IFX162" s="679"/>
      <c r="IFY162" s="679"/>
      <c r="IFZ162" s="679"/>
      <c r="IGA162" s="679"/>
      <c r="IGB162" s="679"/>
      <c r="IGC162" s="679"/>
      <c r="IGD162" s="679"/>
      <c r="IGE162" s="679"/>
      <c r="IGF162" s="679"/>
      <c r="IGG162" s="679"/>
      <c r="IGH162" s="679"/>
      <c r="IGI162" s="679"/>
      <c r="IGJ162" s="679"/>
      <c r="IGK162" s="679"/>
      <c r="IGL162" s="679"/>
      <c r="IGM162" s="679"/>
      <c r="IGN162" s="679"/>
      <c r="IGO162" s="679"/>
      <c r="IGP162" s="679"/>
      <c r="IGQ162" s="679"/>
      <c r="IGR162" s="679"/>
      <c r="IGS162" s="679"/>
      <c r="IGT162" s="679"/>
      <c r="IGU162" s="679"/>
      <c r="IGV162" s="679"/>
      <c r="IGW162" s="679"/>
      <c r="IGX162" s="679"/>
      <c r="IGY162" s="679"/>
      <c r="IGZ162" s="679"/>
      <c r="IHA162" s="679"/>
      <c r="IHB162" s="679"/>
      <c r="IHC162" s="679"/>
      <c r="IHD162" s="679"/>
      <c r="IHE162" s="679"/>
      <c r="IHF162" s="679"/>
      <c r="IHG162" s="679"/>
      <c r="IHH162" s="679"/>
      <c r="IHI162" s="679"/>
      <c r="IHJ162" s="679"/>
      <c r="IHK162" s="679"/>
      <c r="IHL162" s="679"/>
      <c r="IHM162" s="679"/>
      <c r="IHN162" s="679"/>
      <c r="IHO162" s="679"/>
      <c r="IHP162" s="679"/>
      <c r="IHQ162" s="679"/>
      <c r="IHR162" s="679"/>
      <c r="IHS162" s="679"/>
      <c r="IHT162" s="679"/>
      <c r="IHU162" s="679"/>
      <c r="IHV162" s="679"/>
      <c r="IHW162" s="679"/>
      <c r="IHX162" s="679"/>
      <c r="IHY162" s="679"/>
      <c r="IHZ162" s="679"/>
      <c r="IIA162" s="679"/>
      <c r="IIB162" s="679"/>
      <c r="IIC162" s="679"/>
      <c r="IID162" s="679"/>
      <c r="IIE162" s="679"/>
      <c r="IIF162" s="679"/>
      <c r="IIG162" s="679"/>
      <c r="IIH162" s="679"/>
      <c r="III162" s="679"/>
      <c r="IIJ162" s="679"/>
      <c r="IIK162" s="679"/>
      <c r="IIL162" s="679"/>
      <c r="IIM162" s="679"/>
      <c r="IIN162" s="679"/>
      <c r="IIO162" s="679"/>
      <c r="IIP162" s="679"/>
      <c r="IIQ162" s="679"/>
      <c r="IIR162" s="679"/>
      <c r="IIS162" s="679"/>
      <c r="IIT162" s="679"/>
      <c r="IIU162" s="679"/>
      <c r="IIV162" s="679"/>
      <c r="IIW162" s="679"/>
      <c r="IIX162" s="679"/>
      <c r="IIY162" s="679"/>
      <c r="IIZ162" s="679"/>
      <c r="IJA162" s="679"/>
      <c r="IJB162" s="679"/>
      <c r="IJC162" s="679"/>
      <c r="IJD162" s="679"/>
      <c r="IJE162" s="679"/>
      <c r="IJF162" s="679"/>
      <c r="IJG162" s="679"/>
      <c r="IJH162" s="679"/>
      <c r="IJI162" s="679"/>
      <c r="IJJ162" s="679"/>
      <c r="IJK162" s="679"/>
      <c r="IJL162" s="679"/>
      <c r="IJM162" s="679"/>
      <c r="IJN162" s="679"/>
      <c r="IJO162" s="679"/>
      <c r="IJP162" s="679"/>
      <c r="IJQ162" s="679"/>
      <c r="IJR162" s="679"/>
      <c r="IJS162" s="679"/>
      <c r="IJT162" s="679"/>
      <c r="IJU162" s="679"/>
      <c r="IJV162" s="679"/>
      <c r="IJW162" s="679"/>
      <c r="IJX162" s="679"/>
      <c r="IJY162" s="679"/>
      <c r="IJZ162" s="679"/>
      <c r="IKA162" s="679"/>
      <c r="IKB162" s="679"/>
      <c r="IKC162" s="679"/>
      <c r="IKD162" s="679"/>
      <c r="IKE162" s="679"/>
      <c r="IKF162" s="679"/>
      <c r="IKG162" s="679"/>
      <c r="IKH162" s="679"/>
      <c r="IKI162" s="679"/>
      <c r="IKJ162" s="679"/>
      <c r="IKK162" s="679"/>
      <c r="IKL162" s="679"/>
      <c r="IKM162" s="679"/>
      <c r="IKN162" s="679"/>
      <c r="IKO162" s="679"/>
      <c r="IKP162" s="679"/>
      <c r="IKQ162" s="679"/>
      <c r="IKR162" s="679"/>
      <c r="IKS162" s="679"/>
      <c r="IKT162" s="679"/>
      <c r="IKU162" s="679"/>
      <c r="IKV162" s="679"/>
      <c r="IKW162" s="679"/>
      <c r="IKX162" s="679"/>
      <c r="IKY162" s="679"/>
      <c r="IKZ162" s="679"/>
      <c r="ILA162" s="679"/>
      <c r="ILB162" s="679"/>
      <c r="ILC162" s="679"/>
      <c r="ILD162" s="679"/>
      <c r="ILE162" s="679"/>
      <c r="ILF162" s="679"/>
      <c r="ILG162" s="679"/>
      <c r="ILH162" s="679"/>
      <c r="ILI162" s="679"/>
      <c r="ILJ162" s="679"/>
      <c r="ILK162" s="679"/>
      <c r="ILL162" s="679"/>
      <c r="ILM162" s="679"/>
      <c r="ILN162" s="679"/>
      <c r="ILO162" s="679"/>
      <c r="ILP162" s="679"/>
      <c r="ILQ162" s="679"/>
      <c r="ILR162" s="679"/>
      <c r="ILS162" s="679"/>
      <c r="ILT162" s="679"/>
      <c r="ILU162" s="679"/>
      <c r="ILV162" s="679"/>
      <c r="ILW162" s="679"/>
      <c r="ILX162" s="679"/>
      <c r="ILY162" s="679"/>
      <c r="ILZ162" s="679"/>
      <c r="IMA162" s="679"/>
      <c r="IMB162" s="679"/>
      <c r="IMC162" s="679"/>
      <c r="IMD162" s="679"/>
      <c r="IME162" s="679"/>
      <c r="IMF162" s="679"/>
      <c r="IMG162" s="679"/>
      <c r="IMH162" s="679"/>
      <c r="IMI162" s="679"/>
      <c r="IMJ162" s="679"/>
      <c r="IMK162" s="679"/>
      <c r="IML162" s="679"/>
      <c r="IMM162" s="679"/>
      <c r="IMN162" s="679"/>
      <c r="IMO162" s="679"/>
      <c r="IMP162" s="679"/>
      <c r="IMQ162" s="679"/>
      <c r="IMR162" s="679"/>
      <c r="IMS162" s="679"/>
      <c r="IMT162" s="679"/>
      <c r="IMU162" s="679"/>
      <c r="IMV162" s="679"/>
      <c r="IMW162" s="679"/>
      <c r="IMX162" s="679"/>
      <c r="IMY162" s="679"/>
      <c r="IMZ162" s="679"/>
      <c r="INA162" s="679"/>
      <c r="INB162" s="679"/>
      <c r="INC162" s="679"/>
      <c r="IND162" s="679"/>
      <c r="INE162" s="679"/>
      <c r="INF162" s="679"/>
      <c r="ING162" s="679"/>
      <c r="INH162" s="679"/>
      <c r="INI162" s="679"/>
      <c r="INJ162" s="679"/>
      <c r="INK162" s="679"/>
      <c r="INL162" s="679"/>
      <c r="INM162" s="679"/>
      <c r="INN162" s="679"/>
      <c r="INO162" s="679"/>
      <c r="INP162" s="679"/>
      <c r="INQ162" s="679"/>
      <c r="INR162" s="679"/>
      <c r="INS162" s="679"/>
      <c r="INT162" s="679"/>
      <c r="INU162" s="679"/>
      <c r="INV162" s="679"/>
      <c r="INW162" s="679"/>
      <c r="INX162" s="679"/>
      <c r="INY162" s="679"/>
      <c r="INZ162" s="679"/>
      <c r="IOA162" s="679"/>
      <c r="IOB162" s="679"/>
      <c r="IOC162" s="679"/>
      <c r="IOD162" s="679"/>
      <c r="IOE162" s="679"/>
      <c r="IOF162" s="679"/>
      <c r="IOG162" s="679"/>
      <c r="IOH162" s="679"/>
      <c r="IOI162" s="679"/>
      <c r="IOJ162" s="679"/>
      <c r="IOK162" s="679"/>
      <c r="IOL162" s="679"/>
      <c r="IOM162" s="679"/>
      <c r="ION162" s="679"/>
      <c r="IOO162" s="679"/>
      <c r="IOP162" s="679"/>
      <c r="IOQ162" s="679"/>
      <c r="IOR162" s="679"/>
      <c r="IOS162" s="679"/>
      <c r="IOT162" s="679"/>
      <c r="IOU162" s="679"/>
      <c r="IOV162" s="679"/>
      <c r="IOW162" s="679"/>
      <c r="IOX162" s="679"/>
      <c r="IOY162" s="679"/>
      <c r="IOZ162" s="679"/>
      <c r="IPA162" s="679"/>
      <c r="IPB162" s="679"/>
      <c r="IPC162" s="679"/>
      <c r="IPD162" s="679"/>
      <c r="IPE162" s="679"/>
      <c r="IPF162" s="679"/>
      <c r="IPG162" s="679"/>
      <c r="IPH162" s="679"/>
      <c r="IPI162" s="679"/>
      <c r="IPJ162" s="679"/>
      <c r="IPK162" s="679"/>
      <c r="IPL162" s="679"/>
      <c r="IPM162" s="679"/>
      <c r="IPN162" s="679"/>
      <c r="IPO162" s="679"/>
      <c r="IPP162" s="679"/>
      <c r="IPQ162" s="679"/>
      <c r="IPR162" s="679"/>
      <c r="IPS162" s="679"/>
      <c r="IPT162" s="679"/>
      <c r="IPU162" s="679"/>
      <c r="IPV162" s="679"/>
      <c r="IPW162" s="679"/>
      <c r="IPX162" s="679"/>
      <c r="IPY162" s="679"/>
      <c r="IPZ162" s="679"/>
      <c r="IQA162" s="679"/>
      <c r="IQB162" s="679"/>
      <c r="IQC162" s="679"/>
      <c r="IQD162" s="679"/>
      <c r="IQE162" s="679"/>
      <c r="IQF162" s="679"/>
      <c r="IQG162" s="679"/>
      <c r="IQH162" s="679"/>
      <c r="IQI162" s="679"/>
      <c r="IQJ162" s="679"/>
      <c r="IQK162" s="679"/>
      <c r="IQL162" s="679"/>
      <c r="IQM162" s="679"/>
      <c r="IQN162" s="679"/>
      <c r="IQO162" s="679"/>
      <c r="IQP162" s="679"/>
      <c r="IQQ162" s="679"/>
      <c r="IQR162" s="679"/>
      <c r="IQS162" s="679"/>
      <c r="IQT162" s="679"/>
      <c r="IQU162" s="679"/>
      <c r="IQV162" s="679"/>
      <c r="IQW162" s="679"/>
      <c r="IQX162" s="679"/>
      <c r="IQY162" s="679"/>
      <c r="IQZ162" s="679"/>
      <c r="IRA162" s="679"/>
      <c r="IRB162" s="679"/>
      <c r="IRC162" s="679"/>
      <c r="IRD162" s="679"/>
      <c r="IRE162" s="679"/>
      <c r="IRF162" s="679"/>
      <c r="IRG162" s="679"/>
      <c r="IRH162" s="679"/>
      <c r="IRI162" s="679"/>
      <c r="IRJ162" s="679"/>
      <c r="IRK162" s="679"/>
      <c r="IRL162" s="679"/>
      <c r="IRM162" s="679"/>
      <c r="IRN162" s="679"/>
      <c r="IRO162" s="679"/>
      <c r="IRP162" s="679"/>
      <c r="IRQ162" s="679"/>
      <c r="IRR162" s="679"/>
      <c r="IRS162" s="679"/>
      <c r="IRT162" s="679"/>
      <c r="IRU162" s="679"/>
      <c r="IRV162" s="679"/>
      <c r="IRW162" s="679"/>
      <c r="IRX162" s="679"/>
      <c r="IRY162" s="679"/>
      <c r="IRZ162" s="679"/>
      <c r="ISA162" s="679"/>
      <c r="ISB162" s="679"/>
      <c r="ISC162" s="679"/>
      <c r="ISD162" s="679"/>
      <c r="ISE162" s="679"/>
      <c r="ISF162" s="679"/>
      <c r="ISG162" s="679"/>
      <c r="ISH162" s="679"/>
      <c r="ISI162" s="679"/>
      <c r="ISJ162" s="679"/>
      <c r="ISK162" s="679"/>
      <c r="ISL162" s="679"/>
      <c r="ISM162" s="679"/>
      <c r="ISN162" s="679"/>
      <c r="ISO162" s="679"/>
      <c r="ISP162" s="679"/>
      <c r="ISQ162" s="679"/>
      <c r="ISR162" s="679"/>
      <c r="ISS162" s="679"/>
      <c r="IST162" s="679"/>
      <c r="ISU162" s="679"/>
      <c r="ISV162" s="679"/>
      <c r="ISW162" s="679"/>
      <c r="ISX162" s="679"/>
      <c r="ISY162" s="679"/>
      <c r="ISZ162" s="679"/>
      <c r="ITA162" s="679"/>
      <c r="ITB162" s="679"/>
      <c r="ITC162" s="679"/>
      <c r="ITD162" s="679"/>
      <c r="ITE162" s="679"/>
      <c r="ITF162" s="679"/>
      <c r="ITG162" s="679"/>
      <c r="ITH162" s="679"/>
      <c r="ITI162" s="679"/>
      <c r="ITJ162" s="679"/>
      <c r="ITK162" s="679"/>
      <c r="ITL162" s="679"/>
      <c r="ITM162" s="679"/>
      <c r="ITN162" s="679"/>
      <c r="ITO162" s="679"/>
      <c r="ITP162" s="679"/>
      <c r="ITQ162" s="679"/>
      <c r="ITR162" s="679"/>
      <c r="ITS162" s="679"/>
      <c r="ITT162" s="679"/>
      <c r="ITU162" s="679"/>
      <c r="ITV162" s="679"/>
      <c r="ITW162" s="679"/>
      <c r="ITX162" s="679"/>
      <c r="ITY162" s="679"/>
      <c r="ITZ162" s="679"/>
      <c r="IUA162" s="679"/>
      <c r="IUB162" s="679"/>
      <c r="IUC162" s="679"/>
      <c r="IUD162" s="679"/>
      <c r="IUE162" s="679"/>
      <c r="IUF162" s="679"/>
      <c r="IUG162" s="679"/>
      <c r="IUH162" s="679"/>
      <c r="IUI162" s="679"/>
      <c r="IUJ162" s="679"/>
      <c r="IUK162" s="679"/>
      <c r="IUL162" s="679"/>
      <c r="IUM162" s="679"/>
      <c r="IUN162" s="679"/>
      <c r="IUO162" s="679"/>
      <c r="IUP162" s="679"/>
      <c r="IUQ162" s="679"/>
      <c r="IUR162" s="679"/>
      <c r="IUS162" s="679"/>
      <c r="IUT162" s="679"/>
      <c r="IUU162" s="679"/>
      <c r="IUV162" s="679"/>
      <c r="IUW162" s="679"/>
      <c r="IUX162" s="679"/>
      <c r="IUY162" s="679"/>
      <c r="IUZ162" s="679"/>
      <c r="IVA162" s="679"/>
      <c r="IVB162" s="679"/>
      <c r="IVC162" s="679"/>
      <c r="IVD162" s="679"/>
      <c r="IVE162" s="679"/>
      <c r="IVF162" s="679"/>
      <c r="IVG162" s="679"/>
      <c r="IVH162" s="679"/>
      <c r="IVI162" s="679"/>
      <c r="IVJ162" s="679"/>
      <c r="IVK162" s="679"/>
      <c r="IVL162" s="679"/>
      <c r="IVM162" s="679"/>
      <c r="IVN162" s="679"/>
      <c r="IVO162" s="679"/>
      <c r="IVP162" s="679"/>
      <c r="IVQ162" s="679"/>
      <c r="IVR162" s="679"/>
      <c r="IVS162" s="679"/>
      <c r="IVT162" s="679"/>
      <c r="IVU162" s="679"/>
      <c r="IVV162" s="679"/>
      <c r="IVW162" s="679"/>
      <c r="IVX162" s="679"/>
      <c r="IVY162" s="679"/>
      <c r="IVZ162" s="679"/>
      <c r="IWA162" s="679"/>
      <c r="IWB162" s="679"/>
      <c r="IWC162" s="679"/>
      <c r="IWD162" s="679"/>
      <c r="IWE162" s="679"/>
      <c r="IWF162" s="679"/>
      <c r="IWG162" s="679"/>
      <c r="IWH162" s="679"/>
      <c r="IWI162" s="679"/>
      <c r="IWJ162" s="679"/>
      <c r="IWK162" s="679"/>
      <c r="IWL162" s="679"/>
      <c r="IWM162" s="679"/>
      <c r="IWN162" s="679"/>
      <c r="IWO162" s="679"/>
      <c r="IWP162" s="679"/>
      <c r="IWQ162" s="679"/>
      <c r="IWR162" s="679"/>
      <c r="IWS162" s="679"/>
      <c r="IWT162" s="679"/>
      <c r="IWU162" s="679"/>
      <c r="IWV162" s="679"/>
      <c r="IWW162" s="679"/>
      <c r="IWX162" s="679"/>
      <c r="IWY162" s="679"/>
      <c r="IWZ162" s="679"/>
      <c r="IXA162" s="679"/>
      <c r="IXB162" s="679"/>
      <c r="IXC162" s="679"/>
      <c r="IXD162" s="679"/>
      <c r="IXE162" s="679"/>
      <c r="IXF162" s="679"/>
      <c r="IXG162" s="679"/>
      <c r="IXH162" s="679"/>
      <c r="IXI162" s="679"/>
      <c r="IXJ162" s="679"/>
      <c r="IXK162" s="679"/>
      <c r="IXL162" s="679"/>
      <c r="IXM162" s="679"/>
      <c r="IXN162" s="679"/>
      <c r="IXO162" s="679"/>
      <c r="IXP162" s="679"/>
      <c r="IXQ162" s="679"/>
      <c r="IXR162" s="679"/>
      <c r="IXS162" s="679"/>
      <c r="IXT162" s="679"/>
      <c r="IXU162" s="679"/>
      <c r="IXV162" s="679"/>
      <c r="IXW162" s="679"/>
      <c r="IXX162" s="679"/>
      <c r="IXY162" s="679"/>
      <c r="IXZ162" s="679"/>
      <c r="IYA162" s="679"/>
      <c r="IYB162" s="679"/>
      <c r="IYC162" s="679"/>
      <c r="IYD162" s="679"/>
      <c r="IYE162" s="679"/>
      <c r="IYF162" s="679"/>
      <c r="IYG162" s="679"/>
      <c r="IYH162" s="679"/>
      <c r="IYI162" s="679"/>
      <c r="IYJ162" s="679"/>
      <c r="IYK162" s="679"/>
      <c r="IYL162" s="679"/>
      <c r="IYM162" s="679"/>
      <c r="IYN162" s="679"/>
      <c r="IYO162" s="679"/>
      <c r="IYP162" s="679"/>
      <c r="IYQ162" s="679"/>
      <c r="IYR162" s="679"/>
      <c r="IYS162" s="679"/>
      <c r="IYT162" s="679"/>
      <c r="IYU162" s="679"/>
      <c r="IYV162" s="679"/>
      <c r="IYW162" s="679"/>
      <c r="IYX162" s="679"/>
      <c r="IYY162" s="679"/>
      <c r="IYZ162" s="679"/>
      <c r="IZA162" s="679"/>
      <c r="IZB162" s="679"/>
      <c r="IZC162" s="679"/>
      <c r="IZD162" s="679"/>
      <c r="IZE162" s="679"/>
      <c r="IZF162" s="679"/>
      <c r="IZG162" s="679"/>
      <c r="IZH162" s="679"/>
      <c r="IZI162" s="679"/>
      <c r="IZJ162" s="679"/>
      <c r="IZK162" s="679"/>
      <c r="IZL162" s="679"/>
      <c r="IZM162" s="679"/>
      <c r="IZN162" s="679"/>
      <c r="IZO162" s="679"/>
      <c r="IZP162" s="679"/>
      <c r="IZQ162" s="679"/>
      <c r="IZR162" s="679"/>
      <c r="IZS162" s="679"/>
      <c r="IZT162" s="679"/>
      <c r="IZU162" s="679"/>
      <c r="IZV162" s="679"/>
      <c r="IZW162" s="679"/>
      <c r="IZX162" s="679"/>
      <c r="IZY162" s="679"/>
      <c r="IZZ162" s="679"/>
      <c r="JAA162" s="679"/>
      <c r="JAB162" s="679"/>
      <c r="JAC162" s="679"/>
      <c r="JAD162" s="679"/>
      <c r="JAE162" s="679"/>
      <c r="JAF162" s="679"/>
      <c r="JAG162" s="679"/>
      <c r="JAH162" s="679"/>
      <c r="JAI162" s="679"/>
      <c r="JAJ162" s="679"/>
      <c r="JAK162" s="679"/>
      <c r="JAL162" s="679"/>
      <c r="JAM162" s="679"/>
      <c r="JAN162" s="679"/>
      <c r="JAO162" s="679"/>
      <c r="JAP162" s="679"/>
      <c r="JAQ162" s="679"/>
      <c r="JAR162" s="679"/>
      <c r="JAS162" s="679"/>
      <c r="JAT162" s="679"/>
      <c r="JAU162" s="679"/>
      <c r="JAV162" s="679"/>
      <c r="JAW162" s="679"/>
      <c r="JAX162" s="679"/>
      <c r="JAY162" s="679"/>
      <c r="JAZ162" s="679"/>
      <c r="JBA162" s="679"/>
      <c r="JBB162" s="679"/>
      <c r="JBC162" s="679"/>
      <c r="JBD162" s="679"/>
      <c r="JBE162" s="679"/>
      <c r="JBF162" s="679"/>
      <c r="JBG162" s="679"/>
      <c r="JBH162" s="679"/>
      <c r="JBI162" s="679"/>
      <c r="JBJ162" s="679"/>
      <c r="JBK162" s="679"/>
      <c r="JBL162" s="679"/>
      <c r="JBM162" s="679"/>
      <c r="JBN162" s="679"/>
      <c r="JBO162" s="679"/>
      <c r="JBP162" s="679"/>
      <c r="JBQ162" s="679"/>
      <c r="JBR162" s="679"/>
      <c r="JBS162" s="679"/>
      <c r="JBT162" s="679"/>
      <c r="JBU162" s="679"/>
      <c r="JBV162" s="679"/>
      <c r="JBW162" s="679"/>
      <c r="JBX162" s="679"/>
      <c r="JBY162" s="679"/>
      <c r="JBZ162" s="679"/>
      <c r="JCA162" s="679"/>
      <c r="JCB162" s="679"/>
      <c r="JCC162" s="679"/>
      <c r="JCD162" s="679"/>
      <c r="JCE162" s="679"/>
      <c r="JCF162" s="679"/>
      <c r="JCG162" s="679"/>
      <c r="JCH162" s="679"/>
      <c r="JCI162" s="679"/>
      <c r="JCJ162" s="679"/>
      <c r="JCK162" s="679"/>
      <c r="JCL162" s="679"/>
      <c r="JCM162" s="679"/>
      <c r="JCN162" s="679"/>
      <c r="JCO162" s="679"/>
      <c r="JCP162" s="679"/>
      <c r="JCQ162" s="679"/>
      <c r="JCR162" s="679"/>
      <c r="JCS162" s="679"/>
      <c r="JCT162" s="679"/>
      <c r="JCU162" s="679"/>
      <c r="JCV162" s="679"/>
      <c r="JCW162" s="679"/>
      <c r="JCX162" s="679"/>
      <c r="JCY162" s="679"/>
      <c r="JCZ162" s="679"/>
      <c r="JDA162" s="679"/>
      <c r="JDB162" s="679"/>
      <c r="JDC162" s="679"/>
      <c r="JDD162" s="679"/>
      <c r="JDE162" s="679"/>
      <c r="JDF162" s="679"/>
      <c r="JDG162" s="679"/>
      <c r="JDH162" s="679"/>
      <c r="JDI162" s="679"/>
      <c r="JDJ162" s="679"/>
      <c r="JDK162" s="679"/>
      <c r="JDL162" s="679"/>
      <c r="JDM162" s="679"/>
      <c r="JDN162" s="679"/>
      <c r="JDO162" s="679"/>
      <c r="JDP162" s="679"/>
      <c r="JDQ162" s="679"/>
      <c r="JDR162" s="679"/>
      <c r="JDS162" s="679"/>
      <c r="JDT162" s="679"/>
      <c r="JDU162" s="679"/>
      <c r="JDV162" s="679"/>
      <c r="JDW162" s="679"/>
      <c r="JDX162" s="679"/>
      <c r="JDY162" s="679"/>
      <c r="JDZ162" s="679"/>
      <c r="JEA162" s="679"/>
      <c r="JEB162" s="679"/>
      <c r="JEC162" s="679"/>
      <c r="JED162" s="679"/>
      <c r="JEE162" s="679"/>
      <c r="JEF162" s="679"/>
      <c r="JEG162" s="679"/>
      <c r="JEH162" s="679"/>
      <c r="JEI162" s="679"/>
      <c r="JEJ162" s="679"/>
      <c r="JEK162" s="679"/>
      <c r="JEL162" s="679"/>
      <c r="JEM162" s="679"/>
      <c r="JEN162" s="679"/>
      <c r="JEO162" s="679"/>
      <c r="JEP162" s="679"/>
      <c r="JEQ162" s="679"/>
      <c r="JER162" s="679"/>
      <c r="JES162" s="679"/>
      <c r="JET162" s="679"/>
      <c r="JEU162" s="679"/>
      <c r="JEV162" s="679"/>
      <c r="JEW162" s="679"/>
      <c r="JEX162" s="679"/>
      <c r="JEY162" s="679"/>
      <c r="JEZ162" s="679"/>
      <c r="JFA162" s="679"/>
      <c r="JFB162" s="679"/>
      <c r="JFC162" s="679"/>
      <c r="JFD162" s="679"/>
      <c r="JFE162" s="679"/>
      <c r="JFF162" s="679"/>
      <c r="JFG162" s="679"/>
      <c r="JFH162" s="679"/>
      <c r="JFI162" s="679"/>
      <c r="JFJ162" s="679"/>
      <c r="JFK162" s="679"/>
      <c r="JFL162" s="679"/>
      <c r="JFM162" s="679"/>
      <c r="JFN162" s="679"/>
      <c r="JFO162" s="679"/>
      <c r="JFP162" s="679"/>
      <c r="JFQ162" s="679"/>
      <c r="JFR162" s="679"/>
      <c r="JFS162" s="679"/>
      <c r="JFT162" s="679"/>
      <c r="JFU162" s="679"/>
      <c r="JFV162" s="679"/>
      <c r="JFW162" s="679"/>
      <c r="JFX162" s="679"/>
      <c r="JFY162" s="679"/>
      <c r="JFZ162" s="679"/>
      <c r="JGA162" s="679"/>
      <c r="JGB162" s="679"/>
      <c r="JGC162" s="679"/>
      <c r="JGD162" s="679"/>
      <c r="JGE162" s="679"/>
      <c r="JGF162" s="679"/>
      <c r="JGG162" s="679"/>
      <c r="JGH162" s="679"/>
      <c r="JGI162" s="679"/>
      <c r="JGJ162" s="679"/>
      <c r="JGK162" s="679"/>
      <c r="JGL162" s="679"/>
      <c r="JGM162" s="679"/>
      <c r="JGN162" s="679"/>
      <c r="JGO162" s="679"/>
      <c r="JGP162" s="679"/>
      <c r="JGQ162" s="679"/>
      <c r="JGR162" s="679"/>
      <c r="JGS162" s="679"/>
      <c r="JGT162" s="679"/>
      <c r="JGU162" s="679"/>
      <c r="JGV162" s="679"/>
      <c r="JGW162" s="679"/>
      <c r="JGX162" s="679"/>
      <c r="JGY162" s="679"/>
      <c r="JGZ162" s="679"/>
      <c r="JHA162" s="679"/>
      <c r="JHB162" s="679"/>
      <c r="JHC162" s="679"/>
      <c r="JHD162" s="679"/>
      <c r="JHE162" s="679"/>
      <c r="JHF162" s="679"/>
      <c r="JHG162" s="679"/>
      <c r="JHH162" s="679"/>
      <c r="JHI162" s="679"/>
      <c r="JHJ162" s="679"/>
      <c r="JHK162" s="679"/>
      <c r="JHL162" s="679"/>
      <c r="JHM162" s="679"/>
      <c r="JHN162" s="679"/>
      <c r="JHO162" s="679"/>
      <c r="JHP162" s="679"/>
      <c r="JHQ162" s="679"/>
      <c r="JHR162" s="679"/>
      <c r="JHS162" s="679"/>
      <c r="JHT162" s="679"/>
      <c r="JHU162" s="679"/>
      <c r="JHV162" s="679"/>
      <c r="JHW162" s="679"/>
      <c r="JHX162" s="679"/>
      <c r="JHY162" s="679"/>
      <c r="JHZ162" s="679"/>
      <c r="JIA162" s="679"/>
      <c r="JIB162" s="679"/>
      <c r="JIC162" s="679"/>
      <c r="JID162" s="679"/>
      <c r="JIE162" s="679"/>
      <c r="JIF162" s="679"/>
      <c r="JIG162" s="679"/>
      <c r="JIH162" s="679"/>
      <c r="JII162" s="679"/>
      <c r="JIJ162" s="679"/>
      <c r="JIK162" s="679"/>
      <c r="JIL162" s="679"/>
      <c r="JIM162" s="679"/>
      <c r="JIN162" s="679"/>
      <c r="JIO162" s="679"/>
      <c r="JIP162" s="679"/>
      <c r="JIQ162" s="679"/>
      <c r="JIR162" s="679"/>
      <c r="JIS162" s="679"/>
      <c r="JIT162" s="679"/>
      <c r="JIU162" s="679"/>
      <c r="JIV162" s="679"/>
      <c r="JIW162" s="679"/>
      <c r="JIX162" s="679"/>
      <c r="JIY162" s="679"/>
      <c r="JIZ162" s="679"/>
      <c r="JJA162" s="679"/>
      <c r="JJB162" s="679"/>
      <c r="JJC162" s="679"/>
      <c r="JJD162" s="679"/>
      <c r="JJE162" s="679"/>
      <c r="JJF162" s="679"/>
      <c r="JJG162" s="679"/>
      <c r="JJH162" s="679"/>
      <c r="JJI162" s="679"/>
      <c r="JJJ162" s="679"/>
      <c r="JJK162" s="679"/>
      <c r="JJL162" s="679"/>
      <c r="JJM162" s="679"/>
      <c r="JJN162" s="679"/>
      <c r="JJO162" s="679"/>
      <c r="JJP162" s="679"/>
      <c r="JJQ162" s="679"/>
      <c r="JJR162" s="679"/>
      <c r="JJS162" s="679"/>
      <c r="JJT162" s="679"/>
      <c r="JJU162" s="679"/>
      <c r="JJV162" s="679"/>
      <c r="JJW162" s="679"/>
      <c r="JJX162" s="679"/>
      <c r="JJY162" s="679"/>
      <c r="JJZ162" s="679"/>
      <c r="JKA162" s="679"/>
      <c r="JKB162" s="679"/>
      <c r="JKC162" s="679"/>
      <c r="JKD162" s="679"/>
      <c r="JKE162" s="679"/>
      <c r="JKF162" s="679"/>
      <c r="JKG162" s="679"/>
      <c r="JKH162" s="679"/>
      <c r="JKI162" s="679"/>
      <c r="JKJ162" s="679"/>
      <c r="JKK162" s="679"/>
      <c r="JKL162" s="679"/>
      <c r="JKM162" s="679"/>
      <c r="JKN162" s="679"/>
      <c r="JKO162" s="679"/>
      <c r="JKP162" s="679"/>
      <c r="JKQ162" s="679"/>
      <c r="JKR162" s="679"/>
      <c r="JKS162" s="679"/>
      <c r="JKT162" s="679"/>
      <c r="JKU162" s="679"/>
      <c r="JKV162" s="679"/>
      <c r="JKW162" s="679"/>
      <c r="JKX162" s="679"/>
      <c r="JKY162" s="679"/>
      <c r="JKZ162" s="679"/>
      <c r="JLA162" s="679"/>
      <c r="JLB162" s="679"/>
      <c r="JLC162" s="679"/>
      <c r="JLD162" s="679"/>
      <c r="JLE162" s="679"/>
      <c r="JLF162" s="679"/>
      <c r="JLG162" s="679"/>
      <c r="JLH162" s="679"/>
      <c r="JLI162" s="679"/>
      <c r="JLJ162" s="679"/>
      <c r="JLK162" s="679"/>
      <c r="JLL162" s="679"/>
      <c r="JLM162" s="679"/>
      <c r="JLN162" s="679"/>
      <c r="JLO162" s="679"/>
      <c r="JLP162" s="679"/>
      <c r="JLQ162" s="679"/>
      <c r="JLR162" s="679"/>
      <c r="JLS162" s="679"/>
      <c r="JLT162" s="679"/>
      <c r="JLU162" s="679"/>
      <c r="JLV162" s="679"/>
      <c r="JLW162" s="679"/>
      <c r="JLX162" s="679"/>
      <c r="JLY162" s="679"/>
      <c r="JLZ162" s="679"/>
      <c r="JMA162" s="679"/>
      <c r="JMB162" s="679"/>
      <c r="JMC162" s="679"/>
      <c r="JMD162" s="679"/>
      <c r="JME162" s="679"/>
      <c r="JMF162" s="679"/>
      <c r="JMG162" s="679"/>
      <c r="JMH162" s="679"/>
      <c r="JMI162" s="679"/>
      <c r="JMJ162" s="679"/>
      <c r="JMK162" s="679"/>
      <c r="JML162" s="679"/>
      <c r="JMM162" s="679"/>
      <c r="JMN162" s="679"/>
      <c r="JMO162" s="679"/>
      <c r="JMP162" s="679"/>
      <c r="JMQ162" s="679"/>
      <c r="JMR162" s="679"/>
      <c r="JMS162" s="679"/>
      <c r="JMT162" s="679"/>
      <c r="JMU162" s="679"/>
      <c r="JMV162" s="679"/>
      <c r="JMW162" s="679"/>
      <c r="JMX162" s="679"/>
      <c r="JMY162" s="679"/>
      <c r="JMZ162" s="679"/>
      <c r="JNA162" s="679"/>
      <c r="JNB162" s="679"/>
      <c r="JNC162" s="679"/>
      <c r="JND162" s="679"/>
      <c r="JNE162" s="679"/>
      <c r="JNF162" s="679"/>
      <c r="JNG162" s="679"/>
      <c r="JNH162" s="679"/>
      <c r="JNI162" s="679"/>
      <c r="JNJ162" s="679"/>
      <c r="JNK162" s="679"/>
      <c r="JNL162" s="679"/>
      <c r="JNM162" s="679"/>
      <c r="JNN162" s="679"/>
      <c r="JNO162" s="679"/>
      <c r="JNP162" s="679"/>
      <c r="JNQ162" s="679"/>
      <c r="JNR162" s="679"/>
      <c r="JNS162" s="679"/>
      <c r="JNT162" s="679"/>
      <c r="JNU162" s="679"/>
      <c r="JNV162" s="679"/>
      <c r="JNW162" s="679"/>
      <c r="JNX162" s="679"/>
      <c r="JNY162" s="679"/>
      <c r="JNZ162" s="679"/>
      <c r="JOA162" s="679"/>
      <c r="JOB162" s="679"/>
      <c r="JOC162" s="679"/>
      <c r="JOD162" s="679"/>
      <c r="JOE162" s="679"/>
      <c r="JOF162" s="679"/>
      <c r="JOG162" s="679"/>
      <c r="JOH162" s="679"/>
      <c r="JOI162" s="679"/>
      <c r="JOJ162" s="679"/>
      <c r="JOK162" s="679"/>
      <c r="JOL162" s="679"/>
      <c r="JOM162" s="679"/>
      <c r="JON162" s="679"/>
      <c r="JOO162" s="679"/>
      <c r="JOP162" s="679"/>
      <c r="JOQ162" s="679"/>
      <c r="JOR162" s="679"/>
      <c r="JOS162" s="679"/>
      <c r="JOT162" s="679"/>
      <c r="JOU162" s="679"/>
      <c r="JOV162" s="679"/>
      <c r="JOW162" s="679"/>
      <c r="JOX162" s="679"/>
      <c r="JOY162" s="679"/>
      <c r="JOZ162" s="679"/>
      <c r="JPA162" s="679"/>
      <c r="JPB162" s="679"/>
      <c r="JPC162" s="679"/>
      <c r="JPD162" s="679"/>
      <c r="JPE162" s="679"/>
      <c r="JPF162" s="679"/>
      <c r="JPG162" s="679"/>
      <c r="JPH162" s="679"/>
      <c r="JPI162" s="679"/>
      <c r="JPJ162" s="679"/>
      <c r="JPK162" s="679"/>
      <c r="JPL162" s="679"/>
      <c r="JPM162" s="679"/>
      <c r="JPN162" s="679"/>
      <c r="JPO162" s="679"/>
      <c r="JPP162" s="679"/>
      <c r="JPQ162" s="679"/>
      <c r="JPR162" s="679"/>
      <c r="JPS162" s="679"/>
      <c r="JPT162" s="679"/>
      <c r="JPU162" s="679"/>
      <c r="JPV162" s="679"/>
      <c r="JPW162" s="679"/>
      <c r="JPX162" s="679"/>
      <c r="JPY162" s="679"/>
      <c r="JPZ162" s="679"/>
      <c r="JQA162" s="679"/>
      <c r="JQB162" s="679"/>
      <c r="JQC162" s="679"/>
      <c r="JQD162" s="679"/>
      <c r="JQE162" s="679"/>
      <c r="JQF162" s="679"/>
      <c r="JQG162" s="679"/>
      <c r="JQH162" s="679"/>
      <c r="JQI162" s="679"/>
      <c r="JQJ162" s="679"/>
      <c r="JQK162" s="679"/>
      <c r="JQL162" s="679"/>
      <c r="JQM162" s="679"/>
      <c r="JQN162" s="679"/>
      <c r="JQO162" s="679"/>
      <c r="JQP162" s="679"/>
      <c r="JQQ162" s="679"/>
      <c r="JQR162" s="679"/>
      <c r="JQS162" s="679"/>
      <c r="JQT162" s="679"/>
      <c r="JQU162" s="679"/>
      <c r="JQV162" s="679"/>
      <c r="JQW162" s="679"/>
      <c r="JQX162" s="679"/>
      <c r="JQY162" s="679"/>
      <c r="JQZ162" s="679"/>
      <c r="JRA162" s="679"/>
      <c r="JRB162" s="679"/>
      <c r="JRC162" s="679"/>
      <c r="JRD162" s="679"/>
      <c r="JRE162" s="679"/>
      <c r="JRF162" s="679"/>
      <c r="JRG162" s="679"/>
      <c r="JRH162" s="679"/>
      <c r="JRI162" s="679"/>
      <c r="JRJ162" s="679"/>
      <c r="JRK162" s="679"/>
      <c r="JRL162" s="679"/>
      <c r="JRM162" s="679"/>
      <c r="JRN162" s="679"/>
      <c r="JRO162" s="679"/>
      <c r="JRP162" s="679"/>
      <c r="JRQ162" s="679"/>
      <c r="JRR162" s="679"/>
      <c r="JRS162" s="679"/>
      <c r="JRT162" s="679"/>
      <c r="JRU162" s="679"/>
      <c r="JRV162" s="679"/>
      <c r="JRW162" s="679"/>
      <c r="JRX162" s="679"/>
      <c r="JRY162" s="679"/>
      <c r="JRZ162" s="679"/>
      <c r="JSA162" s="679"/>
      <c r="JSB162" s="679"/>
      <c r="JSC162" s="679"/>
      <c r="JSD162" s="679"/>
      <c r="JSE162" s="679"/>
      <c r="JSF162" s="679"/>
      <c r="JSG162" s="679"/>
      <c r="JSH162" s="679"/>
      <c r="JSI162" s="679"/>
      <c r="JSJ162" s="679"/>
      <c r="JSK162" s="679"/>
      <c r="JSL162" s="679"/>
      <c r="JSM162" s="679"/>
      <c r="JSN162" s="679"/>
      <c r="JSO162" s="679"/>
      <c r="JSP162" s="679"/>
      <c r="JSQ162" s="679"/>
      <c r="JSR162" s="679"/>
      <c r="JSS162" s="679"/>
      <c r="JST162" s="679"/>
      <c r="JSU162" s="679"/>
      <c r="JSV162" s="679"/>
      <c r="JSW162" s="679"/>
      <c r="JSX162" s="679"/>
      <c r="JSY162" s="679"/>
      <c r="JSZ162" s="679"/>
      <c r="JTA162" s="679"/>
      <c r="JTB162" s="679"/>
      <c r="JTC162" s="679"/>
      <c r="JTD162" s="679"/>
      <c r="JTE162" s="679"/>
      <c r="JTF162" s="679"/>
      <c r="JTG162" s="679"/>
      <c r="JTH162" s="679"/>
      <c r="JTI162" s="679"/>
      <c r="JTJ162" s="679"/>
      <c r="JTK162" s="679"/>
      <c r="JTL162" s="679"/>
      <c r="JTM162" s="679"/>
      <c r="JTN162" s="679"/>
      <c r="JTO162" s="679"/>
      <c r="JTP162" s="679"/>
      <c r="JTQ162" s="679"/>
      <c r="JTR162" s="679"/>
      <c r="JTS162" s="679"/>
      <c r="JTT162" s="679"/>
      <c r="JTU162" s="679"/>
      <c r="JTV162" s="679"/>
      <c r="JTW162" s="679"/>
      <c r="JTX162" s="679"/>
      <c r="JTY162" s="679"/>
      <c r="JTZ162" s="679"/>
      <c r="JUA162" s="679"/>
      <c r="JUB162" s="679"/>
      <c r="JUC162" s="679"/>
      <c r="JUD162" s="679"/>
      <c r="JUE162" s="679"/>
      <c r="JUF162" s="679"/>
      <c r="JUG162" s="679"/>
      <c r="JUH162" s="679"/>
      <c r="JUI162" s="679"/>
      <c r="JUJ162" s="679"/>
      <c r="JUK162" s="679"/>
      <c r="JUL162" s="679"/>
      <c r="JUM162" s="679"/>
      <c r="JUN162" s="679"/>
      <c r="JUO162" s="679"/>
      <c r="JUP162" s="679"/>
      <c r="JUQ162" s="679"/>
      <c r="JUR162" s="679"/>
      <c r="JUS162" s="679"/>
      <c r="JUT162" s="679"/>
      <c r="JUU162" s="679"/>
      <c r="JUV162" s="679"/>
      <c r="JUW162" s="679"/>
      <c r="JUX162" s="679"/>
      <c r="JUY162" s="679"/>
      <c r="JUZ162" s="679"/>
      <c r="JVA162" s="679"/>
      <c r="JVB162" s="679"/>
      <c r="JVC162" s="679"/>
      <c r="JVD162" s="679"/>
      <c r="JVE162" s="679"/>
      <c r="JVF162" s="679"/>
      <c r="JVG162" s="679"/>
      <c r="JVH162" s="679"/>
      <c r="JVI162" s="679"/>
      <c r="JVJ162" s="679"/>
      <c r="JVK162" s="679"/>
      <c r="JVL162" s="679"/>
      <c r="JVM162" s="679"/>
      <c r="JVN162" s="679"/>
      <c r="JVO162" s="679"/>
      <c r="JVP162" s="679"/>
      <c r="JVQ162" s="679"/>
      <c r="JVR162" s="679"/>
      <c r="JVS162" s="679"/>
      <c r="JVT162" s="679"/>
      <c r="JVU162" s="679"/>
      <c r="JVV162" s="679"/>
      <c r="JVW162" s="679"/>
      <c r="JVX162" s="679"/>
      <c r="JVY162" s="679"/>
      <c r="JVZ162" s="679"/>
      <c r="JWA162" s="679"/>
      <c r="JWB162" s="679"/>
      <c r="JWC162" s="679"/>
      <c r="JWD162" s="679"/>
      <c r="JWE162" s="679"/>
      <c r="JWF162" s="679"/>
      <c r="JWG162" s="679"/>
      <c r="JWH162" s="679"/>
      <c r="JWI162" s="679"/>
      <c r="JWJ162" s="679"/>
      <c r="JWK162" s="679"/>
      <c r="JWL162" s="679"/>
      <c r="JWM162" s="679"/>
      <c r="JWN162" s="679"/>
      <c r="JWO162" s="679"/>
      <c r="JWP162" s="679"/>
      <c r="JWQ162" s="679"/>
      <c r="JWR162" s="679"/>
      <c r="JWS162" s="679"/>
      <c r="JWT162" s="679"/>
      <c r="JWU162" s="679"/>
      <c r="JWV162" s="679"/>
      <c r="JWW162" s="679"/>
      <c r="JWX162" s="679"/>
      <c r="JWY162" s="679"/>
      <c r="JWZ162" s="679"/>
      <c r="JXA162" s="679"/>
      <c r="JXB162" s="679"/>
      <c r="JXC162" s="679"/>
      <c r="JXD162" s="679"/>
      <c r="JXE162" s="679"/>
      <c r="JXF162" s="679"/>
      <c r="JXG162" s="679"/>
      <c r="JXH162" s="679"/>
      <c r="JXI162" s="679"/>
      <c r="JXJ162" s="679"/>
      <c r="JXK162" s="679"/>
      <c r="JXL162" s="679"/>
      <c r="JXM162" s="679"/>
      <c r="JXN162" s="679"/>
      <c r="JXO162" s="679"/>
      <c r="JXP162" s="679"/>
      <c r="JXQ162" s="679"/>
      <c r="JXR162" s="679"/>
      <c r="JXS162" s="679"/>
      <c r="JXT162" s="679"/>
      <c r="JXU162" s="679"/>
      <c r="JXV162" s="679"/>
      <c r="JXW162" s="679"/>
      <c r="JXX162" s="679"/>
      <c r="JXY162" s="679"/>
      <c r="JXZ162" s="679"/>
      <c r="JYA162" s="679"/>
      <c r="JYB162" s="679"/>
      <c r="JYC162" s="679"/>
      <c r="JYD162" s="679"/>
      <c r="JYE162" s="679"/>
      <c r="JYF162" s="679"/>
      <c r="JYG162" s="679"/>
      <c r="JYH162" s="679"/>
      <c r="JYI162" s="679"/>
      <c r="JYJ162" s="679"/>
      <c r="JYK162" s="679"/>
      <c r="JYL162" s="679"/>
      <c r="JYM162" s="679"/>
      <c r="JYN162" s="679"/>
      <c r="JYO162" s="679"/>
      <c r="JYP162" s="679"/>
      <c r="JYQ162" s="679"/>
      <c r="JYR162" s="679"/>
      <c r="JYS162" s="679"/>
      <c r="JYT162" s="679"/>
      <c r="JYU162" s="679"/>
      <c r="JYV162" s="679"/>
      <c r="JYW162" s="679"/>
      <c r="JYX162" s="679"/>
      <c r="JYY162" s="679"/>
      <c r="JYZ162" s="679"/>
      <c r="JZA162" s="679"/>
      <c r="JZB162" s="679"/>
      <c r="JZC162" s="679"/>
      <c r="JZD162" s="679"/>
      <c r="JZE162" s="679"/>
      <c r="JZF162" s="679"/>
      <c r="JZG162" s="679"/>
      <c r="JZH162" s="679"/>
      <c r="JZI162" s="679"/>
      <c r="JZJ162" s="679"/>
      <c r="JZK162" s="679"/>
      <c r="JZL162" s="679"/>
      <c r="JZM162" s="679"/>
      <c r="JZN162" s="679"/>
      <c r="JZO162" s="679"/>
      <c r="JZP162" s="679"/>
      <c r="JZQ162" s="679"/>
      <c r="JZR162" s="679"/>
      <c r="JZS162" s="679"/>
      <c r="JZT162" s="679"/>
      <c r="JZU162" s="679"/>
      <c r="JZV162" s="679"/>
      <c r="JZW162" s="679"/>
      <c r="JZX162" s="679"/>
      <c r="JZY162" s="679"/>
      <c r="JZZ162" s="679"/>
      <c r="KAA162" s="679"/>
      <c r="KAB162" s="679"/>
      <c r="KAC162" s="679"/>
      <c r="KAD162" s="679"/>
      <c r="KAE162" s="679"/>
      <c r="KAF162" s="679"/>
      <c r="KAG162" s="679"/>
      <c r="KAH162" s="679"/>
      <c r="KAI162" s="679"/>
      <c r="KAJ162" s="679"/>
      <c r="KAK162" s="679"/>
      <c r="KAL162" s="679"/>
      <c r="KAM162" s="679"/>
      <c r="KAN162" s="679"/>
      <c r="KAO162" s="679"/>
      <c r="KAP162" s="679"/>
      <c r="KAQ162" s="679"/>
      <c r="KAR162" s="679"/>
      <c r="KAS162" s="679"/>
      <c r="KAT162" s="679"/>
      <c r="KAU162" s="679"/>
      <c r="KAV162" s="679"/>
      <c r="KAW162" s="679"/>
      <c r="KAX162" s="679"/>
      <c r="KAY162" s="679"/>
      <c r="KAZ162" s="679"/>
      <c r="KBA162" s="679"/>
      <c r="KBB162" s="679"/>
      <c r="KBC162" s="679"/>
      <c r="KBD162" s="679"/>
      <c r="KBE162" s="679"/>
      <c r="KBF162" s="679"/>
      <c r="KBG162" s="679"/>
      <c r="KBH162" s="679"/>
      <c r="KBI162" s="679"/>
      <c r="KBJ162" s="679"/>
      <c r="KBK162" s="679"/>
      <c r="KBL162" s="679"/>
      <c r="KBM162" s="679"/>
      <c r="KBN162" s="679"/>
      <c r="KBO162" s="679"/>
      <c r="KBP162" s="679"/>
      <c r="KBQ162" s="679"/>
      <c r="KBR162" s="679"/>
      <c r="KBS162" s="679"/>
      <c r="KBT162" s="679"/>
      <c r="KBU162" s="679"/>
      <c r="KBV162" s="679"/>
      <c r="KBW162" s="679"/>
      <c r="KBX162" s="679"/>
      <c r="KBY162" s="679"/>
      <c r="KBZ162" s="679"/>
      <c r="KCA162" s="679"/>
      <c r="KCB162" s="679"/>
      <c r="KCC162" s="679"/>
      <c r="KCD162" s="679"/>
      <c r="KCE162" s="679"/>
      <c r="KCF162" s="679"/>
      <c r="KCG162" s="679"/>
      <c r="KCH162" s="679"/>
      <c r="KCI162" s="679"/>
      <c r="KCJ162" s="679"/>
      <c r="KCK162" s="679"/>
      <c r="KCL162" s="679"/>
      <c r="KCM162" s="679"/>
      <c r="KCN162" s="679"/>
      <c r="KCO162" s="679"/>
      <c r="KCP162" s="679"/>
      <c r="KCQ162" s="679"/>
      <c r="KCR162" s="679"/>
      <c r="KCS162" s="679"/>
      <c r="KCT162" s="679"/>
      <c r="KCU162" s="679"/>
      <c r="KCV162" s="679"/>
      <c r="KCW162" s="679"/>
      <c r="KCX162" s="679"/>
      <c r="KCY162" s="679"/>
      <c r="KCZ162" s="679"/>
      <c r="KDA162" s="679"/>
      <c r="KDB162" s="679"/>
      <c r="KDC162" s="679"/>
      <c r="KDD162" s="679"/>
      <c r="KDE162" s="679"/>
      <c r="KDF162" s="679"/>
      <c r="KDG162" s="679"/>
      <c r="KDH162" s="679"/>
      <c r="KDI162" s="679"/>
      <c r="KDJ162" s="679"/>
      <c r="KDK162" s="679"/>
      <c r="KDL162" s="679"/>
      <c r="KDM162" s="679"/>
      <c r="KDN162" s="679"/>
      <c r="KDO162" s="679"/>
      <c r="KDP162" s="679"/>
      <c r="KDQ162" s="679"/>
      <c r="KDR162" s="679"/>
      <c r="KDS162" s="679"/>
      <c r="KDT162" s="679"/>
      <c r="KDU162" s="679"/>
      <c r="KDV162" s="679"/>
      <c r="KDW162" s="679"/>
      <c r="KDX162" s="679"/>
      <c r="KDY162" s="679"/>
      <c r="KDZ162" s="679"/>
      <c r="KEA162" s="679"/>
      <c r="KEB162" s="679"/>
      <c r="KEC162" s="679"/>
      <c r="KED162" s="679"/>
      <c r="KEE162" s="679"/>
      <c r="KEF162" s="679"/>
      <c r="KEG162" s="679"/>
      <c r="KEH162" s="679"/>
      <c r="KEI162" s="679"/>
      <c r="KEJ162" s="679"/>
      <c r="KEK162" s="679"/>
      <c r="KEL162" s="679"/>
      <c r="KEM162" s="679"/>
      <c r="KEN162" s="679"/>
      <c r="KEO162" s="679"/>
      <c r="KEP162" s="679"/>
      <c r="KEQ162" s="679"/>
      <c r="KER162" s="679"/>
      <c r="KES162" s="679"/>
      <c r="KET162" s="679"/>
      <c r="KEU162" s="679"/>
      <c r="KEV162" s="679"/>
      <c r="KEW162" s="679"/>
      <c r="KEX162" s="679"/>
      <c r="KEY162" s="679"/>
      <c r="KEZ162" s="679"/>
      <c r="KFA162" s="679"/>
      <c r="KFB162" s="679"/>
      <c r="KFC162" s="679"/>
      <c r="KFD162" s="679"/>
      <c r="KFE162" s="679"/>
      <c r="KFF162" s="679"/>
      <c r="KFG162" s="679"/>
      <c r="KFH162" s="679"/>
      <c r="KFI162" s="679"/>
      <c r="KFJ162" s="679"/>
      <c r="KFK162" s="679"/>
      <c r="KFL162" s="679"/>
      <c r="KFM162" s="679"/>
      <c r="KFN162" s="679"/>
      <c r="KFO162" s="679"/>
      <c r="KFP162" s="679"/>
      <c r="KFQ162" s="679"/>
      <c r="KFR162" s="679"/>
      <c r="KFS162" s="679"/>
      <c r="KFT162" s="679"/>
      <c r="KFU162" s="679"/>
      <c r="KFV162" s="679"/>
      <c r="KFW162" s="679"/>
      <c r="KFX162" s="679"/>
      <c r="KFY162" s="679"/>
      <c r="KFZ162" s="679"/>
      <c r="KGA162" s="679"/>
      <c r="KGB162" s="679"/>
      <c r="KGC162" s="679"/>
      <c r="KGD162" s="679"/>
      <c r="KGE162" s="679"/>
      <c r="KGF162" s="679"/>
      <c r="KGG162" s="679"/>
      <c r="KGH162" s="679"/>
      <c r="KGI162" s="679"/>
      <c r="KGJ162" s="679"/>
      <c r="KGK162" s="679"/>
      <c r="KGL162" s="679"/>
      <c r="KGM162" s="679"/>
      <c r="KGN162" s="679"/>
      <c r="KGO162" s="679"/>
      <c r="KGP162" s="679"/>
      <c r="KGQ162" s="679"/>
      <c r="KGR162" s="679"/>
      <c r="KGS162" s="679"/>
      <c r="KGT162" s="679"/>
      <c r="KGU162" s="679"/>
      <c r="KGV162" s="679"/>
      <c r="KGW162" s="679"/>
      <c r="KGX162" s="679"/>
      <c r="KGY162" s="679"/>
      <c r="KGZ162" s="679"/>
      <c r="KHA162" s="679"/>
      <c r="KHB162" s="679"/>
      <c r="KHC162" s="679"/>
      <c r="KHD162" s="679"/>
      <c r="KHE162" s="679"/>
      <c r="KHF162" s="679"/>
      <c r="KHG162" s="679"/>
      <c r="KHH162" s="679"/>
      <c r="KHI162" s="679"/>
      <c r="KHJ162" s="679"/>
      <c r="KHK162" s="679"/>
      <c r="KHL162" s="679"/>
      <c r="KHM162" s="679"/>
      <c r="KHN162" s="679"/>
      <c r="KHO162" s="679"/>
      <c r="KHP162" s="679"/>
      <c r="KHQ162" s="679"/>
      <c r="KHR162" s="679"/>
      <c r="KHS162" s="679"/>
      <c r="KHT162" s="679"/>
      <c r="KHU162" s="679"/>
      <c r="KHV162" s="679"/>
      <c r="KHW162" s="679"/>
      <c r="KHX162" s="679"/>
      <c r="KHY162" s="679"/>
      <c r="KHZ162" s="679"/>
      <c r="KIA162" s="679"/>
      <c r="KIB162" s="679"/>
      <c r="KIC162" s="679"/>
      <c r="KID162" s="679"/>
      <c r="KIE162" s="679"/>
      <c r="KIF162" s="679"/>
      <c r="KIG162" s="679"/>
      <c r="KIH162" s="679"/>
      <c r="KII162" s="679"/>
      <c r="KIJ162" s="679"/>
      <c r="KIK162" s="679"/>
      <c r="KIL162" s="679"/>
      <c r="KIM162" s="679"/>
      <c r="KIN162" s="679"/>
      <c r="KIO162" s="679"/>
      <c r="KIP162" s="679"/>
      <c r="KIQ162" s="679"/>
      <c r="KIR162" s="679"/>
      <c r="KIS162" s="679"/>
      <c r="KIT162" s="679"/>
      <c r="KIU162" s="679"/>
      <c r="KIV162" s="679"/>
      <c r="KIW162" s="679"/>
      <c r="KIX162" s="679"/>
      <c r="KIY162" s="679"/>
      <c r="KIZ162" s="679"/>
      <c r="KJA162" s="679"/>
      <c r="KJB162" s="679"/>
      <c r="KJC162" s="679"/>
      <c r="KJD162" s="679"/>
      <c r="KJE162" s="679"/>
      <c r="KJF162" s="679"/>
      <c r="KJG162" s="679"/>
      <c r="KJH162" s="679"/>
      <c r="KJI162" s="679"/>
      <c r="KJJ162" s="679"/>
      <c r="KJK162" s="679"/>
      <c r="KJL162" s="679"/>
      <c r="KJM162" s="679"/>
      <c r="KJN162" s="679"/>
      <c r="KJO162" s="679"/>
      <c r="KJP162" s="679"/>
      <c r="KJQ162" s="679"/>
      <c r="KJR162" s="679"/>
      <c r="KJS162" s="679"/>
      <c r="KJT162" s="679"/>
      <c r="KJU162" s="679"/>
      <c r="KJV162" s="679"/>
      <c r="KJW162" s="679"/>
      <c r="KJX162" s="679"/>
      <c r="KJY162" s="679"/>
      <c r="KJZ162" s="679"/>
      <c r="KKA162" s="679"/>
      <c r="KKB162" s="679"/>
      <c r="KKC162" s="679"/>
      <c r="KKD162" s="679"/>
      <c r="KKE162" s="679"/>
      <c r="KKF162" s="679"/>
      <c r="KKG162" s="679"/>
      <c r="KKH162" s="679"/>
      <c r="KKI162" s="679"/>
      <c r="KKJ162" s="679"/>
      <c r="KKK162" s="679"/>
      <c r="KKL162" s="679"/>
      <c r="KKM162" s="679"/>
      <c r="KKN162" s="679"/>
      <c r="KKO162" s="679"/>
      <c r="KKP162" s="679"/>
      <c r="KKQ162" s="679"/>
      <c r="KKR162" s="679"/>
      <c r="KKS162" s="679"/>
      <c r="KKT162" s="679"/>
      <c r="KKU162" s="679"/>
      <c r="KKV162" s="679"/>
      <c r="KKW162" s="679"/>
      <c r="KKX162" s="679"/>
      <c r="KKY162" s="679"/>
      <c r="KKZ162" s="679"/>
      <c r="KLA162" s="679"/>
      <c r="KLB162" s="679"/>
      <c r="KLC162" s="679"/>
      <c r="KLD162" s="679"/>
      <c r="KLE162" s="679"/>
      <c r="KLF162" s="679"/>
      <c r="KLG162" s="679"/>
      <c r="KLH162" s="679"/>
      <c r="KLI162" s="679"/>
      <c r="KLJ162" s="679"/>
      <c r="KLK162" s="679"/>
      <c r="KLL162" s="679"/>
      <c r="KLM162" s="679"/>
      <c r="KLN162" s="679"/>
      <c r="KLO162" s="679"/>
      <c r="KLP162" s="679"/>
      <c r="KLQ162" s="679"/>
      <c r="KLR162" s="679"/>
      <c r="KLS162" s="679"/>
      <c r="KLT162" s="679"/>
      <c r="KLU162" s="679"/>
      <c r="KLV162" s="679"/>
      <c r="KLW162" s="679"/>
      <c r="KLX162" s="679"/>
      <c r="KLY162" s="679"/>
      <c r="KLZ162" s="679"/>
      <c r="KMA162" s="679"/>
      <c r="KMB162" s="679"/>
      <c r="KMC162" s="679"/>
      <c r="KMD162" s="679"/>
      <c r="KME162" s="679"/>
      <c r="KMF162" s="679"/>
      <c r="KMG162" s="679"/>
      <c r="KMH162" s="679"/>
      <c r="KMI162" s="679"/>
      <c r="KMJ162" s="679"/>
      <c r="KMK162" s="679"/>
      <c r="KML162" s="679"/>
      <c r="KMM162" s="679"/>
      <c r="KMN162" s="679"/>
      <c r="KMO162" s="679"/>
      <c r="KMP162" s="679"/>
      <c r="KMQ162" s="679"/>
      <c r="KMR162" s="679"/>
      <c r="KMS162" s="679"/>
      <c r="KMT162" s="679"/>
      <c r="KMU162" s="679"/>
      <c r="KMV162" s="679"/>
      <c r="KMW162" s="679"/>
      <c r="KMX162" s="679"/>
      <c r="KMY162" s="679"/>
      <c r="KMZ162" s="679"/>
      <c r="KNA162" s="679"/>
      <c r="KNB162" s="679"/>
      <c r="KNC162" s="679"/>
      <c r="KND162" s="679"/>
      <c r="KNE162" s="679"/>
      <c r="KNF162" s="679"/>
      <c r="KNG162" s="679"/>
      <c r="KNH162" s="679"/>
      <c r="KNI162" s="679"/>
      <c r="KNJ162" s="679"/>
      <c r="KNK162" s="679"/>
      <c r="KNL162" s="679"/>
      <c r="KNM162" s="679"/>
      <c r="KNN162" s="679"/>
      <c r="KNO162" s="679"/>
      <c r="KNP162" s="679"/>
      <c r="KNQ162" s="679"/>
      <c r="KNR162" s="679"/>
      <c r="KNS162" s="679"/>
      <c r="KNT162" s="679"/>
      <c r="KNU162" s="679"/>
      <c r="KNV162" s="679"/>
      <c r="KNW162" s="679"/>
      <c r="KNX162" s="679"/>
      <c r="KNY162" s="679"/>
      <c r="KNZ162" s="679"/>
      <c r="KOA162" s="679"/>
      <c r="KOB162" s="679"/>
      <c r="KOC162" s="679"/>
      <c r="KOD162" s="679"/>
      <c r="KOE162" s="679"/>
      <c r="KOF162" s="679"/>
      <c r="KOG162" s="679"/>
      <c r="KOH162" s="679"/>
      <c r="KOI162" s="679"/>
      <c r="KOJ162" s="679"/>
      <c r="KOK162" s="679"/>
      <c r="KOL162" s="679"/>
      <c r="KOM162" s="679"/>
      <c r="KON162" s="679"/>
      <c r="KOO162" s="679"/>
      <c r="KOP162" s="679"/>
      <c r="KOQ162" s="679"/>
      <c r="KOR162" s="679"/>
      <c r="KOS162" s="679"/>
      <c r="KOT162" s="679"/>
      <c r="KOU162" s="679"/>
      <c r="KOV162" s="679"/>
      <c r="KOW162" s="679"/>
      <c r="KOX162" s="679"/>
      <c r="KOY162" s="679"/>
      <c r="KOZ162" s="679"/>
      <c r="KPA162" s="679"/>
      <c r="KPB162" s="679"/>
      <c r="KPC162" s="679"/>
      <c r="KPD162" s="679"/>
      <c r="KPE162" s="679"/>
      <c r="KPF162" s="679"/>
      <c r="KPG162" s="679"/>
      <c r="KPH162" s="679"/>
      <c r="KPI162" s="679"/>
      <c r="KPJ162" s="679"/>
      <c r="KPK162" s="679"/>
      <c r="KPL162" s="679"/>
      <c r="KPM162" s="679"/>
      <c r="KPN162" s="679"/>
      <c r="KPO162" s="679"/>
      <c r="KPP162" s="679"/>
      <c r="KPQ162" s="679"/>
      <c r="KPR162" s="679"/>
      <c r="KPS162" s="679"/>
      <c r="KPT162" s="679"/>
      <c r="KPU162" s="679"/>
      <c r="KPV162" s="679"/>
      <c r="KPW162" s="679"/>
      <c r="KPX162" s="679"/>
      <c r="KPY162" s="679"/>
      <c r="KPZ162" s="679"/>
      <c r="KQA162" s="679"/>
      <c r="KQB162" s="679"/>
      <c r="KQC162" s="679"/>
      <c r="KQD162" s="679"/>
      <c r="KQE162" s="679"/>
      <c r="KQF162" s="679"/>
      <c r="KQG162" s="679"/>
      <c r="KQH162" s="679"/>
      <c r="KQI162" s="679"/>
      <c r="KQJ162" s="679"/>
      <c r="KQK162" s="679"/>
      <c r="KQL162" s="679"/>
      <c r="KQM162" s="679"/>
      <c r="KQN162" s="679"/>
      <c r="KQO162" s="679"/>
      <c r="KQP162" s="679"/>
      <c r="KQQ162" s="679"/>
      <c r="KQR162" s="679"/>
      <c r="KQS162" s="679"/>
      <c r="KQT162" s="679"/>
      <c r="KQU162" s="679"/>
      <c r="KQV162" s="679"/>
      <c r="KQW162" s="679"/>
      <c r="KQX162" s="679"/>
      <c r="KQY162" s="679"/>
      <c r="KQZ162" s="679"/>
      <c r="KRA162" s="679"/>
      <c r="KRB162" s="679"/>
      <c r="KRC162" s="679"/>
      <c r="KRD162" s="679"/>
      <c r="KRE162" s="679"/>
      <c r="KRF162" s="679"/>
      <c r="KRG162" s="679"/>
      <c r="KRH162" s="679"/>
      <c r="KRI162" s="679"/>
      <c r="KRJ162" s="679"/>
      <c r="KRK162" s="679"/>
      <c r="KRL162" s="679"/>
      <c r="KRM162" s="679"/>
      <c r="KRN162" s="679"/>
      <c r="KRO162" s="679"/>
      <c r="KRP162" s="679"/>
      <c r="KRQ162" s="679"/>
      <c r="KRR162" s="679"/>
      <c r="KRS162" s="679"/>
      <c r="KRT162" s="679"/>
      <c r="KRU162" s="679"/>
      <c r="KRV162" s="679"/>
      <c r="KRW162" s="679"/>
      <c r="KRX162" s="679"/>
      <c r="KRY162" s="679"/>
      <c r="KRZ162" s="679"/>
      <c r="KSA162" s="679"/>
      <c r="KSB162" s="679"/>
      <c r="KSC162" s="679"/>
      <c r="KSD162" s="679"/>
      <c r="KSE162" s="679"/>
      <c r="KSF162" s="679"/>
      <c r="KSG162" s="679"/>
      <c r="KSH162" s="679"/>
      <c r="KSI162" s="679"/>
      <c r="KSJ162" s="679"/>
      <c r="KSK162" s="679"/>
      <c r="KSL162" s="679"/>
      <c r="KSM162" s="679"/>
      <c r="KSN162" s="679"/>
      <c r="KSO162" s="679"/>
      <c r="KSP162" s="679"/>
      <c r="KSQ162" s="679"/>
      <c r="KSR162" s="679"/>
      <c r="KSS162" s="679"/>
      <c r="KST162" s="679"/>
      <c r="KSU162" s="679"/>
      <c r="KSV162" s="679"/>
      <c r="KSW162" s="679"/>
      <c r="KSX162" s="679"/>
      <c r="KSY162" s="679"/>
      <c r="KSZ162" s="679"/>
      <c r="KTA162" s="679"/>
      <c r="KTB162" s="679"/>
      <c r="KTC162" s="679"/>
      <c r="KTD162" s="679"/>
      <c r="KTE162" s="679"/>
      <c r="KTF162" s="679"/>
      <c r="KTG162" s="679"/>
      <c r="KTH162" s="679"/>
      <c r="KTI162" s="679"/>
      <c r="KTJ162" s="679"/>
      <c r="KTK162" s="679"/>
      <c r="KTL162" s="679"/>
      <c r="KTM162" s="679"/>
      <c r="KTN162" s="679"/>
      <c r="KTO162" s="679"/>
      <c r="KTP162" s="679"/>
      <c r="KTQ162" s="679"/>
      <c r="KTR162" s="679"/>
      <c r="KTS162" s="679"/>
      <c r="KTT162" s="679"/>
      <c r="KTU162" s="679"/>
      <c r="KTV162" s="679"/>
      <c r="KTW162" s="679"/>
      <c r="KTX162" s="679"/>
      <c r="KTY162" s="679"/>
      <c r="KTZ162" s="679"/>
      <c r="KUA162" s="679"/>
      <c r="KUB162" s="679"/>
      <c r="KUC162" s="679"/>
      <c r="KUD162" s="679"/>
      <c r="KUE162" s="679"/>
      <c r="KUF162" s="679"/>
      <c r="KUG162" s="679"/>
      <c r="KUH162" s="679"/>
      <c r="KUI162" s="679"/>
      <c r="KUJ162" s="679"/>
      <c r="KUK162" s="679"/>
      <c r="KUL162" s="679"/>
      <c r="KUM162" s="679"/>
      <c r="KUN162" s="679"/>
      <c r="KUO162" s="679"/>
      <c r="KUP162" s="679"/>
      <c r="KUQ162" s="679"/>
      <c r="KUR162" s="679"/>
      <c r="KUS162" s="679"/>
      <c r="KUT162" s="679"/>
      <c r="KUU162" s="679"/>
      <c r="KUV162" s="679"/>
      <c r="KUW162" s="679"/>
      <c r="KUX162" s="679"/>
      <c r="KUY162" s="679"/>
      <c r="KUZ162" s="679"/>
      <c r="KVA162" s="679"/>
      <c r="KVB162" s="679"/>
      <c r="KVC162" s="679"/>
      <c r="KVD162" s="679"/>
      <c r="KVE162" s="679"/>
      <c r="KVF162" s="679"/>
      <c r="KVG162" s="679"/>
      <c r="KVH162" s="679"/>
      <c r="KVI162" s="679"/>
      <c r="KVJ162" s="679"/>
      <c r="KVK162" s="679"/>
      <c r="KVL162" s="679"/>
      <c r="KVM162" s="679"/>
      <c r="KVN162" s="679"/>
      <c r="KVO162" s="679"/>
      <c r="KVP162" s="679"/>
      <c r="KVQ162" s="679"/>
      <c r="KVR162" s="679"/>
      <c r="KVS162" s="679"/>
      <c r="KVT162" s="679"/>
      <c r="KVU162" s="679"/>
      <c r="KVV162" s="679"/>
      <c r="KVW162" s="679"/>
      <c r="KVX162" s="679"/>
      <c r="KVY162" s="679"/>
      <c r="KVZ162" s="679"/>
      <c r="KWA162" s="679"/>
      <c r="KWB162" s="679"/>
      <c r="KWC162" s="679"/>
      <c r="KWD162" s="679"/>
      <c r="KWE162" s="679"/>
      <c r="KWF162" s="679"/>
      <c r="KWG162" s="679"/>
      <c r="KWH162" s="679"/>
      <c r="KWI162" s="679"/>
      <c r="KWJ162" s="679"/>
      <c r="KWK162" s="679"/>
      <c r="KWL162" s="679"/>
      <c r="KWM162" s="679"/>
      <c r="KWN162" s="679"/>
      <c r="KWO162" s="679"/>
      <c r="KWP162" s="679"/>
      <c r="KWQ162" s="679"/>
      <c r="KWR162" s="679"/>
      <c r="KWS162" s="679"/>
      <c r="KWT162" s="679"/>
      <c r="KWU162" s="679"/>
      <c r="KWV162" s="679"/>
      <c r="KWW162" s="679"/>
      <c r="KWX162" s="679"/>
      <c r="KWY162" s="679"/>
      <c r="KWZ162" s="679"/>
      <c r="KXA162" s="679"/>
      <c r="KXB162" s="679"/>
      <c r="KXC162" s="679"/>
      <c r="KXD162" s="679"/>
      <c r="KXE162" s="679"/>
      <c r="KXF162" s="679"/>
      <c r="KXG162" s="679"/>
      <c r="KXH162" s="679"/>
      <c r="KXI162" s="679"/>
      <c r="KXJ162" s="679"/>
      <c r="KXK162" s="679"/>
      <c r="KXL162" s="679"/>
      <c r="KXM162" s="679"/>
      <c r="KXN162" s="679"/>
      <c r="KXO162" s="679"/>
      <c r="KXP162" s="679"/>
      <c r="KXQ162" s="679"/>
      <c r="KXR162" s="679"/>
      <c r="KXS162" s="679"/>
      <c r="KXT162" s="679"/>
      <c r="KXU162" s="679"/>
      <c r="KXV162" s="679"/>
      <c r="KXW162" s="679"/>
      <c r="KXX162" s="679"/>
      <c r="KXY162" s="679"/>
      <c r="KXZ162" s="679"/>
      <c r="KYA162" s="679"/>
      <c r="KYB162" s="679"/>
      <c r="KYC162" s="679"/>
      <c r="KYD162" s="679"/>
      <c r="KYE162" s="679"/>
      <c r="KYF162" s="679"/>
      <c r="KYG162" s="679"/>
      <c r="KYH162" s="679"/>
      <c r="KYI162" s="679"/>
      <c r="KYJ162" s="679"/>
      <c r="KYK162" s="679"/>
      <c r="KYL162" s="679"/>
      <c r="KYM162" s="679"/>
      <c r="KYN162" s="679"/>
      <c r="KYO162" s="679"/>
      <c r="KYP162" s="679"/>
      <c r="KYQ162" s="679"/>
      <c r="KYR162" s="679"/>
      <c r="KYS162" s="679"/>
      <c r="KYT162" s="679"/>
      <c r="KYU162" s="679"/>
      <c r="KYV162" s="679"/>
      <c r="KYW162" s="679"/>
      <c r="KYX162" s="679"/>
      <c r="KYY162" s="679"/>
      <c r="KYZ162" s="679"/>
      <c r="KZA162" s="679"/>
      <c r="KZB162" s="679"/>
      <c r="KZC162" s="679"/>
      <c r="KZD162" s="679"/>
      <c r="KZE162" s="679"/>
      <c r="KZF162" s="679"/>
      <c r="KZG162" s="679"/>
      <c r="KZH162" s="679"/>
      <c r="KZI162" s="679"/>
      <c r="KZJ162" s="679"/>
      <c r="KZK162" s="679"/>
      <c r="KZL162" s="679"/>
      <c r="KZM162" s="679"/>
      <c r="KZN162" s="679"/>
      <c r="KZO162" s="679"/>
      <c r="KZP162" s="679"/>
      <c r="KZQ162" s="679"/>
      <c r="KZR162" s="679"/>
      <c r="KZS162" s="679"/>
      <c r="KZT162" s="679"/>
      <c r="KZU162" s="679"/>
      <c r="KZV162" s="679"/>
      <c r="KZW162" s="679"/>
      <c r="KZX162" s="679"/>
      <c r="KZY162" s="679"/>
      <c r="KZZ162" s="679"/>
      <c r="LAA162" s="679"/>
      <c r="LAB162" s="679"/>
      <c r="LAC162" s="679"/>
      <c r="LAD162" s="679"/>
      <c r="LAE162" s="679"/>
      <c r="LAF162" s="679"/>
      <c r="LAG162" s="679"/>
      <c r="LAH162" s="679"/>
      <c r="LAI162" s="679"/>
      <c r="LAJ162" s="679"/>
      <c r="LAK162" s="679"/>
      <c r="LAL162" s="679"/>
      <c r="LAM162" s="679"/>
      <c r="LAN162" s="679"/>
      <c r="LAO162" s="679"/>
      <c r="LAP162" s="679"/>
      <c r="LAQ162" s="679"/>
      <c r="LAR162" s="679"/>
      <c r="LAS162" s="679"/>
      <c r="LAT162" s="679"/>
      <c r="LAU162" s="679"/>
      <c r="LAV162" s="679"/>
      <c r="LAW162" s="679"/>
      <c r="LAX162" s="679"/>
      <c r="LAY162" s="679"/>
      <c r="LAZ162" s="679"/>
      <c r="LBA162" s="679"/>
      <c r="LBB162" s="679"/>
      <c r="LBC162" s="679"/>
      <c r="LBD162" s="679"/>
      <c r="LBE162" s="679"/>
      <c r="LBF162" s="679"/>
      <c r="LBG162" s="679"/>
      <c r="LBH162" s="679"/>
      <c r="LBI162" s="679"/>
      <c r="LBJ162" s="679"/>
      <c r="LBK162" s="679"/>
      <c r="LBL162" s="679"/>
      <c r="LBM162" s="679"/>
      <c r="LBN162" s="679"/>
      <c r="LBO162" s="679"/>
      <c r="LBP162" s="679"/>
      <c r="LBQ162" s="679"/>
      <c r="LBR162" s="679"/>
      <c r="LBS162" s="679"/>
      <c r="LBT162" s="679"/>
      <c r="LBU162" s="679"/>
      <c r="LBV162" s="679"/>
      <c r="LBW162" s="679"/>
      <c r="LBX162" s="679"/>
      <c r="LBY162" s="679"/>
      <c r="LBZ162" s="679"/>
      <c r="LCA162" s="679"/>
      <c r="LCB162" s="679"/>
      <c r="LCC162" s="679"/>
      <c r="LCD162" s="679"/>
      <c r="LCE162" s="679"/>
      <c r="LCF162" s="679"/>
      <c r="LCG162" s="679"/>
      <c r="LCH162" s="679"/>
      <c r="LCI162" s="679"/>
      <c r="LCJ162" s="679"/>
      <c r="LCK162" s="679"/>
      <c r="LCL162" s="679"/>
      <c r="LCM162" s="679"/>
      <c r="LCN162" s="679"/>
      <c r="LCO162" s="679"/>
      <c r="LCP162" s="679"/>
      <c r="LCQ162" s="679"/>
      <c r="LCR162" s="679"/>
      <c r="LCS162" s="679"/>
      <c r="LCT162" s="679"/>
      <c r="LCU162" s="679"/>
      <c r="LCV162" s="679"/>
      <c r="LCW162" s="679"/>
      <c r="LCX162" s="679"/>
      <c r="LCY162" s="679"/>
      <c r="LCZ162" s="679"/>
      <c r="LDA162" s="679"/>
      <c r="LDB162" s="679"/>
      <c r="LDC162" s="679"/>
      <c r="LDD162" s="679"/>
      <c r="LDE162" s="679"/>
      <c r="LDF162" s="679"/>
      <c r="LDG162" s="679"/>
      <c r="LDH162" s="679"/>
      <c r="LDI162" s="679"/>
      <c r="LDJ162" s="679"/>
      <c r="LDK162" s="679"/>
      <c r="LDL162" s="679"/>
      <c r="LDM162" s="679"/>
      <c r="LDN162" s="679"/>
      <c r="LDO162" s="679"/>
      <c r="LDP162" s="679"/>
      <c r="LDQ162" s="679"/>
      <c r="LDR162" s="679"/>
      <c r="LDS162" s="679"/>
      <c r="LDT162" s="679"/>
      <c r="LDU162" s="679"/>
      <c r="LDV162" s="679"/>
      <c r="LDW162" s="679"/>
      <c r="LDX162" s="679"/>
      <c r="LDY162" s="679"/>
      <c r="LDZ162" s="679"/>
      <c r="LEA162" s="679"/>
      <c r="LEB162" s="679"/>
      <c r="LEC162" s="679"/>
      <c r="LED162" s="679"/>
      <c r="LEE162" s="679"/>
      <c r="LEF162" s="679"/>
      <c r="LEG162" s="679"/>
      <c r="LEH162" s="679"/>
      <c r="LEI162" s="679"/>
      <c r="LEJ162" s="679"/>
      <c r="LEK162" s="679"/>
      <c r="LEL162" s="679"/>
      <c r="LEM162" s="679"/>
      <c r="LEN162" s="679"/>
      <c r="LEO162" s="679"/>
      <c r="LEP162" s="679"/>
      <c r="LEQ162" s="679"/>
      <c r="LER162" s="679"/>
      <c r="LES162" s="679"/>
      <c r="LET162" s="679"/>
      <c r="LEU162" s="679"/>
      <c r="LEV162" s="679"/>
      <c r="LEW162" s="679"/>
      <c r="LEX162" s="679"/>
      <c r="LEY162" s="679"/>
      <c r="LEZ162" s="679"/>
      <c r="LFA162" s="679"/>
      <c r="LFB162" s="679"/>
      <c r="LFC162" s="679"/>
      <c r="LFD162" s="679"/>
      <c r="LFE162" s="679"/>
      <c r="LFF162" s="679"/>
      <c r="LFG162" s="679"/>
      <c r="LFH162" s="679"/>
      <c r="LFI162" s="679"/>
      <c r="LFJ162" s="679"/>
      <c r="LFK162" s="679"/>
      <c r="LFL162" s="679"/>
      <c r="LFM162" s="679"/>
      <c r="LFN162" s="679"/>
      <c r="LFO162" s="679"/>
      <c r="LFP162" s="679"/>
      <c r="LFQ162" s="679"/>
      <c r="LFR162" s="679"/>
      <c r="LFS162" s="679"/>
      <c r="LFT162" s="679"/>
      <c r="LFU162" s="679"/>
      <c r="LFV162" s="679"/>
      <c r="LFW162" s="679"/>
      <c r="LFX162" s="679"/>
      <c r="LFY162" s="679"/>
      <c r="LFZ162" s="679"/>
      <c r="LGA162" s="679"/>
      <c r="LGB162" s="679"/>
      <c r="LGC162" s="679"/>
      <c r="LGD162" s="679"/>
      <c r="LGE162" s="679"/>
      <c r="LGF162" s="679"/>
      <c r="LGG162" s="679"/>
      <c r="LGH162" s="679"/>
      <c r="LGI162" s="679"/>
      <c r="LGJ162" s="679"/>
      <c r="LGK162" s="679"/>
      <c r="LGL162" s="679"/>
      <c r="LGM162" s="679"/>
      <c r="LGN162" s="679"/>
      <c r="LGO162" s="679"/>
      <c r="LGP162" s="679"/>
      <c r="LGQ162" s="679"/>
      <c r="LGR162" s="679"/>
      <c r="LGS162" s="679"/>
      <c r="LGT162" s="679"/>
      <c r="LGU162" s="679"/>
      <c r="LGV162" s="679"/>
      <c r="LGW162" s="679"/>
      <c r="LGX162" s="679"/>
      <c r="LGY162" s="679"/>
      <c r="LGZ162" s="679"/>
      <c r="LHA162" s="679"/>
      <c r="LHB162" s="679"/>
      <c r="LHC162" s="679"/>
      <c r="LHD162" s="679"/>
      <c r="LHE162" s="679"/>
      <c r="LHF162" s="679"/>
      <c r="LHG162" s="679"/>
      <c r="LHH162" s="679"/>
      <c r="LHI162" s="679"/>
      <c r="LHJ162" s="679"/>
      <c r="LHK162" s="679"/>
      <c r="LHL162" s="679"/>
      <c r="LHM162" s="679"/>
      <c r="LHN162" s="679"/>
      <c r="LHO162" s="679"/>
      <c r="LHP162" s="679"/>
      <c r="LHQ162" s="679"/>
      <c r="LHR162" s="679"/>
      <c r="LHS162" s="679"/>
      <c r="LHT162" s="679"/>
      <c r="LHU162" s="679"/>
      <c r="LHV162" s="679"/>
      <c r="LHW162" s="679"/>
      <c r="LHX162" s="679"/>
      <c r="LHY162" s="679"/>
      <c r="LHZ162" s="679"/>
      <c r="LIA162" s="679"/>
      <c r="LIB162" s="679"/>
      <c r="LIC162" s="679"/>
      <c r="LID162" s="679"/>
      <c r="LIE162" s="679"/>
      <c r="LIF162" s="679"/>
      <c r="LIG162" s="679"/>
      <c r="LIH162" s="679"/>
      <c r="LII162" s="679"/>
      <c r="LIJ162" s="679"/>
      <c r="LIK162" s="679"/>
      <c r="LIL162" s="679"/>
      <c r="LIM162" s="679"/>
      <c r="LIN162" s="679"/>
      <c r="LIO162" s="679"/>
      <c r="LIP162" s="679"/>
      <c r="LIQ162" s="679"/>
      <c r="LIR162" s="679"/>
      <c r="LIS162" s="679"/>
      <c r="LIT162" s="679"/>
      <c r="LIU162" s="679"/>
      <c r="LIV162" s="679"/>
      <c r="LIW162" s="679"/>
      <c r="LIX162" s="679"/>
      <c r="LIY162" s="679"/>
      <c r="LIZ162" s="679"/>
      <c r="LJA162" s="679"/>
      <c r="LJB162" s="679"/>
      <c r="LJC162" s="679"/>
      <c r="LJD162" s="679"/>
      <c r="LJE162" s="679"/>
      <c r="LJF162" s="679"/>
      <c r="LJG162" s="679"/>
      <c r="LJH162" s="679"/>
      <c r="LJI162" s="679"/>
      <c r="LJJ162" s="679"/>
      <c r="LJK162" s="679"/>
      <c r="LJL162" s="679"/>
      <c r="LJM162" s="679"/>
      <c r="LJN162" s="679"/>
      <c r="LJO162" s="679"/>
      <c r="LJP162" s="679"/>
      <c r="LJQ162" s="679"/>
      <c r="LJR162" s="679"/>
      <c r="LJS162" s="679"/>
      <c r="LJT162" s="679"/>
      <c r="LJU162" s="679"/>
      <c r="LJV162" s="679"/>
      <c r="LJW162" s="679"/>
      <c r="LJX162" s="679"/>
      <c r="LJY162" s="679"/>
      <c r="LJZ162" s="679"/>
      <c r="LKA162" s="679"/>
      <c r="LKB162" s="679"/>
      <c r="LKC162" s="679"/>
      <c r="LKD162" s="679"/>
      <c r="LKE162" s="679"/>
      <c r="LKF162" s="679"/>
      <c r="LKG162" s="679"/>
      <c r="LKH162" s="679"/>
      <c r="LKI162" s="679"/>
      <c r="LKJ162" s="679"/>
      <c r="LKK162" s="679"/>
      <c r="LKL162" s="679"/>
      <c r="LKM162" s="679"/>
      <c r="LKN162" s="679"/>
      <c r="LKO162" s="679"/>
      <c r="LKP162" s="679"/>
      <c r="LKQ162" s="679"/>
      <c r="LKR162" s="679"/>
      <c r="LKS162" s="679"/>
      <c r="LKT162" s="679"/>
      <c r="LKU162" s="679"/>
      <c r="LKV162" s="679"/>
      <c r="LKW162" s="679"/>
      <c r="LKX162" s="679"/>
      <c r="LKY162" s="679"/>
      <c r="LKZ162" s="679"/>
      <c r="LLA162" s="679"/>
      <c r="LLB162" s="679"/>
      <c r="LLC162" s="679"/>
      <c r="LLD162" s="679"/>
      <c r="LLE162" s="679"/>
      <c r="LLF162" s="679"/>
      <c r="LLG162" s="679"/>
      <c r="LLH162" s="679"/>
      <c r="LLI162" s="679"/>
      <c r="LLJ162" s="679"/>
      <c r="LLK162" s="679"/>
      <c r="LLL162" s="679"/>
      <c r="LLM162" s="679"/>
      <c r="LLN162" s="679"/>
      <c r="LLO162" s="679"/>
      <c r="LLP162" s="679"/>
      <c r="LLQ162" s="679"/>
      <c r="LLR162" s="679"/>
      <c r="LLS162" s="679"/>
      <c r="LLT162" s="679"/>
      <c r="LLU162" s="679"/>
      <c r="LLV162" s="679"/>
      <c r="LLW162" s="679"/>
      <c r="LLX162" s="679"/>
      <c r="LLY162" s="679"/>
      <c r="LLZ162" s="679"/>
      <c r="LMA162" s="679"/>
      <c r="LMB162" s="679"/>
      <c r="LMC162" s="679"/>
      <c r="LMD162" s="679"/>
      <c r="LME162" s="679"/>
      <c r="LMF162" s="679"/>
      <c r="LMG162" s="679"/>
      <c r="LMH162" s="679"/>
      <c r="LMI162" s="679"/>
      <c r="LMJ162" s="679"/>
      <c r="LMK162" s="679"/>
      <c r="LML162" s="679"/>
      <c r="LMM162" s="679"/>
      <c r="LMN162" s="679"/>
      <c r="LMO162" s="679"/>
      <c r="LMP162" s="679"/>
      <c r="LMQ162" s="679"/>
      <c r="LMR162" s="679"/>
      <c r="LMS162" s="679"/>
      <c r="LMT162" s="679"/>
      <c r="LMU162" s="679"/>
      <c r="LMV162" s="679"/>
      <c r="LMW162" s="679"/>
      <c r="LMX162" s="679"/>
      <c r="LMY162" s="679"/>
      <c r="LMZ162" s="679"/>
      <c r="LNA162" s="679"/>
      <c r="LNB162" s="679"/>
      <c r="LNC162" s="679"/>
      <c r="LND162" s="679"/>
      <c r="LNE162" s="679"/>
      <c r="LNF162" s="679"/>
      <c r="LNG162" s="679"/>
      <c r="LNH162" s="679"/>
      <c r="LNI162" s="679"/>
      <c r="LNJ162" s="679"/>
      <c r="LNK162" s="679"/>
      <c r="LNL162" s="679"/>
      <c r="LNM162" s="679"/>
      <c r="LNN162" s="679"/>
      <c r="LNO162" s="679"/>
      <c r="LNP162" s="679"/>
      <c r="LNQ162" s="679"/>
      <c r="LNR162" s="679"/>
      <c r="LNS162" s="679"/>
      <c r="LNT162" s="679"/>
      <c r="LNU162" s="679"/>
      <c r="LNV162" s="679"/>
      <c r="LNW162" s="679"/>
      <c r="LNX162" s="679"/>
      <c r="LNY162" s="679"/>
      <c r="LNZ162" s="679"/>
      <c r="LOA162" s="679"/>
      <c r="LOB162" s="679"/>
      <c r="LOC162" s="679"/>
      <c r="LOD162" s="679"/>
      <c r="LOE162" s="679"/>
      <c r="LOF162" s="679"/>
      <c r="LOG162" s="679"/>
      <c r="LOH162" s="679"/>
      <c r="LOI162" s="679"/>
      <c r="LOJ162" s="679"/>
      <c r="LOK162" s="679"/>
      <c r="LOL162" s="679"/>
      <c r="LOM162" s="679"/>
      <c r="LON162" s="679"/>
      <c r="LOO162" s="679"/>
      <c r="LOP162" s="679"/>
      <c r="LOQ162" s="679"/>
      <c r="LOR162" s="679"/>
      <c r="LOS162" s="679"/>
      <c r="LOT162" s="679"/>
      <c r="LOU162" s="679"/>
      <c r="LOV162" s="679"/>
      <c r="LOW162" s="679"/>
      <c r="LOX162" s="679"/>
      <c r="LOY162" s="679"/>
      <c r="LOZ162" s="679"/>
      <c r="LPA162" s="679"/>
      <c r="LPB162" s="679"/>
      <c r="LPC162" s="679"/>
      <c r="LPD162" s="679"/>
      <c r="LPE162" s="679"/>
      <c r="LPF162" s="679"/>
      <c r="LPG162" s="679"/>
      <c r="LPH162" s="679"/>
      <c r="LPI162" s="679"/>
      <c r="LPJ162" s="679"/>
      <c r="LPK162" s="679"/>
      <c r="LPL162" s="679"/>
      <c r="LPM162" s="679"/>
      <c r="LPN162" s="679"/>
      <c r="LPO162" s="679"/>
      <c r="LPP162" s="679"/>
      <c r="LPQ162" s="679"/>
      <c r="LPR162" s="679"/>
      <c r="LPS162" s="679"/>
      <c r="LPT162" s="679"/>
      <c r="LPU162" s="679"/>
      <c r="LPV162" s="679"/>
      <c r="LPW162" s="679"/>
      <c r="LPX162" s="679"/>
      <c r="LPY162" s="679"/>
      <c r="LPZ162" s="679"/>
      <c r="LQA162" s="679"/>
      <c r="LQB162" s="679"/>
      <c r="LQC162" s="679"/>
      <c r="LQD162" s="679"/>
      <c r="LQE162" s="679"/>
      <c r="LQF162" s="679"/>
      <c r="LQG162" s="679"/>
      <c r="LQH162" s="679"/>
      <c r="LQI162" s="679"/>
      <c r="LQJ162" s="679"/>
      <c r="LQK162" s="679"/>
      <c r="LQL162" s="679"/>
      <c r="LQM162" s="679"/>
      <c r="LQN162" s="679"/>
      <c r="LQO162" s="679"/>
      <c r="LQP162" s="679"/>
      <c r="LQQ162" s="679"/>
      <c r="LQR162" s="679"/>
      <c r="LQS162" s="679"/>
      <c r="LQT162" s="679"/>
      <c r="LQU162" s="679"/>
      <c r="LQV162" s="679"/>
      <c r="LQW162" s="679"/>
      <c r="LQX162" s="679"/>
      <c r="LQY162" s="679"/>
      <c r="LQZ162" s="679"/>
      <c r="LRA162" s="679"/>
      <c r="LRB162" s="679"/>
      <c r="LRC162" s="679"/>
      <c r="LRD162" s="679"/>
      <c r="LRE162" s="679"/>
      <c r="LRF162" s="679"/>
      <c r="LRG162" s="679"/>
      <c r="LRH162" s="679"/>
      <c r="LRI162" s="679"/>
      <c r="LRJ162" s="679"/>
      <c r="LRK162" s="679"/>
      <c r="LRL162" s="679"/>
      <c r="LRM162" s="679"/>
      <c r="LRN162" s="679"/>
      <c r="LRO162" s="679"/>
      <c r="LRP162" s="679"/>
      <c r="LRQ162" s="679"/>
      <c r="LRR162" s="679"/>
      <c r="LRS162" s="679"/>
      <c r="LRT162" s="679"/>
      <c r="LRU162" s="679"/>
      <c r="LRV162" s="679"/>
      <c r="LRW162" s="679"/>
      <c r="LRX162" s="679"/>
      <c r="LRY162" s="679"/>
      <c r="LRZ162" s="679"/>
      <c r="LSA162" s="679"/>
      <c r="LSB162" s="679"/>
      <c r="LSC162" s="679"/>
      <c r="LSD162" s="679"/>
      <c r="LSE162" s="679"/>
      <c r="LSF162" s="679"/>
      <c r="LSG162" s="679"/>
      <c r="LSH162" s="679"/>
      <c r="LSI162" s="679"/>
      <c r="LSJ162" s="679"/>
      <c r="LSK162" s="679"/>
      <c r="LSL162" s="679"/>
      <c r="LSM162" s="679"/>
      <c r="LSN162" s="679"/>
      <c r="LSO162" s="679"/>
      <c r="LSP162" s="679"/>
      <c r="LSQ162" s="679"/>
      <c r="LSR162" s="679"/>
      <c r="LSS162" s="679"/>
      <c r="LST162" s="679"/>
      <c r="LSU162" s="679"/>
      <c r="LSV162" s="679"/>
      <c r="LSW162" s="679"/>
      <c r="LSX162" s="679"/>
      <c r="LSY162" s="679"/>
      <c r="LSZ162" s="679"/>
      <c r="LTA162" s="679"/>
      <c r="LTB162" s="679"/>
      <c r="LTC162" s="679"/>
      <c r="LTD162" s="679"/>
      <c r="LTE162" s="679"/>
      <c r="LTF162" s="679"/>
      <c r="LTG162" s="679"/>
      <c r="LTH162" s="679"/>
      <c r="LTI162" s="679"/>
      <c r="LTJ162" s="679"/>
      <c r="LTK162" s="679"/>
      <c r="LTL162" s="679"/>
      <c r="LTM162" s="679"/>
      <c r="LTN162" s="679"/>
      <c r="LTO162" s="679"/>
      <c r="LTP162" s="679"/>
      <c r="LTQ162" s="679"/>
      <c r="LTR162" s="679"/>
      <c r="LTS162" s="679"/>
      <c r="LTT162" s="679"/>
      <c r="LTU162" s="679"/>
      <c r="LTV162" s="679"/>
      <c r="LTW162" s="679"/>
      <c r="LTX162" s="679"/>
      <c r="LTY162" s="679"/>
      <c r="LTZ162" s="679"/>
      <c r="LUA162" s="679"/>
      <c r="LUB162" s="679"/>
      <c r="LUC162" s="679"/>
      <c r="LUD162" s="679"/>
      <c r="LUE162" s="679"/>
      <c r="LUF162" s="679"/>
      <c r="LUG162" s="679"/>
      <c r="LUH162" s="679"/>
      <c r="LUI162" s="679"/>
      <c r="LUJ162" s="679"/>
      <c r="LUK162" s="679"/>
      <c r="LUL162" s="679"/>
      <c r="LUM162" s="679"/>
      <c r="LUN162" s="679"/>
      <c r="LUO162" s="679"/>
      <c r="LUP162" s="679"/>
      <c r="LUQ162" s="679"/>
      <c r="LUR162" s="679"/>
      <c r="LUS162" s="679"/>
      <c r="LUT162" s="679"/>
      <c r="LUU162" s="679"/>
      <c r="LUV162" s="679"/>
      <c r="LUW162" s="679"/>
      <c r="LUX162" s="679"/>
      <c r="LUY162" s="679"/>
      <c r="LUZ162" s="679"/>
      <c r="LVA162" s="679"/>
      <c r="LVB162" s="679"/>
      <c r="LVC162" s="679"/>
      <c r="LVD162" s="679"/>
      <c r="LVE162" s="679"/>
      <c r="LVF162" s="679"/>
      <c r="LVG162" s="679"/>
      <c r="LVH162" s="679"/>
      <c r="LVI162" s="679"/>
      <c r="LVJ162" s="679"/>
      <c r="LVK162" s="679"/>
      <c r="LVL162" s="679"/>
      <c r="LVM162" s="679"/>
      <c r="LVN162" s="679"/>
      <c r="LVO162" s="679"/>
      <c r="LVP162" s="679"/>
      <c r="LVQ162" s="679"/>
      <c r="LVR162" s="679"/>
      <c r="LVS162" s="679"/>
      <c r="LVT162" s="679"/>
      <c r="LVU162" s="679"/>
      <c r="LVV162" s="679"/>
      <c r="LVW162" s="679"/>
      <c r="LVX162" s="679"/>
      <c r="LVY162" s="679"/>
      <c r="LVZ162" s="679"/>
      <c r="LWA162" s="679"/>
      <c r="LWB162" s="679"/>
      <c r="LWC162" s="679"/>
      <c r="LWD162" s="679"/>
      <c r="LWE162" s="679"/>
      <c r="LWF162" s="679"/>
      <c r="LWG162" s="679"/>
      <c r="LWH162" s="679"/>
      <c r="LWI162" s="679"/>
      <c r="LWJ162" s="679"/>
      <c r="LWK162" s="679"/>
      <c r="LWL162" s="679"/>
      <c r="LWM162" s="679"/>
      <c r="LWN162" s="679"/>
      <c r="LWO162" s="679"/>
      <c r="LWP162" s="679"/>
      <c r="LWQ162" s="679"/>
      <c r="LWR162" s="679"/>
      <c r="LWS162" s="679"/>
      <c r="LWT162" s="679"/>
      <c r="LWU162" s="679"/>
      <c r="LWV162" s="679"/>
      <c r="LWW162" s="679"/>
      <c r="LWX162" s="679"/>
      <c r="LWY162" s="679"/>
      <c r="LWZ162" s="679"/>
      <c r="LXA162" s="679"/>
      <c r="LXB162" s="679"/>
      <c r="LXC162" s="679"/>
      <c r="LXD162" s="679"/>
      <c r="LXE162" s="679"/>
      <c r="LXF162" s="679"/>
      <c r="LXG162" s="679"/>
      <c r="LXH162" s="679"/>
      <c r="LXI162" s="679"/>
      <c r="LXJ162" s="679"/>
      <c r="LXK162" s="679"/>
      <c r="LXL162" s="679"/>
      <c r="LXM162" s="679"/>
      <c r="LXN162" s="679"/>
      <c r="LXO162" s="679"/>
      <c r="LXP162" s="679"/>
      <c r="LXQ162" s="679"/>
      <c r="LXR162" s="679"/>
      <c r="LXS162" s="679"/>
      <c r="LXT162" s="679"/>
      <c r="LXU162" s="679"/>
      <c r="LXV162" s="679"/>
      <c r="LXW162" s="679"/>
      <c r="LXX162" s="679"/>
      <c r="LXY162" s="679"/>
      <c r="LXZ162" s="679"/>
      <c r="LYA162" s="679"/>
      <c r="LYB162" s="679"/>
      <c r="LYC162" s="679"/>
      <c r="LYD162" s="679"/>
      <c r="LYE162" s="679"/>
      <c r="LYF162" s="679"/>
      <c r="LYG162" s="679"/>
      <c r="LYH162" s="679"/>
      <c r="LYI162" s="679"/>
      <c r="LYJ162" s="679"/>
      <c r="LYK162" s="679"/>
      <c r="LYL162" s="679"/>
      <c r="LYM162" s="679"/>
      <c r="LYN162" s="679"/>
      <c r="LYO162" s="679"/>
      <c r="LYP162" s="679"/>
      <c r="LYQ162" s="679"/>
      <c r="LYR162" s="679"/>
      <c r="LYS162" s="679"/>
      <c r="LYT162" s="679"/>
      <c r="LYU162" s="679"/>
      <c r="LYV162" s="679"/>
      <c r="LYW162" s="679"/>
      <c r="LYX162" s="679"/>
      <c r="LYY162" s="679"/>
      <c r="LYZ162" s="679"/>
      <c r="LZA162" s="679"/>
      <c r="LZB162" s="679"/>
      <c r="LZC162" s="679"/>
      <c r="LZD162" s="679"/>
      <c r="LZE162" s="679"/>
      <c r="LZF162" s="679"/>
      <c r="LZG162" s="679"/>
      <c r="LZH162" s="679"/>
      <c r="LZI162" s="679"/>
      <c r="LZJ162" s="679"/>
      <c r="LZK162" s="679"/>
      <c r="LZL162" s="679"/>
      <c r="LZM162" s="679"/>
      <c r="LZN162" s="679"/>
      <c r="LZO162" s="679"/>
      <c r="LZP162" s="679"/>
      <c r="LZQ162" s="679"/>
      <c r="LZR162" s="679"/>
      <c r="LZS162" s="679"/>
      <c r="LZT162" s="679"/>
      <c r="LZU162" s="679"/>
      <c r="LZV162" s="679"/>
      <c r="LZW162" s="679"/>
      <c r="LZX162" s="679"/>
      <c r="LZY162" s="679"/>
      <c r="LZZ162" s="679"/>
      <c r="MAA162" s="679"/>
      <c r="MAB162" s="679"/>
      <c r="MAC162" s="679"/>
      <c r="MAD162" s="679"/>
      <c r="MAE162" s="679"/>
      <c r="MAF162" s="679"/>
      <c r="MAG162" s="679"/>
      <c r="MAH162" s="679"/>
      <c r="MAI162" s="679"/>
      <c r="MAJ162" s="679"/>
      <c r="MAK162" s="679"/>
      <c r="MAL162" s="679"/>
      <c r="MAM162" s="679"/>
      <c r="MAN162" s="679"/>
      <c r="MAO162" s="679"/>
      <c r="MAP162" s="679"/>
      <c r="MAQ162" s="679"/>
      <c r="MAR162" s="679"/>
      <c r="MAS162" s="679"/>
      <c r="MAT162" s="679"/>
      <c r="MAU162" s="679"/>
      <c r="MAV162" s="679"/>
      <c r="MAW162" s="679"/>
      <c r="MAX162" s="679"/>
      <c r="MAY162" s="679"/>
      <c r="MAZ162" s="679"/>
      <c r="MBA162" s="679"/>
      <c r="MBB162" s="679"/>
      <c r="MBC162" s="679"/>
      <c r="MBD162" s="679"/>
      <c r="MBE162" s="679"/>
      <c r="MBF162" s="679"/>
      <c r="MBG162" s="679"/>
      <c r="MBH162" s="679"/>
      <c r="MBI162" s="679"/>
      <c r="MBJ162" s="679"/>
      <c r="MBK162" s="679"/>
      <c r="MBL162" s="679"/>
      <c r="MBM162" s="679"/>
      <c r="MBN162" s="679"/>
      <c r="MBO162" s="679"/>
      <c r="MBP162" s="679"/>
      <c r="MBQ162" s="679"/>
      <c r="MBR162" s="679"/>
      <c r="MBS162" s="679"/>
      <c r="MBT162" s="679"/>
      <c r="MBU162" s="679"/>
      <c r="MBV162" s="679"/>
      <c r="MBW162" s="679"/>
      <c r="MBX162" s="679"/>
      <c r="MBY162" s="679"/>
      <c r="MBZ162" s="679"/>
      <c r="MCA162" s="679"/>
      <c r="MCB162" s="679"/>
      <c r="MCC162" s="679"/>
      <c r="MCD162" s="679"/>
      <c r="MCE162" s="679"/>
      <c r="MCF162" s="679"/>
      <c r="MCG162" s="679"/>
      <c r="MCH162" s="679"/>
      <c r="MCI162" s="679"/>
      <c r="MCJ162" s="679"/>
      <c r="MCK162" s="679"/>
      <c r="MCL162" s="679"/>
      <c r="MCM162" s="679"/>
      <c r="MCN162" s="679"/>
      <c r="MCO162" s="679"/>
      <c r="MCP162" s="679"/>
      <c r="MCQ162" s="679"/>
      <c r="MCR162" s="679"/>
      <c r="MCS162" s="679"/>
      <c r="MCT162" s="679"/>
      <c r="MCU162" s="679"/>
      <c r="MCV162" s="679"/>
      <c r="MCW162" s="679"/>
      <c r="MCX162" s="679"/>
      <c r="MCY162" s="679"/>
      <c r="MCZ162" s="679"/>
      <c r="MDA162" s="679"/>
      <c r="MDB162" s="679"/>
      <c r="MDC162" s="679"/>
      <c r="MDD162" s="679"/>
      <c r="MDE162" s="679"/>
      <c r="MDF162" s="679"/>
      <c r="MDG162" s="679"/>
      <c r="MDH162" s="679"/>
      <c r="MDI162" s="679"/>
      <c r="MDJ162" s="679"/>
      <c r="MDK162" s="679"/>
      <c r="MDL162" s="679"/>
      <c r="MDM162" s="679"/>
      <c r="MDN162" s="679"/>
      <c r="MDO162" s="679"/>
      <c r="MDP162" s="679"/>
      <c r="MDQ162" s="679"/>
      <c r="MDR162" s="679"/>
      <c r="MDS162" s="679"/>
      <c r="MDT162" s="679"/>
      <c r="MDU162" s="679"/>
      <c r="MDV162" s="679"/>
      <c r="MDW162" s="679"/>
      <c r="MDX162" s="679"/>
      <c r="MDY162" s="679"/>
      <c r="MDZ162" s="679"/>
      <c r="MEA162" s="679"/>
      <c r="MEB162" s="679"/>
      <c r="MEC162" s="679"/>
      <c r="MED162" s="679"/>
      <c r="MEE162" s="679"/>
      <c r="MEF162" s="679"/>
      <c r="MEG162" s="679"/>
      <c r="MEH162" s="679"/>
      <c r="MEI162" s="679"/>
      <c r="MEJ162" s="679"/>
      <c r="MEK162" s="679"/>
      <c r="MEL162" s="679"/>
      <c r="MEM162" s="679"/>
      <c r="MEN162" s="679"/>
      <c r="MEO162" s="679"/>
      <c r="MEP162" s="679"/>
      <c r="MEQ162" s="679"/>
      <c r="MER162" s="679"/>
      <c r="MES162" s="679"/>
      <c r="MET162" s="679"/>
      <c r="MEU162" s="679"/>
      <c r="MEV162" s="679"/>
      <c r="MEW162" s="679"/>
      <c r="MEX162" s="679"/>
      <c r="MEY162" s="679"/>
      <c r="MEZ162" s="679"/>
      <c r="MFA162" s="679"/>
      <c r="MFB162" s="679"/>
      <c r="MFC162" s="679"/>
      <c r="MFD162" s="679"/>
      <c r="MFE162" s="679"/>
      <c r="MFF162" s="679"/>
      <c r="MFG162" s="679"/>
      <c r="MFH162" s="679"/>
      <c r="MFI162" s="679"/>
      <c r="MFJ162" s="679"/>
      <c r="MFK162" s="679"/>
      <c r="MFL162" s="679"/>
      <c r="MFM162" s="679"/>
      <c r="MFN162" s="679"/>
      <c r="MFO162" s="679"/>
      <c r="MFP162" s="679"/>
      <c r="MFQ162" s="679"/>
      <c r="MFR162" s="679"/>
      <c r="MFS162" s="679"/>
      <c r="MFT162" s="679"/>
      <c r="MFU162" s="679"/>
      <c r="MFV162" s="679"/>
      <c r="MFW162" s="679"/>
      <c r="MFX162" s="679"/>
      <c r="MFY162" s="679"/>
      <c r="MFZ162" s="679"/>
      <c r="MGA162" s="679"/>
      <c r="MGB162" s="679"/>
      <c r="MGC162" s="679"/>
      <c r="MGD162" s="679"/>
      <c r="MGE162" s="679"/>
      <c r="MGF162" s="679"/>
      <c r="MGG162" s="679"/>
      <c r="MGH162" s="679"/>
      <c r="MGI162" s="679"/>
      <c r="MGJ162" s="679"/>
      <c r="MGK162" s="679"/>
      <c r="MGL162" s="679"/>
      <c r="MGM162" s="679"/>
      <c r="MGN162" s="679"/>
      <c r="MGO162" s="679"/>
      <c r="MGP162" s="679"/>
      <c r="MGQ162" s="679"/>
      <c r="MGR162" s="679"/>
      <c r="MGS162" s="679"/>
      <c r="MGT162" s="679"/>
      <c r="MGU162" s="679"/>
      <c r="MGV162" s="679"/>
      <c r="MGW162" s="679"/>
      <c r="MGX162" s="679"/>
      <c r="MGY162" s="679"/>
      <c r="MGZ162" s="679"/>
      <c r="MHA162" s="679"/>
      <c r="MHB162" s="679"/>
      <c r="MHC162" s="679"/>
      <c r="MHD162" s="679"/>
      <c r="MHE162" s="679"/>
      <c r="MHF162" s="679"/>
      <c r="MHG162" s="679"/>
      <c r="MHH162" s="679"/>
      <c r="MHI162" s="679"/>
      <c r="MHJ162" s="679"/>
      <c r="MHK162" s="679"/>
      <c r="MHL162" s="679"/>
      <c r="MHM162" s="679"/>
      <c r="MHN162" s="679"/>
      <c r="MHO162" s="679"/>
      <c r="MHP162" s="679"/>
      <c r="MHQ162" s="679"/>
      <c r="MHR162" s="679"/>
      <c r="MHS162" s="679"/>
      <c r="MHT162" s="679"/>
      <c r="MHU162" s="679"/>
      <c r="MHV162" s="679"/>
      <c r="MHW162" s="679"/>
      <c r="MHX162" s="679"/>
      <c r="MHY162" s="679"/>
      <c r="MHZ162" s="679"/>
      <c r="MIA162" s="679"/>
      <c r="MIB162" s="679"/>
      <c r="MIC162" s="679"/>
      <c r="MID162" s="679"/>
      <c r="MIE162" s="679"/>
      <c r="MIF162" s="679"/>
      <c r="MIG162" s="679"/>
      <c r="MIH162" s="679"/>
      <c r="MII162" s="679"/>
      <c r="MIJ162" s="679"/>
      <c r="MIK162" s="679"/>
      <c r="MIL162" s="679"/>
      <c r="MIM162" s="679"/>
      <c r="MIN162" s="679"/>
      <c r="MIO162" s="679"/>
      <c r="MIP162" s="679"/>
      <c r="MIQ162" s="679"/>
      <c r="MIR162" s="679"/>
      <c r="MIS162" s="679"/>
      <c r="MIT162" s="679"/>
      <c r="MIU162" s="679"/>
      <c r="MIV162" s="679"/>
      <c r="MIW162" s="679"/>
      <c r="MIX162" s="679"/>
      <c r="MIY162" s="679"/>
      <c r="MIZ162" s="679"/>
      <c r="MJA162" s="679"/>
      <c r="MJB162" s="679"/>
      <c r="MJC162" s="679"/>
      <c r="MJD162" s="679"/>
      <c r="MJE162" s="679"/>
      <c r="MJF162" s="679"/>
      <c r="MJG162" s="679"/>
      <c r="MJH162" s="679"/>
      <c r="MJI162" s="679"/>
      <c r="MJJ162" s="679"/>
      <c r="MJK162" s="679"/>
      <c r="MJL162" s="679"/>
      <c r="MJM162" s="679"/>
      <c r="MJN162" s="679"/>
      <c r="MJO162" s="679"/>
      <c r="MJP162" s="679"/>
      <c r="MJQ162" s="679"/>
      <c r="MJR162" s="679"/>
      <c r="MJS162" s="679"/>
      <c r="MJT162" s="679"/>
      <c r="MJU162" s="679"/>
      <c r="MJV162" s="679"/>
      <c r="MJW162" s="679"/>
      <c r="MJX162" s="679"/>
      <c r="MJY162" s="679"/>
      <c r="MJZ162" s="679"/>
      <c r="MKA162" s="679"/>
      <c r="MKB162" s="679"/>
      <c r="MKC162" s="679"/>
      <c r="MKD162" s="679"/>
      <c r="MKE162" s="679"/>
      <c r="MKF162" s="679"/>
      <c r="MKG162" s="679"/>
      <c r="MKH162" s="679"/>
      <c r="MKI162" s="679"/>
      <c r="MKJ162" s="679"/>
      <c r="MKK162" s="679"/>
      <c r="MKL162" s="679"/>
      <c r="MKM162" s="679"/>
      <c r="MKN162" s="679"/>
      <c r="MKO162" s="679"/>
      <c r="MKP162" s="679"/>
      <c r="MKQ162" s="679"/>
      <c r="MKR162" s="679"/>
      <c r="MKS162" s="679"/>
      <c r="MKT162" s="679"/>
      <c r="MKU162" s="679"/>
      <c r="MKV162" s="679"/>
      <c r="MKW162" s="679"/>
      <c r="MKX162" s="679"/>
      <c r="MKY162" s="679"/>
      <c r="MKZ162" s="679"/>
      <c r="MLA162" s="679"/>
      <c r="MLB162" s="679"/>
      <c r="MLC162" s="679"/>
      <c r="MLD162" s="679"/>
      <c r="MLE162" s="679"/>
      <c r="MLF162" s="679"/>
      <c r="MLG162" s="679"/>
      <c r="MLH162" s="679"/>
      <c r="MLI162" s="679"/>
      <c r="MLJ162" s="679"/>
      <c r="MLK162" s="679"/>
      <c r="MLL162" s="679"/>
      <c r="MLM162" s="679"/>
      <c r="MLN162" s="679"/>
      <c r="MLO162" s="679"/>
      <c r="MLP162" s="679"/>
      <c r="MLQ162" s="679"/>
      <c r="MLR162" s="679"/>
      <c r="MLS162" s="679"/>
      <c r="MLT162" s="679"/>
      <c r="MLU162" s="679"/>
      <c r="MLV162" s="679"/>
      <c r="MLW162" s="679"/>
      <c r="MLX162" s="679"/>
      <c r="MLY162" s="679"/>
      <c r="MLZ162" s="679"/>
      <c r="MMA162" s="679"/>
      <c r="MMB162" s="679"/>
      <c r="MMC162" s="679"/>
      <c r="MMD162" s="679"/>
      <c r="MME162" s="679"/>
      <c r="MMF162" s="679"/>
      <c r="MMG162" s="679"/>
      <c r="MMH162" s="679"/>
      <c r="MMI162" s="679"/>
      <c r="MMJ162" s="679"/>
      <c r="MMK162" s="679"/>
      <c r="MML162" s="679"/>
      <c r="MMM162" s="679"/>
      <c r="MMN162" s="679"/>
      <c r="MMO162" s="679"/>
      <c r="MMP162" s="679"/>
      <c r="MMQ162" s="679"/>
      <c r="MMR162" s="679"/>
      <c r="MMS162" s="679"/>
      <c r="MMT162" s="679"/>
      <c r="MMU162" s="679"/>
      <c r="MMV162" s="679"/>
      <c r="MMW162" s="679"/>
      <c r="MMX162" s="679"/>
      <c r="MMY162" s="679"/>
      <c r="MMZ162" s="679"/>
      <c r="MNA162" s="679"/>
      <c r="MNB162" s="679"/>
      <c r="MNC162" s="679"/>
      <c r="MND162" s="679"/>
      <c r="MNE162" s="679"/>
      <c r="MNF162" s="679"/>
      <c r="MNG162" s="679"/>
      <c r="MNH162" s="679"/>
      <c r="MNI162" s="679"/>
      <c r="MNJ162" s="679"/>
      <c r="MNK162" s="679"/>
      <c r="MNL162" s="679"/>
      <c r="MNM162" s="679"/>
      <c r="MNN162" s="679"/>
      <c r="MNO162" s="679"/>
      <c r="MNP162" s="679"/>
      <c r="MNQ162" s="679"/>
      <c r="MNR162" s="679"/>
      <c r="MNS162" s="679"/>
      <c r="MNT162" s="679"/>
      <c r="MNU162" s="679"/>
      <c r="MNV162" s="679"/>
      <c r="MNW162" s="679"/>
      <c r="MNX162" s="679"/>
      <c r="MNY162" s="679"/>
      <c r="MNZ162" s="679"/>
      <c r="MOA162" s="679"/>
      <c r="MOB162" s="679"/>
      <c r="MOC162" s="679"/>
      <c r="MOD162" s="679"/>
      <c r="MOE162" s="679"/>
      <c r="MOF162" s="679"/>
      <c r="MOG162" s="679"/>
      <c r="MOH162" s="679"/>
      <c r="MOI162" s="679"/>
      <c r="MOJ162" s="679"/>
      <c r="MOK162" s="679"/>
      <c r="MOL162" s="679"/>
      <c r="MOM162" s="679"/>
      <c r="MON162" s="679"/>
      <c r="MOO162" s="679"/>
      <c r="MOP162" s="679"/>
      <c r="MOQ162" s="679"/>
      <c r="MOR162" s="679"/>
      <c r="MOS162" s="679"/>
      <c r="MOT162" s="679"/>
      <c r="MOU162" s="679"/>
      <c r="MOV162" s="679"/>
      <c r="MOW162" s="679"/>
      <c r="MOX162" s="679"/>
      <c r="MOY162" s="679"/>
      <c r="MOZ162" s="679"/>
      <c r="MPA162" s="679"/>
      <c r="MPB162" s="679"/>
      <c r="MPC162" s="679"/>
      <c r="MPD162" s="679"/>
      <c r="MPE162" s="679"/>
      <c r="MPF162" s="679"/>
      <c r="MPG162" s="679"/>
      <c r="MPH162" s="679"/>
      <c r="MPI162" s="679"/>
      <c r="MPJ162" s="679"/>
      <c r="MPK162" s="679"/>
      <c r="MPL162" s="679"/>
      <c r="MPM162" s="679"/>
      <c r="MPN162" s="679"/>
      <c r="MPO162" s="679"/>
      <c r="MPP162" s="679"/>
      <c r="MPQ162" s="679"/>
      <c r="MPR162" s="679"/>
      <c r="MPS162" s="679"/>
      <c r="MPT162" s="679"/>
      <c r="MPU162" s="679"/>
      <c r="MPV162" s="679"/>
      <c r="MPW162" s="679"/>
      <c r="MPX162" s="679"/>
      <c r="MPY162" s="679"/>
      <c r="MPZ162" s="679"/>
      <c r="MQA162" s="679"/>
      <c r="MQB162" s="679"/>
      <c r="MQC162" s="679"/>
      <c r="MQD162" s="679"/>
      <c r="MQE162" s="679"/>
      <c r="MQF162" s="679"/>
      <c r="MQG162" s="679"/>
      <c r="MQH162" s="679"/>
      <c r="MQI162" s="679"/>
      <c r="MQJ162" s="679"/>
      <c r="MQK162" s="679"/>
      <c r="MQL162" s="679"/>
      <c r="MQM162" s="679"/>
      <c r="MQN162" s="679"/>
      <c r="MQO162" s="679"/>
      <c r="MQP162" s="679"/>
      <c r="MQQ162" s="679"/>
      <c r="MQR162" s="679"/>
      <c r="MQS162" s="679"/>
      <c r="MQT162" s="679"/>
      <c r="MQU162" s="679"/>
      <c r="MQV162" s="679"/>
      <c r="MQW162" s="679"/>
      <c r="MQX162" s="679"/>
      <c r="MQY162" s="679"/>
      <c r="MQZ162" s="679"/>
      <c r="MRA162" s="679"/>
      <c r="MRB162" s="679"/>
      <c r="MRC162" s="679"/>
      <c r="MRD162" s="679"/>
      <c r="MRE162" s="679"/>
      <c r="MRF162" s="679"/>
      <c r="MRG162" s="679"/>
      <c r="MRH162" s="679"/>
      <c r="MRI162" s="679"/>
      <c r="MRJ162" s="679"/>
      <c r="MRK162" s="679"/>
      <c r="MRL162" s="679"/>
      <c r="MRM162" s="679"/>
      <c r="MRN162" s="679"/>
      <c r="MRO162" s="679"/>
      <c r="MRP162" s="679"/>
      <c r="MRQ162" s="679"/>
      <c r="MRR162" s="679"/>
      <c r="MRS162" s="679"/>
      <c r="MRT162" s="679"/>
      <c r="MRU162" s="679"/>
      <c r="MRV162" s="679"/>
      <c r="MRW162" s="679"/>
      <c r="MRX162" s="679"/>
      <c r="MRY162" s="679"/>
      <c r="MRZ162" s="679"/>
      <c r="MSA162" s="679"/>
      <c r="MSB162" s="679"/>
      <c r="MSC162" s="679"/>
      <c r="MSD162" s="679"/>
      <c r="MSE162" s="679"/>
      <c r="MSF162" s="679"/>
      <c r="MSG162" s="679"/>
      <c r="MSH162" s="679"/>
      <c r="MSI162" s="679"/>
      <c r="MSJ162" s="679"/>
      <c r="MSK162" s="679"/>
      <c r="MSL162" s="679"/>
      <c r="MSM162" s="679"/>
      <c r="MSN162" s="679"/>
      <c r="MSO162" s="679"/>
      <c r="MSP162" s="679"/>
      <c r="MSQ162" s="679"/>
      <c r="MSR162" s="679"/>
      <c r="MSS162" s="679"/>
      <c r="MST162" s="679"/>
      <c r="MSU162" s="679"/>
      <c r="MSV162" s="679"/>
      <c r="MSW162" s="679"/>
      <c r="MSX162" s="679"/>
      <c r="MSY162" s="679"/>
      <c r="MSZ162" s="679"/>
      <c r="MTA162" s="679"/>
      <c r="MTB162" s="679"/>
      <c r="MTC162" s="679"/>
      <c r="MTD162" s="679"/>
      <c r="MTE162" s="679"/>
      <c r="MTF162" s="679"/>
      <c r="MTG162" s="679"/>
      <c r="MTH162" s="679"/>
      <c r="MTI162" s="679"/>
      <c r="MTJ162" s="679"/>
      <c r="MTK162" s="679"/>
      <c r="MTL162" s="679"/>
      <c r="MTM162" s="679"/>
      <c r="MTN162" s="679"/>
      <c r="MTO162" s="679"/>
      <c r="MTP162" s="679"/>
      <c r="MTQ162" s="679"/>
      <c r="MTR162" s="679"/>
      <c r="MTS162" s="679"/>
      <c r="MTT162" s="679"/>
      <c r="MTU162" s="679"/>
      <c r="MTV162" s="679"/>
      <c r="MTW162" s="679"/>
      <c r="MTX162" s="679"/>
      <c r="MTY162" s="679"/>
      <c r="MTZ162" s="679"/>
      <c r="MUA162" s="679"/>
      <c r="MUB162" s="679"/>
      <c r="MUC162" s="679"/>
      <c r="MUD162" s="679"/>
      <c r="MUE162" s="679"/>
      <c r="MUF162" s="679"/>
      <c r="MUG162" s="679"/>
      <c r="MUH162" s="679"/>
      <c r="MUI162" s="679"/>
      <c r="MUJ162" s="679"/>
      <c r="MUK162" s="679"/>
      <c r="MUL162" s="679"/>
      <c r="MUM162" s="679"/>
      <c r="MUN162" s="679"/>
      <c r="MUO162" s="679"/>
      <c r="MUP162" s="679"/>
      <c r="MUQ162" s="679"/>
      <c r="MUR162" s="679"/>
      <c r="MUS162" s="679"/>
      <c r="MUT162" s="679"/>
      <c r="MUU162" s="679"/>
      <c r="MUV162" s="679"/>
      <c r="MUW162" s="679"/>
      <c r="MUX162" s="679"/>
      <c r="MUY162" s="679"/>
      <c r="MUZ162" s="679"/>
      <c r="MVA162" s="679"/>
      <c r="MVB162" s="679"/>
      <c r="MVC162" s="679"/>
      <c r="MVD162" s="679"/>
      <c r="MVE162" s="679"/>
      <c r="MVF162" s="679"/>
      <c r="MVG162" s="679"/>
      <c r="MVH162" s="679"/>
      <c r="MVI162" s="679"/>
      <c r="MVJ162" s="679"/>
      <c r="MVK162" s="679"/>
      <c r="MVL162" s="679"/>
      <c r="MVM162" s="679"/>
      <c r="MVN162" s="679"/>
      <c r="MVO162" s="679"/>
      <c r="MVP162" s="679"/>
      <c r="MVQ162" s="679"/>
      <c r="MVR162" s="679"/>
      <c r="MVS162" s="679"/>
      <c r="MVT162" s="679"/>
      <c r="MVU162" s="679"/>
      <c r="MVV162" s="679"/>
      <c r="MVW162" s="679"/>
      <c r="MVX162" s="679"/>
      <c r="MVY162" s="679"/>
      <c r="MVZ162" s="679"/>
      <c r="MWA162" s="679"/>
      <c r="MWB162" s="679"/>
      <c r="MWC162" s="679"/>
      <c r="MWD162" s="679"/>
      <c r="MWE162" s="679"/>
      <c r="MWF162" s="679"/>
      <c r="MWG162" s="679"/>
      <c r="MWH162" s="679"/>
      <c r="MWI162" s="679"/>
      <c r="MWJ162" s="679"/>
      <c r="MWK162" s="679"/>
      <c r="MWL162" s="679"/>
      <c r="MWM162" s="679"/>
      <c r="MWN162" s="679"/>
      <c r="MWO162" s="679"/>
      <c r="MWP162" s="679"/>
      <c r="MWQ162" s="679"/>
      <c r="MWR162" s="679"/>
      <c r="MWS162" s="679"/>
      <c r="MWT162" s="679"/>
      <c r="MWU162" s="679"/>
      <c r="MWV162" s="679"/>
      <c r="MWW162" s="679"/>
      <c r="MWX162" s="679"/>
      <c r="MWY162" s="679"/>
      <c r="MWZ162" s="679"/>
      <c r="MXA162" s="679"/>
      <c r="MXB162" s="679"/>
      <c r="MXC162" s="679"/>
      <c r="MXD162" s="679"/>
      <c r="MXE162" s="679"/>
      <c r="MXF162" s="679"/>
      <c r="MXG162" s="679"/>
      <c r="MXH162" s="679"/>
      <c r="MXI162" s="679"/>
      <c r="MXJ162" s="679"/>
      <c r="MXK162" s="679"/>
      <c r="MXL162" s="679"/>
      <c r="MXM162" s="679"/>
      <c r="MXN162" s="679"/>
      <c r="MXO162" s="679"/>
      <c r="MXP162" s="679"/>
      <c r="MXQ162" s="679"/>
      <c r="MXR162" s="679"/>
      <c r="MXS162" s="679"/>
      <c r="MXT162" s="679"/>
      <c r="MXU162" s="679"/>
      <c r="MXV162" s="679"/>
      <c r="MXW162" s="679"/>
      <c r="MXX162" s="679"/>
      <c r="MXY162" s="679"/>
      <c r="MXZ162" s="679"/>
      <c r="MYA162" s="679"/>
      <c r="MYB162" s="679"/>
      <c r="MYC162" s="679"/>
      <c r="MYD162" s="679"/>
      <c r="MYE162" s="679"/>
      <c r="MYF162" s="679"/>
      <c r="MYG162" s="679"/>
      <c r="MYH162" s="679"/>
      <c r="MYI162" s="679"/>
      <c r="MYJ162" s="679"/>
      <c r="MYK162" s="679"/>
      <c r="MYL162" s="679"/>
      <c r="MYM162" s="679"/>
      <c r="MYN162" s="679"/>
      <c r="MYO162" s="679"/>
      <c r="MYP162" s="679"/>
      <c r="MYQ162" s="679"/>
      <c r="MYR162" s="679"/>
      <c r="MYS162" s="679"/>
      <c r="MYT162" s="679"/>
      <c r="MYU162" s="679"/>
      <c r="MYV162" s="679"/>
      <c r="MYW162" s="679"/>
      <c r="MYX162" s="679"/>
      <c r="MYY162" s="679"/>
      <c r="MYZ162" s="679"/>
      <c r="MZA162" s="679"/>
      <c r="MZB162" s="679"/>
      <c r="MZC162" s="679"/>
      <c r="MZD162" s="679"/>
      <c r="MZE162" s="679"/>
      <c r="MZF162" s="679"/>
      <c r="MZG162" s="679"/>
      <c r="MZH162" s="679"/>
      <c r="MZI162" s="679"/>
      <c r="MZJ162" s="679"/>
      <c r="MZK162" s="679"/>
      <c r="MZL162" s="679"/>
      <c r="MZM162" s="679"/>
      <c r="MZN162" s="679"/>
      <c r="MZO162" s="679"/>
      <c r="MZP162" s="679"/>
      <c r="MZQ162" s="679"/>
      <c r="MZR162" s="679"/>
      <c r="MZS162" s="679"/>
      <c r="MZT162" s="679"/>
      <c r="MZU162" s="679"/>
      <c r="MZV162" s="679"/>
      <c r="MZW162" s="679"/>
      <c r="MZX162" s="679"/>
      <c r="MZY162" s="679"/>
      <c r="MZZ162" s="679"/>
      <c r="NAA162" s="679"/>
      <c r="NAB162" s="679"/>
      <c r="NAC162" s="679"/>
      <c r="NAD162" s="679"/>
      <c r="NAE162" s="679"/>
      <c r="NAF162" s="679"/>
      <c r="NAG162" s="679"/>
      <c r="NAH162" s="679"/>
      <c r="NAI162" s="679"/>
      <c r="NAJ162" s="679"/>
      <c r="NAK162" s="679"/>
      <c r="NAL162" s="679"/>
      <c r="NAM162" s="679"/>
      <c r="NAN162" s="679"/>
      <c r="NAO162" s="679"/>
      <c r="NAP162" s="679"/>
      <c r="NAQ162" s="679"/>
      <c r="NAR162" s="679"/>
      <c r="NAS162" s="679"/>
      <c r="NAT162" s="679"/>
      <c r="NAU162" s="679"/>
      <c r="NAV162" s="679"/>
      <c r="NAW162" s="679"/>
      <c r="NAX162" s="679"/>
      <c r="NAY162" s="679"/>
      <c r="NAZ162" s="679"/>
      <c r="NBA162" s="679"/>
      <c r="NBB162" s="679"/>
      <c r="NBC162" s="679"/>
      <c r="NBD162" s="679"/>
      <c r="NBE162" s="679"/>
      <c r="NBF162" s="679"/>
      <c r="NBG162" s="679"/>
      <c r="NBH162" s="679"/>
      <c r="NBI162" s="679"/>
      <c r="NBJ162" s="679"/>
      <c r="NBK162" s="679"/>
      <c r="NBL162" s="679"/>
      <c r="NBM162" s="679"/>
      <c r="NBN162" s="679"/>
      <c r="NBO162" s="679"/>
      <c r="NBP162" s="679"/>
      <c r="NBQ162" s="679"/>
      <c r="NBR162" s="679"/>
      <c r="NBS162" s="679"/>
      <c r="NBT162" s="679"/>
      <c r="NBU162" s="679"/>
      <c r="NBV162" s="679"/>
      <c r="NBW162" s="679"/>
      <c r="NBX162" s="679"/>
      <c r="NBY162" s="679"/>
      <c r="NBZ162" s="679"/>
      <c r="NCA162" s="679"/>
      <c r="NCB162" s="679"/>
      <c r="NCC162" s="679"/>
      <c r="NCD162" s="679"/>
      <c r="NCE162" s="679"/>
      <c r="NCF162" s="679"/>
      <c r="NCG162" s="679"/>
      <c r="NCH162" s="679"/>
      <c r="NCI162" s="679"/>
      <c r="NCJ162" s="679"/>
      <c r="NCK162" s="679"/>
      <c r="NCL162" s="679"/>
      <c r="NCM162" s="679"/>
      <c r="NCN162" s="679"/>
      <c r="NCO162" s="679"/>
      <c r="NCP162" s="679"/>
      <c r="NCQ162" s="679"/>
      <c r="NCR162" s="679"/>
      <c r="NCS162" s="679"/>
      <c r="NCT162" s="679"/>
      <c r="NCU162" s="679"/>
      <c r="NCV162" s="679"/>
      <c r="NCW162" s="679"/>
      <c r="NCX162" s="679"/>
      <c r="NCY162" s="679"/>
      <c r="NCZ162" s="679"/>
      <c r="NDA162" s="679"/>
      <c r="NDB162" s="679"/>
      <c r="NDC162" s="679"/>
      <c r="NDD162" s="679"/>
      <c r="NDE162" s="679"/>
      <c r="NDF162" s="679"/>
      <c r="NDG162" s="679"/>
      <c r="NDH162" s="679"/>
      <c r="NDI162" s="679"/>
      <c r="NDJ162" s="679"/>
      <c r="NDK162" s="679"/>
      <c r="NDL162" s="679"/>
      <c r="NDM162" s="679"/>
      <c r="NDN162" s="679"/>
      <c r="NDO162" s="679"/>
      <c r="NDP162" s="679"/>
      <c r="NDQ162" s="679"/>
      <c r="NDR162" s="679"/>
      <c r="NDS162" s="679"/>
      <c r="NDT162" s="679"/>
      <c r="NDU162" s="679"/>
      <c r="NDV162" s="679"/>
      <c r="NDW162" s="679"/>
      <c r="NDX162" s="679"/>
      <c r="NDY162" s="679"/>
      <c r="NDZ162" s="679"/>
      <c r="NEA162" s="679"/>
      <c r="NEB162" s="679"/>
      <c r="NEC162" s="679"/>
      <c r="NED162" s="679"/>
      <c r="NEE162" s="679"/>
      <c r="NEF162" s="679"/>
      <c r="NEG162" s="679"/>
      <c r="NEH162" s="679"/>
      <c r="NEI162" s="679"/>
      <c r="NEJ162" s="679"/>
      <c r="NEK162" s="679"/>
      <c r="NEL162" s="679"/>
      <c r="NEM162" s="679"/>
      <c r="NEN162" s="679"/>
      <c r="NEO162" s="679"/>
      <c r="NEP162" s="679"/>
      <c r="NEQ162" s="679"/>
      <c r="NER162" s="679"/>
      <c r="NES162" s="679"/>
      <c r="NET162" s="679"/>
      <c r="NEU162" s="679"/>
      <c r="NEV162" s="679"/>
      <c r="NEW162" s="679"/>
      <c r="NEX162" s="679"/>
      <c r="NEY162" s="679"/>
      <c r="NEZ162" s="679"/>
      <c r="NFA162" s="679"/>
      <c r="NFB162" s="679"/>
      <c r="NFC162" s="679"/>
      <c r="NFD162" s="679"/>
      <c r="NFE162" s="679"/>
      <c r="NFF162" s="679"/>
      <c r="NFG162" s="679"/>
      <c r="NFH162" s="679"/>
      <c r="NFI162" s="679"/>
      <c r="NFJ162" s="679"/>
      <c r="NFK162" s="679"/>
      <c r="NFL162" s="679"/>
      <c r="NFM162" s="679"/>
      <c r="NFN162" s="679"/>
      <c r="NFO162" s="679"/>
      <c r="NFP162" s="679"/>
      <c r="NFQ162" s="679"/>
      <c r="NFR162" s="679"/>
      <c r="NFS162" s="679"/>
      <c r="NFT162" s="679"/>
      <c r="NFU162" s="679"/>
      <c r="NFV162" s="679"/>
      <c r="NFW162" s="679"/>
      <c r="NFX162" s="679"/>
      <c r="NFY162" s="679"/>
      <c r="NFZ162" s="679"/>
      <c r="NGA162" s="679"/>
      <c r="NGB162" s="679"/>
      <c r="NGC162" s="679"/>
      <c r="NGD162" s="679"/>
      <c r="NGE162" s="679"/>
      <c r="NGF162" s="679"/>
      <c r="NGG162" s="679"/>
      <c r="NGH162" s="679"/>
      <c r="NGI162" s="679"/>
      <c r="NGJ162" s="679"/>
      <c r="NGK162" s="679"/>
      <c r="NGL162" s="679"/>
      <c r="NGM162" s="679"/>
      <c r="NGN162" s="679"/>
      <c r="NGO162" s="679"/>
      <c r="NGP162" s="679"/>
      <c r="NGQ162" s="679"/>
      <c r="NGR162" s="679"/>
      <c r="NGS162" s="679"/>
      <c r="NGT162" s="679"/>
      <c r="NGU162" s="679"/>
      <c r="NGV162" s="679"/>
      <c r="NGW162" s="679"/>
      <c r="NGX162" s="679"/>
      <c r="NGY162" s="679"/>
      <c r="NGZ162" s="679"/>
      <c r="NHA162" s="679"/>
      <c r="NHB162" s="679"/>
      <c r="NHC162" s="679"/>
      <c r="NHD162" s="679"/>
      <c r="NHE162" s="679"/>
      <c r="NHF162" s="679"/>
      <c r="NHG162" s="679"/>
      <c r="NHH162" s="679"/>
      <c r="NHI162" s="679"/>
      <c r="NHJ162" s="679"/>
      <c r="NHK162" s="679"/>
      <c r="NHL162" s="679"/>
      <c r="NHM162" s="679"/>
      <c r="NHN162" s="679"/>
      <c r="NHO162" s="679"/>
      <c r="NHP162" s="679"/>
      <c r="NHQ162" s="679"/>
      <c r="NHR162" s="679"/>
      <c r="NHS162" s="679"/>
      <c r="NHT162" s="679"/>
      <c r="NHU162" s="679"/>
      <c r="NHV162" s="679"/>
      <c r="NHW162" s="679"/>
      <c r="NHX162" s="679"/>
      <c r="NHY162" s="679"/>
      <c r="NHZ162" s="679"/>
      <c r="NIA162" s="679"/>
      <c r="NIB162" s="679"/>
      <c r="NIC162" s="679"/>
      <c r="NID162" s="679"/>
      <c r="NIE162" s="679"/>
      <c r="NIF162" s="679"/>
      <c r="NIG162" s="679"/>
      <c r="NIH162" s="679"/>
      <c r="NII162" s="679"/>
      <c r="NIJ162" s="679"/>
      <c r="NIK162" s="679"/>
      <c r="NIL162" s="679"/>
      <c r="NIM162" s="679"/>
      <c r="NIN162" s="679"/>
      <c r="NIO162" s="679"/>
      <c r="NIP162" s="679"/>
      <c r="NIQ162" s="679"/>
      <c r="NIR162" s="679"/>
      <c r="NIS162" s="679"/>
      <c r="NIT162" s="679"/>
      <c r="NIU162" s="679"/>
      <c r="NIV162" s="679"/>
      <c r="NIW162" s="679"/>
      <c r="NIX162" s="679"/>
      <c r="NIY162" s="679"/>
      <c r="NIZ162" s="679"/>
      <c r="NJA162" s="679"/>
      <c r="NJB162" s="679"/>
      <c r="NJC162" s="679"/>
      <c r="NJD162" s="679"/>
      <c r="NJE162" s="679"/>
      <c r="NJF162" s="679"/>
      <c r="NJG162" s="679"/>
      <c r="NJH162" s="679"/>
      <c r="NJI162" s="679"/>
      <c r="NJJ162" s="679"/>
      <c r="NJK162" s="679"/>
      <c r="NJL162" s="679"/>
      <c r="NJM162" s="679"/>
      <c r="NJN162" s="679"/>
      <c r="NJO162" s="679"/>
      <c r="NJP162" s="679"/>
      <c r="NJQ162" s="679"/>
      <c r="NJR162" s="679"/>
      <c r="NJS162" s="679"/>
      <c r="NJT162" s="679"/>
      <c r="NJU162" s="679"/>
      <c r="NJV162" s="679"/>
      <c r="NJW162" s="679"/>
      <c r="NJX162" s="679"/>
      <c r="NJY162" s="679"/>
      <c r="NJZ162" s="679"/>
      <c r="NKA162" s="679"/>
      <c r="NKB162" s="679"/>
      <c r="NKC162" s="679"/>
      <c r="NKD162" s="679"/>
      <c r="NKE162" s="679"/>
      <c r="NKF162" s="679"/>
      <c r="NKG162" s="679"/>
      <c r="NKH162" s="679"/>
      <c r="NKI162" s="679"/>
      <c r="NKJ162" s="679"/>
      <c r="NKK162" s="679"/>
      <c r="NKL162" s="679"/>
      <c r="NKM162" s="679"/>
      <c r="NKN162" s="679"/>
      <c r="NKO162" s="679"/>
      <c r="NKP162" s="679"/>
      <c r="NKQ162" s="679"/>
      <c r="NKR162" s="679"/>
      <c r="NKS162" s="679"/>
      <c r="NKT162" s="679"/>
      <c r="NKU162" s="679"/>
      <c r="NKV162" s="679"/>
      <c r="NKW162" s="679"/>
      <c r="NKX162" s="679"/>
      <c r="NKY162" s="679"/>
      <c r="NKZ162" s="679"/>
      <c r="NLA162" s="679"/>
      <c r="NLB162" s="679"/>
      <c r="NLC162" s="679"/>
      <c r="NLD162" s="679"/>
      <c r="NLE162" s="679"/>
      <c r="NLF162" s="679"/>
      <c r="NLG162" s="679"/>
      <c r="NLH162" s="679"/>
      <c r="NLI162" s="679"/>
      <c r="NLJ162" s="679"/>
      <c r="NLK162" s="679"/>
      <c r="NLL162" s="679"/>
      <c r="NLM162" s="679"/>
      <c r="NLN162" s="679"/>
      <c r="NLO162" s="679"/>
      <c r="NLP162" s="679"/>
      <c r="NLQ162" s="679"/>
      <c r="NLR162" s="679"/>
      <c r="NLS162" s="679"/>
      <c r="NLT162" s="679"/>
      <c r="NLU162" s="679"/>
      <c r="NLV162" s="679"/>
      <c r="NLW162" s="679"/>
      <c r="NLX162" s="679"/>
      <c r="NLY162" s="679"/>
      <c r="NLZ162" s="679"/>
      <c r="NMA162" s="679"/>
      <c r="NMB162" s="679"/>
      <c r="NMC162" s="679"/>
      <c r="NMD162" s="679"/>
      <c r="NME162" s="679"/>
      <c r="NMF162" s="679"/>
      <c r="NMG162" s="679"/>
      <c r="NMH162" s="679"/>
      <c r="NMI162" s="679"/>
      <c r="NMJ162" s="679"/>
      <c r="NMK162" s="679"/>
      <c r="NML162" s="679"/>
      <c r="NMM162" s="679"/>
      <c r="NMN162" s="679"/>
      <c r="NMO162" s="679"/>
      <c r="NMP162" s="679"/>
      <c r="NMQ162" s="679"/>
      <c r="NMR162" s="679"/>
      <c r="NMS162" s="679"/>
      <c r="NMT162" s="679"/>
      <c r="NMU162" s="679"/>
      <c r="NMV162" s="679"/>
      <c r="NMW162" s="679"/>
      <c r="NMX162" s="679"/>
      <c r="NMY162" s="679"/>
      <c r="NMZ162" s="679"/>
      <c r="NNA162" s="679"/>
      <c r="NNB162" s="679"/>
      <c r="NNC162" s="679"/>
      <c r="NND162" s="679"/>
      <c r="NNE162" s="679"/>
      <c r="NNF162" s="679"/>
      <c r="NNG162" s="679"/>
      <c r="NNH162" s="679"/>
      <c r="NNI162" s="679"/>
      <c r="NNJ162" s="679"/>
      <c r="NNK162" s="679"/>
      <c r="NNL162" s="679"/>
      <c r="NNM162" s="679"/>
      <c r="NNN162" s="679"/>
      <c r="NNO162" s="679"/>
      <c r="NNP162" s="679"/>
      <c r="NNQ162" s="679"/>
      <c r="NNR162" s="679"/>
      <c r="NNS162" s="679"/>
      <c r="NNT162" s="679"/>
      <c r="NNU162" s="679"/>
      <c r="NNV162" s="679"/>
      <c r="NNW162" s="679"/>
      <c r="NNX162" s="679"/>
      <c r="NNY162" s="679"/>
      <c r="NNZ162" s="679"/>
      <c r="NOA162" s="679"/>
      <c r="NOB162" s="679"/>
      <c r="NOC162" s="679"/>
      <c r="NOD162" s="679"/>
      <c r="NOE162" s="679"/>
      <c r="NOF162" s="679"/>
      <c r="NOG162" s="679"/>
      <c r="NOH162" s="679"/>
      <c r="NOI162" s="679"/>
      <c r="NOJ162" s="679"/>
      <c r="NOK162" s="679"/>
      <c r="NOL162" s="679"/>
      <c r="NOM162" s="679"/>
      <c r="NON162" s="679"/>
      <c r="NOO162" s="679"/>
      <c r="NOP162" s="679"/>
      <c r="NOQ162" s="679"/>
      <c r="NOR162" s="679"/>
      <c r="NOS162" s="679"/>
      <c r="NOT162" s="679"/>
      <c r="NOU162" s="679"/>
      <c r="NOV162" s="679"/>
      <c r="NOW162" s="679"/>
      <c r="NOX162" s="679"/>
      <c r="NOY162" s="679"/>
      <c r="NOZ162" s="679"/>
      <c r="NPA162" s="679"/>
      <c r="NPB162" s="679"/>
      <c r="NPC162" s="679"/>
      <c r="NPD162" s="679"/>
      <c r="NPE162" s="679"/>
      <c r="NPF162" s="679"/>
      <c r="NPG162" s="679"/>
      <c r="NPH162" s="679"/>
      <c r="NPI162" s="679"/>
      <c r="NPJ162" s="679"/>
      <c r="NPK162" s="679"/>
      <c r="NPL162" s="679"/>
      <c r="NPM162" s="679"/>
      <c r="NPN162" s="679"/>
      <c r="NPO162" s="679"/>
      <c r="NPP162" s="679"/>
      <c r="NPQ162" s="679"/>
      <c r="NPR162" s="679"/>
      <c r="NPS162" s="679"/>
      <c r="NPT162" s="679"/>
      <c r="NPU162" s="679"/>
      <c r="NPV162" s="679"/>
      <c r="NPW162" s="679"/>
      <c r="NPX162" s="679"/>
      <c r="NPY162" s="679"/>
      <c r="NPZ162" s="679"/>
      <c r="NQA162" s="679"/>
      <c r="NQB162" s="679"/>
      <c r="NQC162" s="679"/>
      <c r="NQD162" s="679"/>
      <c r="NQE162" s="679"/>
      <c r="NQF162" s="679"/>
      <c r="NQG162" s="679"/>
      <c r="NQH162" s="679"/>
      <c r="NQI162" s="679"/>
      <c r="NQJ162" s="679"/>
      <c r="NQK162" s="679"/>
      <c r="NQL162" s="679"/>
      <c r="NQM162" s="679"/>
      <c r="NQN162" s="679"/>
      <c r="NQO162" s="679"/>
      <c r="NQP162" s="679"/>
      <c r="NQQ162" s="679"/>
      <c r="NQR162" s="679"/>
      <c r="NQS162" s="679"/>
      <c r="NQT162" s="679"/>
      <c r="NQU162" s="679"/>
      <c r="NQV162" s="679"/>
      <c r="NQW162" s="679"/>
      <c r="NQX162" s="679"/>
      <c r="NQY162" s="679"/>
      <c r="NQZ162" s="679"/>
      <c r="NRA162" s="679"/>
      <c r="NRB162" s="679"/>
      <c r="NRC162" s="679"/>
      <c r="NRD162" s="679"/>
      <c r="NRE162" s="679"/>
      <c r="NRF162" s="679"/>
      <c r="NRG162" s="679"/>
      <c r="NRH162" s="679"/>
      <c r="NRI162" s="679"/>
      <c r="NRJ162" s="679"/>
      <c r="NRK162" s="679"/>
      <c r="NRL162" s="679"/>
      <c r="NRM162" s="679"/>
      <c r="NRN162" s="679"/>
      <c r="NRO162" s="679"/>
      <c r="NRP162" s="679"/>
      <c r="NRQ162" s="679"/>
      <c r="NRR162" s="679"/>
      <c r="NRS162" s="679"/>
      <c r="NRT162" s="679"/>
      <c r="NRU162" s="679"/>
      <c r="NRV162" s="679"/>
      <c r="NRW162" s="679"/>
      <c r="NRX162" s="679"/>
      <c r="NRY162" s="679"/>
      <c r="NRZ162" s="679"/>
      <c r="NSA162" s="679"/>
      <c r="NSB162" s="679"/>
      <c r="NSC162" s="679"/>
      <c r="NSD162" s="679"/>
      <c r="NSE162" s="679"/>
      <c r="NSF162" s="679"/>
      <c r="NSG162" s="679"/>
      <c r="NSH162" s="679"/>
      <c r="NSI162" s="679"/>
      <c r="NSJ162" s="679"/>
      <c r="NSK162" s="679"/>
      <c r="NSL162" s="679"/>
      <c r="NSM162" s="679"/>
      <c r="NSN162" s="679"/>
      <c r="NSO162" s="679"/>
      <c r="NSP162" s="679"/>
      <c r="NSQ162" s="679"/>
      <c r="NSR162" s="679"/>
      <c r="NSS162" s="679"/>
      <c r="NST162" s="679"/>
      <c r="NSU162" s="679"/>
      <c r="NSV162" s="679"/>
      <c r="NSW162" s="679"/>
      <c r="NSX162" s="679"/>
      <c r="NSY162" s="679"/>
      <c r="NSZ162" s="679"/>
      <c r="NTA162" s="679"/>
      <c r="NTB162" s="679"/>
      <c r="NTC162" s="679"/>
      <c r="NTD162" s="679"/>
      <c r="NTE162" s="679"/>
      <c r="NTF162" s="679"/>
      <c r="NTG162" s="679"/>
      <c r="NTH162" s="679"/>
      <c r="NTI162" s="679"/>
      <c r="NTJ162" s="679"/>
      <c r="NTK162" s="679"/>
      <c r="NTL162" s="679"/>
      <c r="NTM162" s="679"/>
      <c r="NTN162" s="679"/>
      <c r="NTO162" s="679"/>
      <c r="NTP162" s="679"/>
      <c r="NTQ162" s="679"/>
      <c r="NTR162" s="679"/>
      <c r="NTS162" s="679"/>
      <c r="NTT162" s="679"/>
      <c r="NTU162" s="679"/>
      <c r="NTV162" s="679"/>
      <c r="NTW162" s="679"/>
      <c r="NTX162" s="679"/>
      <c r="NTY162" s="679"/>
      <c r="NTZ162" s="679"/>
      <c r="NUA162" s="679"/>
      <c r="NUB162" s="679"/>
      <c r="NUC162" s="679"/>
      <c r="NUD162" s="679"/>
      <c r="NUE162" s="679"/>
      <c r="NUF162" s="679"/>
      <c r="NUG162" s="679"/>
      <c r="NUH162" s="679"/>
      <c r="NUI162" s="679"/>
      <c r="NUJ162" s="679"/>
      <c r="NUK162" s="679"/>
      <c r="NUL162" s="679"/>
      <c r="NUM162" s="679"/>
      <c r="NUN162" s="679"/>
      <c r="NUO162" s="679"/>
      <c r="NUP162" s="679"/>
      <c r="NUQ162" s="679"/>
      <c r="NUR162" s="679"/>
      <c r="NUS162" s="679"/>
      <c r="NUT162" s="679"/>
      <c r="NUU162" s="679"/>
      <c r="NUV162" s="679"/>
      <c r="NUW162" s="679"/>
      <c r="NUX162" s="679"/>
      <c r="NUY162" s="679"/>
      <c r="NUZ162" s="679"/>
      <c r="NVA162" s="679"/>
      <c r="NVB162" s="679"/>
      <c r="NVC162" s="679"/>
      <c r="NVD162" s="679"/>
      <c r="NVE162" s="679"/>
      <c r="NVF162" s="679"/>
      <c r="NVG162" s="679"/>
      <c r="NVH162" s="679"/>
      <c r="NVI162" s="679"/>
      <c r="NVJ162" s="679"/>
      <c r="NVK162" s="679"/>
      <c r="NVL162" s="679"/>
      <c r="NVM162" s="679"/>
      <c r="NVN162" s="679"/>
      <c r="NVO162" s="679"/>
      <c r="NVP162" s="679"/>
      <c r="NVQ162" s="679"/>
      <c r="NVR162" s="679"/>
      <c r="NVS162" s="679"/>
      <c r="NVT162" s="679"/>
      <c r="NVU162" s="679"/>
      <c r="NVV162" s="679"/>
      <c r="NVW162" s="679"/>
      <c r="NVX162" s="679"/>
      <c r="NVY162" s="679"/>
      <c r="NVZ162" s="679"/>
      <c r="NWA162" s="679"/>
      <c r="NWB162" s="679"/>
      <c r="NWC162" s="679"/>
      <c r="NWD162" s="679"/>
      <c r="NWE162" s="679"/>
      <c r="NWF162" s="679"/>
      <c r="NWG162" s="679"/>
      <c r="NWH162" s="679"/>
      <c r="NWI162" s="679"/>
      <c r="NWJ162" s="679"/>
      <c r="NWK162" s="679"/>
      <c r="NWL162" s="679"/>
      <c r="NWM162" s="679"/>
      <c r="NWN162" s="679"/>
      <c r="NWO162" s="679"/>
      <c r="NWP162" s="679"/>
      <c r="NWQ162" s="679"/>
      <c r="NWR162" s="679"/>
      <c r="NWS162" s="679"/>
      <c r="NWT162" s="679"/>
      <c r="NWU162" s="679"/>
      <c r="NWV162" s="679"/>
      <c r="NWW162" s="679"/>
      <c r="NWX162" s="679"/>
      <c r="NWY162" s="679"/>
      <c r="NWZ162" s="679"/>
      <c r="NXA162" s="679"/>
      <c r="NXB162" s="679"/>
      <c r="NXC162" s="679"/>
      <c r="NXD162" s="679"/>
      <c r="NXE162" s="679"/>
      <c r="NXF162" s="679"/>
      <c r="NXG162" s="679"/>
      <c r="NXH162" s="679"/>
      <c r="NXI162" s="679"/>
      <c r="NXJ162" s="679"/>
      <c r="NXK162" s="679"/>
      <c r="NXL162" s="679"/>
      <c r="NXM162" s="679"/>
      <c r="NXN162" s="679"/>
      <c r="NXO162" s="679"/>
      <c r="NXP162" s="679"/>
      <c r="NXQ162" s="679"/>
      <c r="NXR162" s="679"/>
      <c r="NXS162" s="679"/>
      <c r="NXT162" s="679"/>
      <c r="NXU162" s="679"/>
      <c r="NXV162" s="679"/>
      <c r="NXW162" s="679"/>
      <c r="NXX162" s="679"/>
      <c r="NXY162" s="679"/>
      <c r="NXZ162" s="679"/>
      <c r="NYA162" s="679"/>
      <c r="NYB162" s="679"/>
      <c r="NYC162" s="679"/>
      <c r="NYD162" s="679"/>
      <c r="NYE162" s="679"/>
      <c r="NYF162" s="679"/>
      <c r="NYG162" s="679"/>
      <c r="NYH162" s="679"/>
      <c r="NYI162" s="679"/>
      <c r="NYJ162" s="679"/>
      <c r="NYK162" s="679"/>
      <c r="NYL162" s="679"/>
      <c r="NYM162" s="679"/>
      <c r="NYN162" s="679"/>
      <c r="NYO162" s="679"/>
      <c r="NYP162" s="679"/>
      <c r="NYQ162" s="679"/>
      <c r="NYR162" s="679"/>
      <c r="NYS162" s="679"/>
      <c r="NYT162" s="679"/>
      <c r="NYU162" s="679"/>
      <c r="NYV162" s="679"/>
      <c r="NYW162" s="679"/>
      <c r="NYX162" s="679"/>
      <c r="NYY162" s="679"/>
      <c r="NYZ162" s="679"/>
      <c r="NZA162" s="679"/>
      <c r="NZB162" s="679"/>
      <c r="NZC162" s="679"/>
      <c r="NZD162" s="679"/>
      <c r="NZE162" s="679"/>
      <c r="NZF162" s="679"/>
      <c r="NZG162" s="679"/>
      <c r="NZH162" s="679"/>
      <c r="NZI162" s="679"/>
      <c r="NZJ162" s="679"/>
      <c r="NZK162" s="679"/>
      <c r="NZL162" s="679"/>
      <c r="NZM162" s="679"/>
      <c r="NZN162" s="679"/>
      <c r="NZO162" s="679"/>
      <c r="NZP162" s="679"/>
      <c r="NZQ162" s="679"/>
      <c r="NZR162" s="679"/>
      <c r="NZS162" s="679"/>
      <c r="NZT162" s="679"/>
      <c r="NZU162" s="679"/>
      <c r="NZV162" s="679"/>
      <c r="NZW162" s="679"/>
      <c r="NZX162" s="679"/>
      <c r="NZY162" s="679"/>
      <c r="NZZ162" s="679"/>
      <c r="OAA162" s="679"/>
      <c r="OAB162" s="679"/>
      <c r="OAC162" s="679"/>
      <c r="OAD162" s="679"/>
      <c r="OAE162" s="679"/>
      <c r="OAF162" s="679"/>
      <c r="OAG162" s="679"/>
      <c r="OAH162" s="679"/>
      <c r="OAI162" s="679"/>
      <c r="OAJ162" s="679"/>
      <c r="OAK162" s="679"/>
      <c r="OAL162" s="679"/>
      <c r="OAM162" s="679"/>
      <c r="OAN162" s="679"/>
      <c r="OAO162" s="679"/>
      <c r="OAP162" s="679"/>
      <c r="OAQ162" s="679"/>
      <c r="OAR162" s="679"/>
      <c r="OAS162" s="679"/>
      <c r="OAT162" s="679"/>
      <c r="OAU162" s="679"/>
      <c r="OAV162" s="679"/>
      <c r="OAW162" s="679"/>
      <c r="OAX162" s="679"/>
      <c r="OAY162" s="679"/>
      <c r="OAZ162" s="679"/>
      <c r="OBA162" s="679"/>
      <c r="OBB162" s="679"/>
      <c r="OBC162" s="679"/>
      <c r="OBD162" s="679"/>
      <c r="OBE162" s="679"/>
      <c r="OBF162" s="679"/>
      <c r="OBG162" s="679"/>
      <c r="OBH162" s="679"/>
      <c r="OBI162" s="679"/>
      <c r="OBJ162" s="679"/>
      <c r="OBK162" s="679"/>
      <c r="OBL162" s="679"/>
      <c r="OBM162" s="679"/>
      <c r="OBN162" s="679"/>
      <c r="OBO162" s="679"/>
      <c r="OBP162" s="679"/>
      <c r="OBQ162" s="679"/>
      <c r="OBR162" s="679"/>
      <c r="OBS162" s="679"/>
      <c r="OBT162" s="679"/>
      <c r="OBU162" s="679"/>
      <c r="OBV162" s="679"/>
      <c r="OBW162" s="679"/>
      <c r="OBX162" s="679"/>
      <c r="OBY162" s="679"/>
      <c r="OBZ162" s="679"/>
      <c r="OCA162" s="679"/>
      <c r="OCB162" s="679"/>
      <c r="OCC162" s="679"/>
      <c r="OCD162" s="679"/>
      <c r="OCE162" s="679"/>
      <c r="OCF162" s="679"/>
      <c r="OCG162" s="679"/>
      <c r="OCH162" s="679"/>
      <c r="OCI162" s="679"/>
      <c r="OCJ162" s="679"/>
      <c r="OCK162" s="679"/>
      <c r="OCL162" s="679"/>
      <c r="OCM162" s="679"/>
      <c r="OCN162" s="679"/>
      <c r="OCO162" s="679"/>
      <c r="OCP162" s="679"/>
      <c r="OCQ162" s="679"/>
      <c r="OCR162" s="679"/>
      <c r="OCS162" s="679"/>
      <c r="OCT162" s="679"/>
      <c r="OCU162" s="679"/>
      <c r="OCV162" s="679"/>
      <c r="OCW162" s="679"/>
      <c r="OCX162" s="679"/>
      <c r="OCY162" s="679"/>
      <c r="OCZ162" s="679"/>
      <c r="ODA162" s="679"/>
      <c r="ODB162" s="679"/>
      <c r="ODC162" s="679"/>
      <c r="ODD162" s="679"/>
      <c r="ODE162" s="679"/>
      <c r="ODF162" s="679"/>
      <c r="ODG162" s="679"/>
      <c r="ODH162" s="679"/>
      <c r="ODI162" s="679"/>
      <c r="ODJ162" s="679"/>
      <c r="ODK162" s="679"/>
      <c r="ODL162" s="679"/>
      <c r="ODM162" s="679"/>
      <c r="ODN162" s="679"/>
      <c r="ODO162" s="679"/>
      <c r="ODP162" s="679"/>
      <c r="ODQ162" s="679"/>
      <c r="ODR162" s="679"/>
      <c r="ODS162" s="679"/>
      <c r="ODT162" s="679"/>
      <c r="ODU162" s="679"/>
      <c r="ODV162" s="679"/>
      <c r="ODW162" s="679"/>
      <c r="ODX162" s="679"/>
      <c r="ODY162" s="679"/>
      <c r="ODZ162" s="679"/>
      <c r="OEA162" s="679"/>
      <c r="OEB162" s="679"/>
      <c r="OEC162" s="679"/>
      <c r="OED162" s="679"/>
      <c r="OEE162" s="679"/>
      <c r="OEF162" s="679"/>
      <c r="OEG162" s="679"/>
      <c r="OEH162" s="679"/>
      <c r="OEI162" s="679"/>
      <c r="OEJ162" s="679"/>
      <c r="OEK162" s="679"/>
      <c r="OEL162" s="679"/>
      <c r="OEM162" s="679"/>
      <c r="OEN162" s="679"/>
      <c r="OEO162" s="679"/>
      <c r="OEP162" s="679"/>
      <c r="OEQ162" s="679"/>
      <c r="OER162" s="679"/>
      <c r="OES162" s="679"/>
      <c r="OET162" s="679"/>
      <c r="OEU162" s="679"/>
      <c r="OEV162" s="679"/>
      <c r="OEW162" s="679"/>
      <c r="OEX162" s="679"/>
      <c r="OEY162" s="679"/>
      <c r="OEZ162" s="679"/>
      <c r="OFA162" s="679"/>
      <c r="OFB162" s="679"/>
      <c r="OFC162" s="679"/>
      <c r="OFD162" s="679"/>
      <c r="OFE162" s="679"/>
      <c r="OFF162" s="679"/>
      <c r="OFG162" s="679"/>
      <c r="OFH162" s="679"/>
      <c r="OFI162" s="679"/>
      <c r="OFJ162" s="679"/>
      <c r="OFK162" s="679"/>
      <c r="OFL162" s="679"/>
      <c r="OFM162" s="679"/>
      <c r="OFN162" s="679"/>
      <c r="OFO162" s="679"/>
      <c r="OFP162" s="679"/>
      <c r="OFQ162" s="679"/>
      <c r="OFR162" s="679"/>
      <c r="OFS162" s="679"/>
      <c r="OFT162" s="679"/>
      <c r="OFU162" s="679"/>
      <c r="OFV162" s="679"/>
      <c r="OFW162" s="679"/>
      <c r="OFX162" s="679"/>
      <c r="OFY162" s="679"/>
      <c r="OFZ162" s="679"/>
      <c r="OGA162" s="679"/>
      <c r="OGB162" s="679"/>
      <c r="OGC162" s="679"/>
      <c r="OGD162" s="679"/>
      <c r="OGE162" s="679"/>
      <c r="OGF162" s="679"/>
      <c r="OGG162" s="679"/>
      <c r="OGH162" s="679"/>
      <c r="OGI162" s="679"/>
      <c r="OGJ162" s="679"/>
      <c r="OGK162" s="679"/>
      <c r="OGL162" s="679"/>
      <c r="OGM162" s="679"/>
      <c r="OGN162" s="679"/>
      <c r="OGO162" s="679"/>
      <c r="OGP162" s="679"/>
      <c r="OGQ162" s="679"/>
      <c r="OGR162" s="679"/>
      <c r="OGS162" s="679"/>
      <c r="OGT162" s="679"/>
      <c r="OGU162" s="679"/>
      <c r="OGV162" s="679"/>
      <c r="OGW162" s="679"/>
      <c r="OGX162" s="679"/>
      <c r="OGY162" s="679"/>
      <c r="OGZ162" s="679"/>
      <c r="OHA162" s="679"/>
      <c r="OHB162" s="679"/>
      <c r="OHC162" s="679"/>
      <c r="OHD162" s="679"/>
      <c r="OHE162" s="679"/>
      <c r="OHF162" s="679"/>
      <c r="OHG162" s="679"/>
      <c r="OHH162" s="679"/>
      <c r="OHI162" s="679"/>
      <c r="OHJ162" s="679"/>
      <c r="OHK162" s="679"/>
      <c r="OHL162" s="679"/>
      <c r="OHM162" s="679"/>
      <c r="OHN162" s="679"/>
      <c r="OHO162" s="679"/>
      <c r="OHP162" s="679"/>
      <c r="OHQ162" s="679"/>
      <c r="OHR162" s="679"/>
      <c r="OHS162" s="679"/>
      <c r="OHT162" s="679"/>
      <c r="OHU162" s="679"/>
      <c r="OHV162" s="679"/>
      <c r="OHW162" s="679"/>
      <c r="OHX162" s="679"/>
      <c r="OHY162" s="679"/>
      <c r="OHZ162" s="679"/>
      <c r="OIA162" s="679"/>
      <c r="OIB162" s="679"/>
      <c r="OIC162" s="679"/>
      <c r="OID162" s="679"/>
      <c r="OIE162" s="679"/>
      <c r="OIF162" s="679"/>
      <c r="OIG162" s="679"/>
      <c r="OIH162" s="679"/>
      <c r="OII162" s="679"/>
      <c r="OIJ162" s="679"/>
      <c r="OIK162" s="679"/>
      <c r="OIL162" s="679"/>
      <c r="OIM162" s="679"/>
      <c r="OIN162" s="679"/>
      <c r="OIO162" s="679"/>
      <c r="OIP162" s="679"/>
      <c r="OIQ162" s="679"/>
      <c r="OIR162" s="679"/>
      <c r="OIS162" s="679"/>
      <c r="OIT162" s="679"/>
      <c r="OIU162" s="679"/>
      <c r="OIV162" s="679"/>
      <c r="OIW162" s="679"/>
      <c r="OIX162" s="679"/>
      <c r="OIY162" s="679"/>
      <c r="OIZ162" s="679"/>
      <c r="OJA162" s="679"/>
      <c r="OJB162" s="679"/>
      <c r="OJC162" s="679"/>
      <c r="OJD162" s="679"/>
      <c r="OJE162" s="679"/>
      <c r="OJF162" s="679"/>
      <c r="OJG162" s="679"/>
      <c r="OJH162" s="679"/>
      <c r="OJI162" s="679"/>
      <c r="OJJ162" s="679"/>
      <c r="OJK162" s="679"/>
      <c r="OJL162" s="679"/>
      <c r="OJM162" s="679"/>
      <c r="OJN162" s="679"/>
      <c r="OJO162" s="679"/>
      <c r="OJP162" s="679"/>
      <c r="OJQ162" s="679"/>
      <c r="OJR162" s="679"/>
      <c r="OJS162" s="679"/>
      <c r="OJT162" s="679"/>
      <c r="OJU162" s="679"/>
      <c r="OJV162" s="679"/>
      <c r="OJW162" s="679"/>
      <c r="OJX162" s="679"/>
      <c r="OJY162" s="679"/>
      <c r="OJZ162" s="679"/>
      <c r="OKA162" s="679"/>
      <c r="OKB162" s="679"/>
      <c r="OKC162" s="679"/>
      <c r="OKD162" s="679"/>
      <c r="OKE162" s="679"/>
      <c r="OKF162" s="679"/>
      <c r="OKG162" s="679"/>
      <c r="OKH162" s="679"/>
      <c r="OKI162" s="679"/>
      <c r="OKJ162" s="679"/>
      <c r="OKK162" s="679"/>
      <c r="OKL162" s="679"/>
      <c r="OKM162" s="679"/>
      <c r="OKN162" s="679"/>
      <c r="OKO162" s="679"/>
      <c r="OKP162" s="679"/>
      <c r="OKQ162" s="679"/>
      <c r="OKR162" s="679"/>
      <c r="OKS162" s="679"/>
      <c r="OKT162" s="679"/>
      <c r="OKU162" s="679"/>
      <c r="OKV162" s="679"/>
      <c r="OKW162" s="679"/>
      <c r="OKX162" s="679"/>
      <c r="OKY162" s="679"/>
      <c r="OKZ162" s="679"/>
      <c r="OLA162" s="679"/>
      <c r="OLB162" s="679"/>
      <c r="OLC162" s="679"/>
      <c r="OLD162" s="679"/>
      <c r="OLE162" s="679"/>
      <c r="OLF162" s="679"/>
      <c r="OLG162" s="679"/>
      <c r="OLH162" s="679"/>
      <c r="OLI162" s="679"/>
      <c r="OLJ162" s="679"/>
      <c r="OLK162" s="679"/>
      <c r="OLL162" s="679"/>
      <c r="OLM162" s="679"/>
      <c r="OLN162" s="679"/>
      <c r="OLO162" s="679"/>
      <c r="OLP162" s="679"/>
      <c r="OLQ162" s="679"/>
      <c r="OLR162" s="679"/>
      <c r="OLS162" s="679"/>
      <c r="OLT162" s="679"/>
      <c r="OLU162" s="679"/>
      <c r="OLV162" s="679"/>
      <c r="OLW162" s="679"/>
      <c r="OLX162" s="679"/>
      <c r="OLY162" s="679"/>
      <c r="OLZ162" s="679"/>
      <c r="OMA162" s="679"/>
      <c r="OMB162" s="679"/>
      <c r="OMC162" s="679"/>
      <c r="OMD162" s="679"/>
      <c r="OME162" s="679"/>
      <c r="OMF162" s="679"/>
      <c r="OMG162" s="679"/>
      <c r="OMH162" s="679"/>
      <c r="OMI162" s="679"/>
      <c r="OMJ162" s="679"/>
      <c r="OMK162" s="679"/>
      <c r="OML162" s="679"/>
      <c r="OMM162" s="679"/>
      <c r="OMN162" s="679"/>
      <c r="OMO162" s="679"/>
      <c r="OMP162" s="679"/>
      <c r="OMQ162" s="679"/>
      <c r="OMR162" s="679"/>
      <c r="OMS162" s="679"/>
      <c r="OMT162" s="679"/>
      <c r="OMU162" s="679"/>
      <c r="OMV162" s="679"/>
      <c r="OMW162" s="679"/>
      <c r="OMX162" s="679"/>
      <c r="OMY162" s="679"/>
      <c r="OMZ162" s="679"/>
      <c r="ONA162" s="679"/>
      <c r="ONB162" s="679"/>
      <c r="ONC162" s="679"/>
      <c r="OND162" s="679"/>
      <c r="ONE162" s="679"/>
      <c r="ONF162" s="679"/>
      <c r="ONG162" s="679"/>
      <c r="ONH162" s="679"/>
      <c r="ONI162" s="679"/>
      <c r="ONJ162" s="679"/>
      <c r="ONK162" s="679"/>
      <c r="ONL162" s="679"/>
      <c r="ONM162" s="679"/>
      <c r="ONN162" s="679"/>
      <c r="ONO162" s="679"/>
      <c r="ONP162" s="679"/>
      <c r="ONQ162" s="679"/>
      <c r="ONR162" s="679"/>
      <c r="ONS162" s="679"/>
      <c r="ONT162" s="679"/>
      <c r="ONU162" s="679"/>
      <c r="ONV162" s="679"/>
      <c r="ONW162" s="679"/>
      <c r="ONX162" s="679"/>
      <c r="ONY162" s="679"/>
      <c r="ONZ162" s="679"/>
      <c r="OOA162" s="679"/>
      <c r="OOB162" s="679"/>
      <c r="OOC162" s="679"/>
      <c r="OOD162" s="679"/>
      <c r="OOE162" s="679"/>
      <c r="OOF162" s="679"/>
      <c r="OOG162" s="679"/>
      <c r="OOH162" s="679"/>
      <c r="OOI162" s="679"/>
      <c r="OOJ162" s="679"/>
      <c r="OOK162" s="679"/>
      <c r="OOL162" s="679"/>
      <c r="OOM162" s="679"/>
      <c r="OON162" s="679"/>
      <c r="OOO162" s="679"/>
      <c r="OOP162" s="679"/>
      <c r="OOQ162" s="679"/>
      <c r="OOR162" s="679"/>
      <c r="OOS162" s="679"/>
      <c r="OOT162" s="679"/>
      <c r="OOU162" s="679"/>
      <c r="OOV162" s="679"/>
      <c r="OOW162" s="679"/>
      <c r="OOX162" s="679"/>
      <c r="OOY162" s="679"/>
      <c r="OOZ162" s="679"/>
      <c r="OPA162" s="679"/>
      <c r="OPB162" s="679"/>
      <c r="OPC162" s="679"/>
      <c r="OPD162" s="679"/>
      <c r="OPE162" s="679"/>
      <c r="OPF162" s="679"/>
      <c r="OPG162" s="679"/>
      <c r="OPH162" s="679"/>
      <c r="OPI162" s="679"/>
      <c r="OPJ162" s="679"/>
      <c r="OPK162" s="679"/>
      <c r="OPL162" s="679"/>
      <c r="OPM162" s="679"/>
      <c r="OPN162" s="679"/>
      <c r="OPO162" s="679"/>
      <c r="OPP162" s="679"/>
      <c r="OPQ162" s="679"/>
      <c r="OPR162" s="679"/>
      <c r="OPS162" s="679"/>
      <c r="OPT162" s="679"/>
      <c r="OPU162" s="679"/>
      <c r="OPV162" s="679"/>
      <c r="OPW162" s="679"/>
      <c r="OPX162" s="679"/>
      <c r="OPY162" s="679"/>
      <c r="OPZ162" s="679"/>
      <c r="OQA162" s="679"/>
      <c r="OQB162" s="679"/>
      <c r="OQC162" s="679"/>
      <c r="OQD162" s="679"/>
      <c r="OQE162" s="679"/>
      <c r="OQF162" s="679"/>
      <c r="OQG162" s="679"/>
      <c r="OQH162" s="679"/>
      <c r="OQI162" s="679"/>
      <c r="OQJ162" s="679"/>
      <c r="OQK162" s="679"/>
      <c r="OQL162" s="679"/>
      <c r="OQM162" s="679"/>
      <c r="OQN162" s="679"/>
      <c r="OQO162" s="679"/>
      <c r="OQP162" s="679"/>
      <c r="OQQ162" s="679"/>
      <c r="OQR162" s="679"/>
      <c r="OQS162" s="679"/>
      <c r="OQT162" s="679"/>
      <c r="OQU162" s="679"/>
      <c r="OQV162" s="679"/>
      <c r="OQW162" s="679"/>
      <c r="OQX162" s="679"/>
      <c r="OQY162" s="679"/>
      <c r="OQZ162" s="679"/>
      <c r="ORA162" s="679"/>
      <c r="ORB162" s="679"/>
      <c r="ORC162" s="679"/>
      <c r="ORD162" s="679"/>
      <c r="ORE162" s="679"/>
      <c r="ORF162" s="679"/>
      <c r="ORG162" s="679"/>
      <c r="ORH162" s="679"/>
      <c r="ORI162" s="679"/>
      <c r="ORJ162" s="679"/>
      <c r="ORK162" s="679"/>
      <c r="ORL162" s="679"/>
      <c r="ORM162" s="679"/>
      <c r="ORN162" s="679"/>
      <c r="ORO162" s="679"/>
      <c r="ORP162" s="679"/>
      <c r="ORQ162" s="679"/>
      <c r="ORR162" s="679"/>
      <c r="ORS162" s="679"/>
      <c r="ORT162" s="679"/>
      <c r="ORU162" s="679"/>
      <c r="ORV162" s="679"/>
      <c r="ORW162" s="679"/>
      <c r="ORX162" s="679"/>
      <c r="ORY162" s="679"/>
      <c r="ORZ162" s="679"/>
      <c r="OSA162" s="679"/>
      <c r="OSB162" s="679"/>
      <c r="OSC162" s="679"/>
      <c r="OSD162" s="679"/>
      <c r="OSE162" s="679"/>
      <c r="OSF162" s="679"/>
      <c r="OSG162" s="679"/>
      <c r="OSH162" s="679"/>
      <c r="OSI162" s="679"/>
      <c r="OSJ162" s="679"/>
      <c r="OSK162" s="679"/>
      <c r="OSL162" s="679"/>
      <c r="OSM162" s="679"/>
      <c r="OSN162" s="679"/>
      <c r="OSO162" s="679"/>
      <c r="OSP162" s="679"/>
      <c r="OSQ162" s="679"/>
      <c r="OSR162" s="679"/>
      <c r="OSS162" s="679"/>
      <c r="OST162" s="679"/>
      <c r="OSU162" s="679"/>
      <c r="OSV162" s="679"/>
      <c r="OSW162" s="679"/>
      <c r="OSX162" s="679"/>
      <c r="OSY162" s="679"/>
      <c r="OSZ162" s="679"/>
      <c r="OTA162" s="679"/>
      <c r="OTB162" s="679"/>
      <c r="OTC162" s="679"/>
      <c r="OTD162" s="679"/>
      <c r="OTE162" s="679"/>
      <c r="OTF162" s="679"/>
      <c r="OTG162" s="679"/>
      <c r="OTH162" s="679"/>
      <c r="OTI162" s="679"/>
      <c r="OTJ162" s="679"/>
      <c r="OTK162" s="679"/>
      <c r="OTL162" s="679"/>
      <c r="OTM162" s="679"/>
      <c r="OTN162" s="679"/>
      <c r="OTO162" s="679"/>
      <c r="OTP162" s="679"/>
      <c r="OTQ162" s="679"/>
      <c r="OTR162" s="679"/>
      <c r="OTS162" s="679"/>
      <c r="OTT162" s="679"/>
      <c r="OTU162" s="679"/>
      <c r="OTV162" s="679"/>
      <c r="OTW162" s="679"/>
      <c r="OTX162" s="679"/>
      <c r="OTY162" s="679"/>
      <c r="OTZ162" s="679"/>
      <c r="OUA162" s="679"/>
      <c r="OUB162" s="679"/>
      <c r="OUC162" s="679"/>
      <c r="OUD162" s="679"/>
      <c r="OUE162" s="679"/>
      <c r="OUF162" s="679"/>
      <c r="OUG162" s="679"/>
      <c r="OUH162" s="679"/>
      <c r="OUI162" s="679"/>
      <c r="OUJ162" s="679"/>
      <c r="OUK162" s="679"/>
      <c r="OUL162" s="679"/>
      <c r="OUM162" s="679"/>
      <c r="OUN162" s="679"/>
      <c r="OUO162" s="679"/>
      <c r="OUP162" s="679"/>
      <c r="OUQ162" s="679"/>
      <c r="OUR162" s="679"/>
      <c r="OUS162" s="679"/>
      <c r="OUT162" s="679"/>
      <c r="OUU162" s="679"/>
      <c r="OUV162" s="679"/>
      <c r="OUW162" s="679"/>
      <c r="OUX162" s="679"/>
      <c r="OUY162" s="679"/>
      <c r="OUZ162" s="679"/>
      <c r="OVA162" s="679"/>
      <c r="OVB162" s="679"/>
      <c r="OVC162" s="679"/>
      <c r="OVD162" s="679"/>
      <c r="OVE162" s="679"/>
      <c r="OVF162" s="679"/>
      <c r="OVG162" s="679"/>
      <c r="OVH162" s="679"/>
      <c r="OVI162" s="679"/>
      <c r="OVJ162" s="679"/>
      <c r="OVK162" s="679"/>
      <c r="OVL162" s="679"/>
      <c r="OVM162" s="679"/>
      <c r="OVN162" s="679"/>
      <c r="OVO162" s="679"/>
      <c r="OVP162" s="679"/>
      <c r="OVQ162" s="679"/>
      <c r="OVR162" s="679"/>
      <c r="OVS162" s="679"/>
      <c r="OVT162" s="679"/>
      <c r="OVU162" s="679"/>
      <c r="OVV162" s="679"/>
      <c r="OVW162" s="679"/>
      <c r="OVX162" s="679"/>
      <c r="OVY162" s="679"/>
      <c r="OVZ162" s="679"/>
      <c r="OWA162" s="679"/>
      <c r="OWB162" s="679"/>
      <c r="OWC162" s="679"/>
      <c r="OWD162" s="679"/>
      <c r="OWE162" s="679"/>
      <c r="OWF162" s="679"/>
      <c r="OWG162" s="679"/>
      <c r="OWH162" s="679"/>
      <c r="OWI162" s="679"/>
      <c r="OWJ162" s="679"/>
      <c r="OWK162" s="679"/>
      <c r="OWL162" s="679"/>
      <c r="OWM162" s="679"/>
      <c r="OWN162" s="679"/>
      <c r="OWO162" s="679"/>
      <c r="OWP162" s="679"/>
      <c r="OWQ162" s="679"/>
      <c r="OWR162" s="679"/>
      <c r="OWS162" s="679"/>
      <c r="OWT162" s="679"/>
      <c r="OWU162" s="679"/>
      <c r="OWV162" s="679"/>
      <c r="OWW162" s="679"/>
      <c r="OWX162" s="679"/>
      <c r="OWY162" s="679"/>
      <c r="OWZ162" s="679"/>
      <c r="OXA162" s="679"/>
      <c r="OXB162" s="679"/>
      <c r="OXC162" s="679"/>
      <c r="OXD162" s="679"/>
      <c r="OXE162" s="679"/>
      <c r="OXF162" s="679"/>
      <c r="OXG162" s="679"/>
      <c r="OXH162" s="679"/>
      <c r="OXI162" s="679"/>
      <c r="OXJ162" s="679"/>
      <c r="OXK162" s="679"/>
      <c r="OXL162" s="679"/>
      <c r="OXM162" s="679"/>
      <c r="OXN162" s="679"/>
      <c r="OXO162" s="679"/>
      <c r="OXP162" s="679"/>
      <c r="OXQ162" s="679"/>
      <c r="OXR162" s="679"/>
      <c r="OXS162" s="679"/>
      <c r="OXT162" s="679"/>
      <c r="OXU162" s="679"/>
      <c r="OXV162" s="679"/>
      <c r="OXW162" s="679"/>
      <c r="OXX162" s="679"/>
      <c r="OXY162" s="679"/>
      <c r="OXZ162" s="679"/>
      <c r="OYA162" s="679"/>
      <c r="OYB162" s="679"/>
      <c r="OYC162" s="679"/>
      <c r="OYD162" s="679"/>
      <c r="OYE162" s="679"/>
      <c r="OYF162" s="679"/>
      <c r="OYG162" s="679"/>
      <c r="OYH162" s="679"/>
      <c r="OYI162" s="679"/>
      <c r="OYJ162" s="679"/>
      <c r="OYK162" s="679"/>
      <c r="OYL162" s="679"/>
      <c r="OYM162" s="679"/>
      <c r="OYN162" s="679"/>
      <c r="OYO162" s="679"/>
      <c r="OYP162" s="679"/>
      <c r="OYQ162" s="679"/>
      <c r="OYR162" s="679"/>
      <c r="OYS162" s="679"/>
      <c r="OYT162" s="679"/>
      <c r="OYU162" s="679"/>
      <c r="OYV162" s="679"/>
      <c r="OYW162" s="679"/>
      <c r="OYX162" s="679"/>
      <c r="OYY162" s="679"/>
      <c r="OYZ162" s="679"/>
      <c r="OZA162" s="679"/>
      <c r="OZB162" s="679"/>
      <c r="OZC162" s="679"/>
      <c r="OZD162" s="679"/>
      <c r="OZE162" s="679"/>
      <c r="OZF162" s="679"/>
      <c r="OZG162" s="679"/>
      <c r="OZH162" s="679"/>
      <c r="OZI162" s="679"/>
      <c r="OZJ162" s="679"/>
      <c r="OZK162" s="679"/>
      <c r="OZL162" s="679"/>
      <c r="OZM162" s="679"/>
      <c r="OZN162" s="679"/>
      <c r="OZO162" s="679"/>
      <c r="OZP162" s="679"/>
      <c r="OZQ162" s="679"/>
      <c r="OZR162" s="679"/>
      <c r="OZS162" s="679"/>
      <c r="OZT162" s="679"/>
      <c r="OZU162" s="679"/>
      <c r="OZV162" s="679"/>
      <c r="OZW162" s="679"/>
      <c r="OZX162" s="679"/>
      <c r="OZY162" s="679"/>
      <c r="OZZ162" s="679"/>
      <c r="PAA162" s="679"/>
      <c r="PAB162" s="679"/>
      <c r="PAC162" s="679"/>
      <c r="PAD162" s="679"/>
      <c r="PAE162" s="679"/>
      <c r="PAF162" s="679"/>
      <c r="PAG162" s="679"/>
      <c r="PAH162" s="679"/>
      <c r="PAI162" s="679"/>
      <c r="PAJ162" s="679"/>
      <c r="PAK162" s="679"/>
      <c r="PAL162" s="679"/>
      <c r="PAM162" s="679"/>
      <c r="PAN162" s="679"/>
      <c r="PAO162" s="679"/>
      <c r="PAP162" s="679"/>
      <c r="PAQ162" s="679"/>
      <c r="PAR162" s="679"/>
      <c r="PAS162" s="679"/>
      <c r="PAT162" s="679"/>
      <c r="PAU162" s="679"/>
      <c r="PAV162" s="679"/>
      <c r="PAW162" s="679"/>
      <c r="PAX162" s="679"/>
      <c r="PAY162" s="679"/>
      <c r="PAZ162" s="679"/>
      <c r="PBA162" s="679"/>
      <c r="PBB162" s="679"/>
      <c r="PBC162" s="679"/>
      <c r="PBD162" s="679"/>
      <c r="PBE162" s="679"/>
      <c r="PBF162" s="679"/>
      <c r="PBG162" s="679"/>
      <c r="PBH162" s="679"/>
      <c r="PBI162" s="679"/>
      <c r="PBJ162" s="679"/>
      <c r="PBK162" s="679"/>
      <c r="PBL162" s="679"/>
      <c r="PBM162" s="679"/>
      <c r="PBN162" s="679"/>
      <c r="PBO162" s="679"/>
      <c r="PBP162" s="679"/>
      <c r="PBQ162" s="679"/>
      <c r="PBR162" s="679"/>
      <c r="PBS162" s="679"/>
      <c r="PBT162" s="679"/>
      <c r="PBU162" s="679"/>
      <c r="PBV162" s="679"/>
      <c r="PBW162" s="679"/>
      <c r="PBX162" s="679"/>
      <c r="PBY162" s="679"/>
      <c r="PBZ162" s="679"/>
      <c r="PCA162" s="679"/>
      <c r="PCB162" s="679"/>
      <c r="PCC162" s="679"/>
      <c r="PCD162" s="679"/>
      <c r="PCE162" s="679"/>
      <c r="PCF162" s="679"/>
      <c r="PCG162" s="679"/>
      <c r="PCH162" s="679"/>
      <c r="PCI162" s="679"/>
      <c r="PCJ162" s="679"/>
      <c r="PCK162" s="679"/>
      <c r="PCL162" s="679"/>
      <c r="PCM162" s="679"/>
      <c r="PCN162" s="679"/>
      <c r="PCO162" s="679"/>
      <c r="PCP162" s="679"/>
      <c r="PCQ162" s="679"/>
      <c r="PCR162" s="679"/>
      <c r="PCS162" s="679"/>
      <c r="PCT162" s="679"/>
      <c r="PCU162" s="679"/>
      <c r="PCV162" s="679"/>
      <c r="PCW162" s="679"/>
      <c r="PCX162" s="679"/>
      <c r="PCY162" s="679"/>
      <c r="PCZ162" s="679"/>
      <c r="PDA162" s="679"/>
      <c r="PDB162" s="679"/>
      <c r="PDC162" s="679"/>
      <c r="PDD162" s="679"/>
      <c r="PDE162" s="679"/>
      <c r="PDF162" s="679"/>
      <c r="PDG162" s="679"/>
      <c r="PDH162" s="679"/>
      <c r="PDI162" s="679"/>
      <c r="PDJ162" s="679"/>
      <c r="PDK162" s="679"/>
      <c r="PDL162" s="679"/>
      <c r="PDM162" s="679"/>
      <c r="PDN162" s="679"/>
      <c r="PDO162" s="679"/>
      <c r="PDP162" s="679"/>
      <c r="PDQ162" s="679"/>
      <c r="PDR162" s="679"/>
      <c r="PDS162" s="679"/>
      <c r="PDT162" s="679"/>
      <c r="PDU162" s="679"/>
      <c r="PDV162" s="679"/>
      <c r="PDW162" s="679"/>
      <c r="PDX162" s="679"/>
      <c r="PDY162" s="679"/>
      <c r="PDZ162" s="679"/>
      <c r="PEA162" s="679"/>
      <c r="PEB162" s="679"/>
      <c r="PEC162" s="679"/>
      <c r="PED162" s="679"/>
      <c r="PEE162" s="679"/>
      <c r="PEF162" s="679"/>
      <c r="PEG162" s="679"/>
      <c r="PEH162" s="679"/>
      <c r="PEI162" s="679"/>
      <c r="PEJ162" s="679"/>
      <c r="PEK162" s="679"/>
      <c r="PEL162" s="679"/>
      <c r="PEM162" s="679"/>
      <c r="PEN162" s="679"/>
      <c r="PEO162" s="679"/>
      <c r="PEP162" s="679"/>
      <c r="PEQ162" s="679"/>
      <c r="PER162" s="679"/>
      <c r="PES162" s="679"/>
      <c r="PET162" s="679"/>
      <c r="PEU162" s="679"/>
      <c r="PEV162" s="679"/>
      <c r="PEW162" s="679"/>
      <c r="PEX162" s="679"/>
      <c r="PEY162" s="679"/>
      <c r="PEZ162" s="679"/>
      <c r="PFA162" s="679"/>
      <c r="PFB162" s="679"/>
      <c r="PFC162" s="679"/>
      <c r="PFD162" s="679"/>
      <c r="PFE162" s="679"/>
      <c r="PFF162" s="679"/>
      <c r="PFG162" s="679"/>
      <c r="PFH162" s="679"/>
      <c r="PFI162" s="679"/>
      <c r="PFJ162" s="679"/>
      <c r="PFK162" s="679"/>
      <c r="PFL162" s="679"/>
      <c r="PFM162" s="679"/>
      <c r="PFN162" s="679"/>
      <c r="PFO162" s="679"/>
      <c r="PFP162" s="679"/>
      <c r="PFQ162" s="679"/>
      <c r="PFR162" s="679"/>
      <c r="PFS162" s="679"/>
      <c r="PFT162" s="679"/>
      <c r="PFU162" s="679"/>
      <c r="PFV162" s="679"/>
      <c r="PFW162" s="679"/>
      <c r="PFX162" s="679"/>
      <c r="PFY162" s="679"/>
      <c r="PFZ162" s="679"/>
      <c r="PGA162" s="679"/>
      <c r="PGB162" s="679"/>
      <c r="PGC162" s="679"/>
      <c r="PGD162" s="679"/>
      <c r="PGE162" s="679"/>
      <c r="PGF162" s="679"/>
      <c r="PGG162" s="679"/>
      <c r="PGH162" s="679"/>
      <c r="PGI162" s="679"/>
      <c r="PGJ162" s="679"/>
      <c r="PGK162" s="679"/>
      <c r="PGL162" s="679"/>
      <c r="PGM162" s="679"/>
      <c r="PGN162" s="679"/>
      <c r="PGO162" s="679"/>
      <c r="PGP162" s="679"/>
      <c r="PGQ162" s="679"/>
      <c r="PGR162" s="679"/>
      <c r="PGS162" s="679"/>
      <c r="PGT162" s="679"/>
      <c r="PGU162" s="679"/>
      <c r="PGV162" s="679"/>
      <c r="PGW162" s="679"/>
      <c r="PGX162" s="679"/>
      <c r="PGY162" s="679"/>
      <c r="PGZ162" s="679"/>
      <c r="PHA162" s="679"/>
      <c r="PHB162" s="679"/>
      <c r="PHC162" s="679"/>
      <c r="PHD162" s="679"/>
      <c r="PHE162" s="679"/>
      <c r="PHF162" s="679"/>
      <c r="PHG162" s="679"/>
      <c r="PHH162" s="679"/>
      <c r="PHI162" s="679"/>
      <c r="PHJ162" s="679"/>
      <c r="PHK162" s="679"/>
      <c r="PHL162" s="679"/>
      <c r="PHM162" s="679"/>
      <c r="PHN162" s="679"/>
      <c r="PHO162" s="679"/>
      <c r="PHP162" s="679"/>
      <c r="PHQ162" s="679"/>
      <c r="PHR162" s="679"/>
      <c r="PHS162" s="679"/>
      <c r="PHT162" s="679"/>
      <c r="PHU162" s="679"/>
      <c r="PHV162" s="679"/>
      <c r="PHW162" s="679"/>
      <c r="PHX162" s="679"/>
      <c r="PHY162" s="679"/>
      <c r="PHZ162" s="679"/>
      <c r="PIA162" s="679"/>
      <c r="PIB162" s="679"/>
      <c r="PIC162" s="679"/>
      <c r="PID162" s="679"/>
      <c r="PIE162" s="679"/>
      <c r="PIF162" s="679"/>
      <c r="PIG162" s="679"/>
      <c r="PIH162" s="679"/>
      <c r="PII162" s="679"/>
      <c r="PIJ162" s="679"/>
      <c r="PIK162" s="679"/>
      <c r="PIL162" s="679"/>
      <c r="PIM162" s="679"/>
      <c r="PIN162" s="679"/>
      <c r="PIO162" s="679"/>
      <c r="PIP162" s="679"/>
      <c r="PIQ162" s="679"/>
      <c r="PIR162" s="679"/>
      <c r="PIS162" s="679"/>
      <c r="PIT162" s="679"/>
      <c r="PIU162" s="679"/>
      <c r="PIV162" s="679"/>
      <c r="PIW162" s="679"/>
      <c r="PIX162" s="679"/>
      <c r="PIY162" s="679"/>
      <c r="PIZ162" s="679"/>
      <c r="PJA162" s="679"/>
      <c r="PJB162" s="679"/>
      <c r="PJC162" s="679"/>
      <c r="PJD162" s="679"/>
      <c r="PJE162" s="679"/>
      <c r="PJF162" s="679"/>
      <c r="PJG162" s="679"/>
      <c r="PJH162" s="679"/>
      <c r="PJI162" s="679"/>
      <c r="PJJ162" s="679"/>
      <c r="PJK162" s="679"/>
      <c r="PJL162" s="679"/>
      <c r="PJM162" s="679"/>
      <c r="PJN162" s="679"/>
      <c r="PJO162" s="679"/>
      <c r="PJP162" s="679"/>
      <c r="PJQ162" s="679"/>
      <c r="PJR162" s="679"/>
      <c r="PJS162" s="679"/>
      <c r="PJT162" s="679"/>
      <c r="PJU162" s="679"/>
      <c r="PJV162" s="679"/>
      <c r="PJW162" s="679"/>
      <c r="PJX162" s="679"/>
      <c r="PJY162" s="679"/>
      <c r="PJZ162" s="679"/>
      <c r="PKA162" s="679"/>
      <c r="PKB162" s="679"/>
      <c r="PKC162" s="679"/>
      <c r="PKD162" s="679"/>
      <c r="PKE162" s="679"/>
      <c r="PKF162" s="679"/>
      <c r="PKG162" s="679"/>
      <c r="PKH162" s="679"/>
      <c r="PKI162" s="679"/>
      <c r="PKJ162" s="679"/>
      <c r="PKK162" s="679"/>
      <c r="PKL162" s="679"/>
      <c r="PKM162" s="679"/>
      <c r="PKN162" s="679"/>
      <c r="PKO162" s="679"/>
      <c r="PKP162" s="679"/>
      <c r="PKQ162" s="679"/>
      <c r="PKR162" s="679"/>
      <c r="PKS162" s="679"/>
      <c r="PKT162" s="679"/>
      <c r="PKU162" s="679"/>
      <c r="PKV162" s="679"/>
      <c r="PKW162" s="679"/>
      <c r="PKX162" s="679"/>
      <c r="PKY162" s="679"/>
      <c r="PKZ162" s="679"/>
      <c r="PLA162" s="679"/>
      <c r="PLB162" s="679"/>
      <c r="PLC162" s="679"/>
      <c r="PLD162" s="679"/>
      <c r="PLE162" s="679"/>
      <c r="PLF162" s="679"/>
      <c r="PLG162" s="679"/>
      <c r="PLH162" s="679"/>
      <c r="PLI162" s="679"/>
      <c r="PLJ162" s="679"/>
      <c r="PLK162" s="679"/>
      <c r="PLL162" s="679"/>
      <c r="PLM162" s="679"/>
      <c r="PLN162" s="679"/>
      <c r="PLO162" s="679"/>
      <c r="PLP162" s="679"/>
      <c r="PLQ162" s="679"/>
      <c r="PLR162" s="679"/>
      <c r="PLS162" s="679"/>
      <c r="PLT162" s="679"/>
      <c r="PLU162" s="679"/>
      <c r="PLV162" s="679"/>
      <c r="PLW162" s="679"/>
      <c r="PLX162" s="679"/>
      <c r="PLY162" s="679"/>
      <c r="PLZ162" s="679"/>
      <c r="PMA162" s="679"/>
      <c r="PMB162" s="679"/>
      <c r="PMC162" s="679"/>
      <c r="PMD162" s="679"/>
      <c r="PME162" s="679"/>
      <c r="PMF162" s="679"/>
      <c r="PMG162" s="679"/>
      <c r="PMH162" s="679"/>
      <c r="PMI162" s="679"/>
      <c r="PMJ162" s="679"/>
      <c r="PMK162" s="679"/>
      <c r="PML162" s="679"/>
      <c r="PMM162" s="679"/>
      <c r="PMN162" s="679"/>
      <c r="PMO162" s="679"/>
      <c r="PMP162" s="679"/>
      <c r="PMQ162" s="679"/>
      <c r="PMR162" s="679"/>
      <c r="PMS162" s="679"/>
      <c r="PMT162" s="679"/>
      <c r="PMU162" s="679"/>
      <c r="PMV162" s="679"/>
      <c r="PMW162" s="679"/>
      <c r="PMX162" s="679"/>
      <c r="PMY162" s="679"/>
      <c r="PMZ162" s="679"/>
      <c r="PNA162" s="679"/>
      <c r="PNB162" s="679"/>
      <c r="PNC162" s="679"/>
      <c r="PND162" s="679"/>
      <c r="PNE162" s="679"/>
      <c r="PNF162" s="679"/>
      <c r="PNG162" s="679"/>
      <c r="PNH162" s="679"/>
      <c r="PNI162" s="679"/>
      <c r="PNJ162" s="679"/>
      <c r="PNK162" s="679"/>
      <c r="PNL162" s="679"/>
      <c r="PNM162" s="679"/>
      <c r="PNN162" s="679"/>
      <c r="PNO162" s="679"/>
      <c r="PNP162" s="679"/>
      <c r="PNQ162" s="679"/>
      <c r="PNR162" s="679"/>
      <c r="PNS162" s="679"/>
      <c r="PNT162" s="679"/>
      <c r="PNU162" s="679"/>
      <c r="PNV162" s="679"/>
      <c r="PNW162" s="679"/>
      <c r="PNX162" s="679"/>
      <c r="PNY162" s="679"/>
      <c r="PNZ162" s="679"/>
      <c r="POA162" s="679"/>
      <c r="POB162" s="679"/>
      <c r="POC162" s="679"/>
      <c r="POD162" s="679"/>
      <c r="POE162" s="679"/>
      <c r="POF162" s="679"/>
      <c r="POG162" s="679"/>
      <c r="POH162" s="679"/>
      <c r="POI162" s="679"/>
      <c r="POJ162" s="679"/>
      <c r="POK162" s="679"/>
      <c r="POL162" s="679"/>
      <c r="POM162" s="679"/>
      <c r="PON162" s="679"/>
      <c r="POO162" s="679"/>
      <c r="POP162" s="679"/>
      <c r="POQ162" s="679"/>
      <c r="POR162" s="679"/>
      <c r="POS162" s="679"/>
      <c r="POT162" s="679"/>
      <c r="POU162" s="679"/>
      <c r="POV162" s="679"/>
      <c r="POW162" s="679"/>
      <c r="POX162" s="679"/>
      <c r="POY162" s="679"/>
      <c r="POZ162" s="679"/>
      <c r="PPA162" s="679"/>
      <c r="PPB162" s="679"/>
      <c r="PPC162" s="679"/>
      <c r="PPD162" s="679"/>
      <c r="PPE162" s="679"/>
      <c r="PPF162" s="679"/>
      <c r="PPG162" s="679"/>
      <c r="PPH162" s="679"/>
      <c r="PPI162" s="679"/>
      <c r="PPJ162" s="679"/>
      <c r="PPK162" s="679"/>
      <c r="PPL162" s="679"/>
      <c r="PPM162" s="679"/>
      <c r="PPN162" s="679"/>
      <c r="PPO162" s="679"/>
      <c r="PPP162" s="679"/>
      <c r="PPQ162" s="679"/>
      <c r="PPR162" s="679"/>
      <c r="PPS162" s="679"/>
      <c r="PPT162" s="679"/>
      <c r="PPU162" s="679"/>
      <c r="PPV162" s="679"/>
      <c r="PPW162" s="679"/>
      <c r="PPX162" s="679"/>
      <c r="PPY162" s="679"/>
      <c r="PPZ162" s="679"/>
      <c r="PQA162" s="679"/>
      <c r="PQB162" s="679"/>
      <c r="PQC162" s="679"/>
      <c r="PQD162" s="679"/>
      <c r="PQE162" s="679"/>
      <c r="PQF162" s="679"/>
      <c r="PQG162" s="679"/>
      <c r="PQH162" s="679"/>
      <c r="PQI162" s="679"/>
      <c r="PQJ162" s="679"/>
      <c r="PQK162" s="679"/>
      <c r="PQL162" s="679"/>
      <c r="PQM162" s="679"/>
      <c r="PQN162" s="679"/>
      <c r="PQO162" s="679"/>
      <c r="PQP162" s="679"/>
      <c r="PQQ162" s="679"/>
      <c r="PQR162" s="679"/>
      <c r="PQS162" s="679"/>
      <c r="PQT162" s="679"/>
      <c r="PQU162" s="679"/>
      <c r="PQV162" s="679"/>
      <c r="PQW162" s="679"/>
      <c r="PQX162" s="679"/>
      <c r="PQY162" s="679"/>
      <c r="PQZ162" s="679"/>
      <c r="PRA162" s="679"/>
      <c r="PRB162" s="679"/>
      <c r="PRC162" s="679"/>
      <c r="PRD162" s="679"/>
      <c r="PRE162" s="679"/>
      <c r="PRF162" s="679"/>
      <c r="PRG162" s="679"/>
      <c r="PRH162" s="679"/>
      <c r="PRI162" s="679"/>
      <c r="PRJ162" s="679"/>
      <c r="PRK162" s="679"/>
      <c r="PRL162" s="679"/>
      <c r="PRM162" s="679"/>
      <c r="PRN162" s="679"/>
      <c r="PRO162" s="679"/>
      <c r="PRP162" s="679"/>
      <c r="PRQ162" s="679"/>
      <c r="PRR162" s="679"/>
      <c r="PRS162" s="679"/>
      <c r="PRT162" s="679"/>
      <c r="PRU162" s="679"/>
      <c r="PRV162" s="679"/>
      <c r="PRW162" s="679"/>
      <c r="PRX162" s="679"/>
      <c r="PRY162" s="679"/>
      <c r="PRZ162" s="679"/>
      <c r="PSA162" s="679"/>
      <c r="PSB162" s="679"/>
      <c r="PSC162" s="679"/>
      <c r="PSD162" s="679"/>
      <c r="PSE162" s="679"/>
      <c r="PSF162" s="679"/>
      <c r="PSG162" s="679"/>
      <c r="PSH162" s="679"/>
      <c r="PSI162" s="679"/>
      <c r="PSJ162" s="679"/>
      <c r="PSK162" s="679"/>
      <c r="PSL162" s="679"/>
      <c r="PSM162" s="679"/>
      <c r="PSN162" s="679"/>
      <c r="PSO162" s="679"/>
      <c r="PSP162" s="679"/>
      <c r="PSQ162" s="679"/>
      <c r="PSR162" s="679"/>
      <c r="PSS162" s="679"/>
      <c r="PST162" s="679"/>
      <c r="PSU162" s="679"/>
      <c r="PSV162" s="679"/>
      <c r="PSW162" s="679"/>
      <c r="PSX162" s="679"/>
      <c r="PSY162" s="679"/>
      <c r="PSZ162" s="679"/>
      <c r="PTA162" s="679"/>
      <c r="PTB162" s="679"/>
      <c r="PTC162" s="679"/>
      <c r="PTD162" s="679"/>
      <c r="PTE162" s="679"/>
      <c r="PTF162" s="679"/>
      <c r="PTG162" s="679"/>
      <c r="PTH162" s="679"/>
      <c r="PTI162" s="679"/>
      <c r="PTJ162" s="679"/>
      <c r="PTK162" s="679"/>
      <c r="PTL162" s="679"/>
      <c r="PTM162" s="679"/>
      <c r="PTN162" s="679"/>
      <c r="PTO162" s="679"/>
      <c r="PTP162" s="679"/>
      <c r="PTQ162" s="679"/>
      <c r="PTR162" s="679"/>
      <c r="PTS162" s="679"/>
      <c r="PTT162" s="679"/>
      <c r="PTU162" s="679"/>
      <c r="PTV162" s="679"/>
      <c r="PTW162" s="679"/>
      <c r="PTX162" s="679"/>
      <c r="PTY162" s="679"/>
      <c r="PTZ162" s="679"/>
      <c r="PUA162" s="679"/>
      <c r="PUB162" s="679"/>
      <c r="PUC162" s="679"/>
      <c r="PUD162" s="679"/>
      <c r="PUE162" s="679"/>
      <c r="PUF162" s="679"/>
      <c r="PUG162" s="679"/>
      <c r="PUH162" s="679"/>
      <c r="PUI162" s="679"/>
      <c r="PUJ162" s="679"/>
      <c r="PUK162" s="679"/>
      <c r="PUL162" s="679"/>
      <c r="PUM162" s="679"/>
      <c r="PUN162" s="679"/>
      <c r="PUO162" s="679"/>
      <c r="PUP162" s="679"/>
      <c r="PUQ162" s="679"/>
      <c r="PUR162" s="679"/>
      <c r="PUS162" s="679"/>
      <c r="PUT162" s="679"/>
      <c r="PUU162" s="679"/>
      <c r="PUV162" s="679"/>
      <c r="PUW162" s="679"/>
      <c r="PUX162" s="679"/>
      <c r="PUY162" s="679"/>
      <c r="PUZ162" s="679"/>
      <c r="PVA162" s="679"/>
      <c r="PVB162" s="679"/>
      <c r="PVC162" s="679"/>
      <c r="PVD162" s="679"/>
      <c r="PVE162" s="679"/>
      <c r="PVF162" s="679"/>
      <c r="PVG162" s="679"/>
      <c r="PVH162" s="679"/>
      <c r="PVI162" s="679"/>
      <c r="PVJ162" s="679"/>
      <c r="PVK162" s="679"/>
      <c r="PVL162" s="679"/>
      <c r="PVM162" s="679"/>
      <c r="PVN162" s="679"/>
      <c r="PVO162" s="679"/>
      <c r="PVP162" s="679"/>
      <c r="PVQ162" s="679"/>
      <c r="PVR162" s="679"/>
      <c r="PVS162" s="679"/>
      <c r="PVT162" s="679"/>
      <c r="PVU162" s="679"/>
      <c r="PVV162" s="679"/>
      <c r="PVW162" s="679"/>
      <c r="PVX162" s="679"/>
      <c r="PVY162" s="679"/>
      <c r="PVZ162" s="679"/>
      <c r="PWA162" s="679"/>
      <c r="PWB162" s="679"/>
      <c r="PWC162" s="679"/>
      <c r="PWD162" s="679"/>
      <c r="PWE162" s="679"/>
      <c r="PWF162" s="679"/>
      <c r="PWG162" s="679"/>
      <c r="PWH162" s="679"/>
      <c r="PWI162" s="679"/>
      <c r="PWJ162" s="679"/>
      <c r="PWK162" s="679"/>
      <c r="PWL162" s="679"/>
      <c r="PWM162" s="679"/>
      <c r="PWN162" s="679"/>
      <c r="PWO162" s="679"/>
      <c r="PWP162" s="679"/>
      <c r="PWQ162" s="679"/>
      <c r="PWR162" s="679"/>
      <c r="PWS162" s="679"/>
      <c r="PWT162" s="679"/>
      <c r="PWU162" s="679"/>
      <c r="PWV162" s="679"/>
      <c r="PWW162" s="679"/>
      <c r="PWX162" s="679"/>
      <c r="PWY162" s="679"/>
      <c r="PWZ162" s="679"/>
      <c r="PXA162" s="679"/>
      <c r="PXB162" s="679"/>
      <c r="PXC162" s="679"/>
      <c r="PXD162" s="679"/>
      <c r="PXE162" s="679"/>
      <c r="PXF162" s="679"/>
      <c r="PXG162" s="679"/>
      <c r="PXH162" s="679"/>
      <c r="PXI162" s="679"/>
      <c r="PXJ162" s="679"/>
      <c r="PXK162" s="679"/>
      <c r="PXL162" s="679"/>
      <c r="PXM162" s="679"/>
      <c r="PXN162" s="679"/>
      <c r="PXO162" s="679"/>
      <c r="PXP162" s="679"/>
      <c r="PXQ162" s="679"/>
      <c r="PXR162" s="679"/>
      <c r="PXS162" s="679"/>
      <c r="PXT162" s="679"/>
      <c r="PXU162" s="679"/>
      <c r="PXV162" s="679"/>
      <c r="PXW162" s="679"/>
      <c r="PXX162" s="679"/>
      <c r="PXY162" s="679"/>
      <c r="PXZ162" s="679"/>
      <c r="PYA162" s="679"/>
      <c r="PYB162" s="679"/>
      <c r="PYC162" s="679"/>
      <c r="PYD162" s="679"/>
      <c r="PYE162" s="679"/>
      <c r="PYF162" s="679"/>
      <c r="PYG162" s="679"/>
      <c r="PYH162" s="679"/>
      <c r="PYI162" s="679"/>
      <c r="PYJ162" s="679"/>
      <c r="PYK162" s="679"/>
      <c r="PYL162" s="679"/>
      <c r="PYM162" s="679"/>
      <c r="PYN162" s="679"/>
      <c r="PYO162" s="679"/>
      <c r="PYP162" s="679"/>
      <c r="PYQ162" s="679"/>
      <c r="PYR162" s="679"/>
      <c r="PYS162" s="679"/>
      <c r="PYT162" s="679"/>
      <c r="PYU162" s="679"/>
      <c r="PYV162" s="679"/>
      <c r="PYW162" s="679"/>
      <c r="PYX162" s="679"/>
      <c r="PYY162" s="679"/>
      <c r="PYZ162" s="679"/>
      <c r="PZA162" s="679"/>
      <c r="PZB162" s="679"/>
      <c r="PZC162" s="679"/>
      <c r="PZD162" s="679"/>
      <c r="PZE162" s="679"/>
      <c r="PZF162" s="679"/>
      <c r="PZG162" s="679"/>
      <c r="PZH162" s="679"/>
      <c r="PZI162" s="679"/>
      <c r="PZJ162" s="679"/>
      <c r="PZK162" s="679"/>
      <c r="PZL162" s="679"/>
      <c r="PZM162" s="679"/>
      <c r="PZN162" s="679"/>
      <c r="PZO162" s="679"/>
      <c r="PZP162" s="679"/>
      <c r="PZQ162" s="679"/>
      <c r="PZR162" s="679"/>
      <c r="PZS162" s="679"/>
      <c r="PZT162" s="679"/>
      <c r="PZU162" s="679"/>
      <c r="PZV162" s="679"/>
      <c r="PZW162" s="679"/>
      <c r="PZX162" s="679"/>
      <c r="PZY162" s="679"/>
      <c r="PZZ162" s="679"/>
      <c r="QAA162" s="679"/>
      <c r="QAB162" s="679"/>
      <c r="QAC162" s="679"/>
      <c r="QAD162" s="679"/>
      <c r="QAE162" s="679"/>
      <c r="QAF162" s="679"/>
      <c r="QAG162" s="679"/>
      <c r="QAH162" s="679"/>
      <c r="QAI162" s="679"/>
      <c r="QAJ162" s="679"/>
      <c r="QAK162" s="679"/>
      <c r="QAL162" s="679"/>
      <c r="QAM162" s="679"/>
      <c r="QAN162" s="679"/>
      <c r="QAO162" s="679"/>
      <c r="QAP162" s="679"/>
      <c r="QAQ162" s="679"/>
      <c r="QAR162" s="679"/>
      <c r="QAS162" s="679"/>
      <c r="QAT162" s="679"/>
      <c r="QAU162" s="679"/>
      <c r="QAV162" s="679"/>
      <c r="QAW162" s="679"/>
      <c r="QAX162" s="679"/>
      <c r="QAY162" s="679"/>
      <c r="QAZ162" s="679"/>
      <c r="QBA162" s="679"/>
      <c r="QBB162" s="679"/>
      <c r="QBC162" s="679"/>
      <c r="QBD162" s="679"/>
      <c r="QBE162" s="679"/>
      <c r="QBF162" s="679"/>
      <c r="QBG162" s="679"/>
      <c r="QBH162" s="679"/>
      <c r="QBI162" s="679"/>
      <c r="QBJ162" s="679"/>
      <c r="QBK162" s="679"/>
      <c r="QBL162" s="679"/>
      <c r="QBM162" s="679"/>
      <c r="QBN162" s="679"/>
      <c r="QBO162" s="679"/>
      <c r="QBP162" s="679"/>
      <c r="QBQ162" s="679"/>
      <c r="QBR162" s="679"/>
      <c r="QBS162" s="679"/>
      <c r="QBT162" s="679"/>
      <c r="QBU162" s="679"/>
      <c r="QBV162" s="679"/>
      <c r="QBW162" s="679"/>
      <c r="QBX162" s="679"/>
      <c r="QBY162" s="679"/>
      <c r="QBZ162" s="679"/>
      <c r="QCA162" s="679"/>
      <c r="QCB162" s="679"/>
      <c r="QCC162" s="679"/>
      <c r="QCD162" s="679"/>
      <c r="QCE162" s="679"/>
      <c r="QCF162" s="679"/>
      <c r="QCG162" s="679"/>
      <c r="QCH162" s="679"/>
      <c r="QCI162" s="679"/>
      <c r="QCJ162" s="679"/>
      <c r="QCK162" s="679"/>
      <c r="QCL162" s="679"/>
      <c r="QCM162" s="679"/>
      <c r="QCN162" s="679"/>
      <c r="QCO162" s="679"/>
      <c r="QCP162" s="679"/>
      <c r="QCQ162" s="679"/>
      <c r="QCR162" s="679"/>
      <c r="QCS162" s="679"/>
      <c r="QCT162" s="679"/>
      <c r="QCU162" s="679"/>
      <c r="QCV162" s="679"/>
      <c r="QCW162" s="679"/>
      <c r="QCX162" s="679"/>
      <c r="QCY162" s="679"/>
      <c r="QCZ162" s="679"/>
      <c r="QDA162" s="679"/>
      <c r="QDB162" s="679"/>
      <c r="QDC162" s="679"/>
      <c r="QDD162" s="679"/>
      <c r="QDE162" s="679"/>
      <c r="QDF162" s="679"/>
      <c r="QDG162" s="679"/>
      <c r="QDH162" s="679"/>
      <c r="QDI162" s="679"/>
      <c r="QDJ162" s="679"/>
      <c r="QDK162" s="679"/>
      <c r="QDL162" s="679"/>
      <c r="QDM162" s="679"/>
      <c r="QDN162" s="679"/>
      <c r="QDO162" s="679"/>
      <c r="QDP162" s="679"/>
      <c r="QDQ162" s="679"/>
      <c r="QDR162" s="679"/>
      <c r="QDS162" s="679"/>
      <c r="QDT162" s="679"/>
      <c r="QDU162" s="679"/>
      <c r="QDV162" s="679"/>
      <c r="QDW162" s="679"/>
      <c r="QDX162" s="679"/>
      <c r="QDY162" s="679"/>
      <c r="QDZ162" s="679"/>
      <c r="QEA162" s="679"/>
      <c r="QEB162" s="679"/>
      <c r="QEC162" s="679"/>
      <c r="QED162" s="679"/>
      <c r="QEE162" s="679"/>
      <c r="QEF162" s="679"/>
      <c r="QEG162" s="679"/>
      <c r="QEH162" s="679"/>
      <c r="QEI162" s="679"/>
      <c r="QEJ162" s="679"/>
      <c r="QEK162" s="679"/>
      <c r="QEL162" s="679"/>
      <c r="QEM162" s="679"/>
      <c r="QEN162" s="679"/>
      <c r="QEO162" s="679"/>
      <c r="QEP162" s="679"/>
      <c r="QEQ162" s="679"/>
      <c r="QER162" s="679"/>
      <c r="QES162" s="679"/>
      <c r="QET162" s="679"/>
      <c r="QEU162" s="679"/>
      <c r="QEV162" s="679"/>
      <c r="QEW162" s="679"/>
      <c r="QEX162" s="679"/>
      <c r="QEY162" s="679"/>
      <c r="QEZ162" s="679"/>
      <c r="QFA162" s="679"/>
      <c r="QFB162" s="679"/>
      <c r="QFC162" s="679"/>
      <c r="QFD162" s="679"/>
      <c r="QFE162" s="679"/>
      <c r="QFF162" s="679"/>
      <c r="QFG162" s="679"/>
      <c r="QFH162" s="679"/>
      <c r="QFI162" s="679"/>
      <c r="QFJ162" s="679"/>
      <c r="QFK162" s="679"/>
      <c r="QFL162" s="679"/>
      <c r="QFM162" s="679"/>
      <c r="QFN162" s="679"/>
      <c r="QFO162" s="679"/>
      <c r="QFP162" s="679"/>
      <c r="QFQ162" s="679"/>
      <c r="QFR162" s="679"/>
      <c r="QFS162" s="679"/>
      <c r="QFT162" s="679"/>
      <c r="QFU162" s="679"/>
      <c r="QFV162" s="679"/>
      <c r="QFW162" s="679"/>
      <c r="QFX162" s="679"/>
      <c r="QFY162" s="679"/>
      <c r="QFZ162" s="679"/>
      <c r="QGA162" s="679"/>
      <c r="QGB162" s="679"/>
      <c r="QGC162" s="679"/>
      <c r="QGD162" s="679"/>
      <c r="QGE162" s="679"/>
      <c r="QGF162" s="679"/>
      <c r="QGG162" s="679"/>
      <c r="QGH162" s="679"/>
      <c r="QGI162" s="679"/>
      <c r="QGJ162" s="679"/>
      <c r="QGK162" s="679"/>
      <c r="QGL162" s="679"/>
      <c r="QGM162" s="679"/>
      <c r="QGN162" s="679"/>
      <c r="QGO162" s="679"/>
      <c r="QGP162" s="679"/>
      <c r="QGQ162" s="679"/>
      <c r="QGR162" s="679"/>
      <c r="QGS162" s="679"/>
      <c r="QGT162" s="679"/>
      <c r="QGU162" s="679"/>
      <c r="QGV162" s="679"/>
      <c r="QGW162" s="679"/>
      <c r="QGX162" s="679"/>
      <c r="QGY162" s="679"/>
      <c r="QGZ162" s="679"/>
      <c r="QHA162" s="679"/>
      <c r="QHB162" s="679"/>
      <c r="QHC162" s="679"/>
      <c r="QHD162" s="679"/>
      <c r="QHE162" s="679"/>
      <c r="QHF162" s="679"/>
      <c r="QHG162" s="679"/>
      <c r="QHH162" s="679"/>
      <c r="QHI162" s="679"/>
      <c r="QHJ162" s="679"/>
      <c r="QHK162" s="679"/>
      <c r="QHL162" s="679"/>
      <c r="QHM162" s="679"/>
      <c r="QHN162" s="679"/>
      <c r="QHO162" s="679"/>
      <c r="QHP162" s="679"/>
      <c r="QHQ162" s="679"/>
      <c r="QHR162" s="679"/>
      <c r="QHS162" s="679"/>
      <c r="QHT162" s="679"/>
      <c r="QHU162" s="679"/>
      <c r="QHV162" s="679"/>
      <c r="QHW162" s="679"/>
      <c r="QHX162" s="679"/>
      <c r="QHY162" s="679"/>
      <c r="QHZ162" s="679"/>
      <c r="QIA162" s="679"/>
      <c r="QIB162" s="679"/>
      <c r="QIC162" s="679"/>
      <c r="QID162" s="679"/>
      <c r="QIE162" s="679"/>
      <c r="QIF162" s="679"/>
      <c r="QIG162" s="679"/>
      <c r="QIH162" s="679"/>
      <c r="QII162" s="679"/>
      <c r="QIJ162" s="679"/>
      <c r="QIK162" s="679"/>
      <c r="QIL162" s="679"/>
      <c r="QIM162" s="679"/>
      <c r="QIN162" s="679"/>
      <c r="QIO162" s="679"/>
      <c r="QIP162" s="679"/>
      <c r="QIQ162" s="679"/>
      <c r="QIR162" s="679"/>
      <c r="QIS162" s="679"/>
      <c r="QIT162" s="679"/>
      <c r="QIU162" s="679"/>
      <c r="QIV162" s="679"/>
      <c r="QIW162" s="679"/>
      <c r="QIX162" s="679"/>
      <c r="QIY162" s="679"/>
      <c r="QIZ162" s="679"/>
      <c r="QJA162" s="679"/>
      <c r="QJB162" s="679"/>
      <c r="QJC162" s="679"/>
      <c r="QJD162" s="679"/>
      <c r="QJE162" s="679"/>
      <c r="QJF162" s="679"/>
      <c r="QJG162" s="679"/>
      <c r="QJH162" s="679"/>
      <c r="QJI162" s="679"/>
      <c r="QJJ162" s="679"/>
      <c r="QJK162" s="679"/>
      <c r="QJL162" s="679"/>
      <c r="QJM162" s="679"/>
      <c r="QJN162" s="679"/>
      <c r="QJO162" s="679"/>
      <c r="QJP162" s="679"/>
      <c r="QJQ162" s="679"/>
      <c r="QJR162" s="679"/>
      <c r="QJS162" s="679"/>
      <c r="QJT162" s="679"/>
      <c r="QJU162" s="679"/>
      <c r="QJV162" s="679"/>
      <c r="QJW162" s="679"/>
      <c r="QJX162" s="679"/>
      <c r="QJY162" s="679"/>
      <c r="QJZ162" s="679"/>
      <c r="QKA162" s="679"/>
      <c r="QKB162" s="679"/>
      <c r="QKC162" s="679"/>
      <c r="QKD162" s="679"/>
      <c r="QKE162" s="679"/>
      <c r="QKF162" s="679"/>
      <c r="QKG162" s="679"/>
      <c r="QKH162" s="679"/>
      <c r="QKI162" s="679"/>
      <c r="QKJ162" s="679"/>
      <c r="QKK162" s="679"/>
      <c r="QKL162" s="679"/>
      <c r="QKM162" s="679"/>
      <c r="QKN162" s="679"/>
      <c r="QKO162" s="679"/>
      <c r="QKP162" s="679"/>
      <c r="QKQ162" s="679"/>
      <c r="QKR162" s="679"/>
      <c r="QKS162" s="679"/>
      <c r="QKT162" s="679"/>
      <c r="QKU162" s="679"/>
      <c r="QKV162" s="679"/>
      <c r="QKW162" s="679"/>
      <c r="QKX162" s="679"/>
      <c r="QKY162" s="679"/>
      <c r="QKZ162" s="679"/>
      <c r="QLA162" s="679"/>
      <c r="QLB162" s="679"/>
      <c r="QLC162" s="679"/>
      <c r="QLD162" s="679"/>
      <c r="QLE162" s="679"/>
      <c r="QLF162" s="679"/>
      <c r="QLG162" s="679"/>
      <c r="QLH162" s="679"/>
      <c r="QLI162" s="679"/>
      <c r="QLJ162" s="679"/>
      <c r="QLK162" s="679"/>
      <c r="QLL162" s="679"/>
      <c r="QLM162" s="679"/>
      <c r="QLN162" s="679"/>
      <c r="QLO162" s="679"/>
      <c r="QLP162" s="679"/>
      <c r="QLQ162" s="679"/>
      <c r="QLR162" s="679"/>
      <c r="QLS162" s="679"/>
      <c r="QLT162" s="679"/>
      <c r="QLU162" s="679"/>
      <c r="QLV162" s="679"/>
      <c r="QLW162" s="679"/>
      <c r="QLX162" s="679"/>
      <c r="QLY162" s="679"/>
      <c r="QLZ162" s="679"/>
      <c r="QMA162" s="679"/>
      <c r="QMB162" s="679"/>
      <c r="QMC162" s="679"/>
      <c r="QMD162" s="679"/>
      <c r="QME162" s="679"/>
      <c r="QMF162" s="679"/>
      <c r="QMG162" s="679"/>
      <c r="QMH162" s="679"/>
      <c r="QMI162" s="679"/>
      <c r="QMJ162" s="679"/>
      <c r="QMK162" s="679"/>
      <c r="QML162" s="679"/>
      <c r="QMM162" s="679"/>
      <c r="QMN162" s="679"/>
      <c r="QMO162" s="679"/>
      <c r="QMP162" s="679"/>
      <c r="QMQ162" s="679"/>
      <c r="QMR162" s="679"/>
      <c r="QMS162" s="679"/>
      <c r="QMT162" s="679"/>
      <c r="QMU162" s="679"/>
      <c r="QMV162" s="679"/>
      <c r="QMW162" s="679"/>
      <c r="QMX162" s="679"/>
      <c r="QMY162" s="679"/>
      <c r="QMZ162" s="679"/>
      <c r="QNA162" s="679"/>
      <c r="QNB162" s="679"/>
      <c r="QNC162" s="679"/>
      <c r="QND162" s="679"/>
      <c r="QNE162" s="679"/>
      <c r="QNF162" s="679"/>
      <c r="QNG162" s="679"/>
      <c r="QNH162" s="679"/>
      <c r="QNI162" s="679"/>
      <c r="QNJ162" s="679"/>
      <c r="QNK162" s="679"/>
      <c r="QNL162" s="679"/>
      <c r="QNM162" s="679"/>
      <c r="QNN162" s="679"/>
      <c r="QNO162" s="679"/>
      <c r="QNP162" s="679"/>
      <c r="QNQ162" s="679"/>
      <c r="QNR162" s="679"/>
      <c r="QNS162" s="679"/>
      <c r="QNT162" s="679"/>
      <c r="QNU162" s="679"/>
      <c r="QNV162" s="679"/>
      <c r="QNW162" s="679"/>
      <c r="QNX162" s="679"/>
      <c r="QNY162" s="679"/>
      <c r="QNZ162" s="679"/>
      <c r="QOA162" s="679"/>
      <c r="QOB162" s="679"/>
      <c r="QOC162" s="679"/>
      <c r="QOD162" s="679"/>
      <c r="QOE162" s="679"/>
      <c r="QOF162" s="679"/>
      <c r="QOG162" s="679"/>
      <c r="QOH162" s="679"/>
      <c r="QOI162" s="679"/>
      <c r="QOJ162" s="679"/>
      <c r="QOK162" s="679"/>
      <c r="QOL162" s="679"/>
      <c r="QOM162" s="679"/>
      <c r="QON162" s="679"/>
      <c r="QOO162" s="679"/>
      <c r="QOP162" s="679"/>
      <c r="QOQ162" s="679"/>
      <c r="QOR162" s="679"/>
      <c r="QOS162" s="679"/>
      <c r="QOT162" s="679"/>
      <c r="QOU162" s="679"/>
      <c r="QOV162" s="679"/>
      <c r="QOW162" s="679"/>
      <c r="QOX162" s="679"/>
      <c r="QOY162" s="679"/>
      <c r="QOZ162" s="679"/>
      <c r="QPA162" s="679"/>
      <c r="QPB162" s="679"/>
      <c r="QPC162" s="679"/>
      <c r="QPD162" s="679"/>
      <c r="QPE162" s="679"/>
      <c r="QPF162" s="679"/>
      <c r="QPG162" s="679"/>
      <c r="QPH162" s="679"/>
      <c r="QPI162" s="679"/>
      <c r="QPJ162" s="679"/>
      <c r="QPK162" s="679"/>
      <c r="QPL162" s="679"/>
      <c r="QPM162" s="679"/>
      <c r="QPN162" s="679"/>
      <c r="QPO162" s="679"/>
      <c r="QPP162" s="679"/>
      <c r="QPQ162" s="679"/>
      <c r="QPR162" s="679"/>
      <c r="QPS162" s="679"/>
      <c r="QPT162" s="679"/>
      <c r="QPU162" s="679"/>
      <c r="QPV162" s="679"/>
      <c r="QPW162" s="679"/>
      <c r="QPX162" s="679"/>
      <c r="QPY162" s="679"/>
      <c r="QPZ162" s="679"/>
      <c r="QQA162" s="679"/>
      <c r="QQB162" s="679"/>
      <c r="QQC162" s="679"/>
      <c r="QQD162" s="679"/>
      <c r="QQE162" s="679"/>
      <c r="QQF162" s="679"/>
      <c r="QQG162" s="679"/>
      <c r="QQH162" s="679"/>
      <c r="QQI162" s="679"/>
      <c r="QQJ162" s="679"/>
      <c r="QQK162" s="679"/>
      <c r="QQL162" s="679"/>
      <c r="QQM162" s="679"/>
      <c r="QQN162" s="679"/>
      <c r="QQO162" s="679"/>
      <c r="QQP162" s="679"/>
      <c r="QQQ162" s="679"/>
      <c r="QQR162" s="679"/>
      <c r="QQS162" s="679"/>
      <c r="QQT162" s="679"/>
      <c r="QQU162" s="679"/>
      <c r="QQV162" s="679"/>
      <c r="QQW162" s="679"/>
      <c r="QQX162" s="679"/>
      <c r="QQY162" s="679"/>
      <c r="QQZ162" s="679"/>
      <c r="QRA162" s="679"/>
      <c r="QRB162" s="679"/>
      <c r="QRC162" s="679"/>
      <c r="QRD162" s="679"/>
      <c r="QRE162" s="679"/>
      <c r="QRF162" s="679"/>
      <c r="QRG162" s="679"/>
      <c r="QRH162" s="679"/>
      <c r="QRI162" s="679"/>
      <c r="QRJ162" s="679"/>
      <c r="QRK162" s="679"/>
      <c r="QRL162" s="679"/>
      <c r="QRM162" s="679"/>
      <c r="QRN162" s="679"/>
      <c r="QRO162" s="679"/>
      <c r="QRP162" s="679"/>
      <c r="QRQ162" s="679"/>
      <c r="QRR162" s="679"/>
      <c r="QRS162" s="679"/>
      <c r="QRT162" s="679"/>
      <c r="QRU162" s="679"/>
      <c r="QRV162" s="679"/>
      <c r="QRW162" s="679"/>
      <c r="QRX162" s="679"/>
      <c r="QRY162" s="679"/>
      <c r="QRZ162" s="679"/>
      <c r="QSA162" s="679"/>
      <c r="QSB162" s="679"/>
      <c r="QSC162" s="679"/>
      <c r="QSD162" s="679"/>
      <c r="QSE162" s="679"/>
      <c r="QSF162" s="679"/>
      <c r="QSG162" s="679"/>
      <c r="QSH162" s="679"/>
      <c r="QSI162" s="679"/>
      <c r="QSJ162" s="679"/>
      <c r="QSK162" s="679"/>
      <c r="QSL162" s="679"/>
      <c r="QSM162" s="679"/>
      <c r="QSN162" s="679"/>
      <c r="QSO162" s="679"/>
      <c r="QSP162" s="679"/>
      <c r="QSQ162" s="679"/>
      <c r="QSR162" s="679"/>
      <c r="QSS162" s="679"/>
      <c r="QST162" s="679"/>
      <c r="QSU162" s="679"/>
      <c r="QSV162" s="679"/>
      <c r="QSW162" s="679"/>
      <c r="QSX162" s="679"/>
      <c r="QSY162" s="679"/>
      <c r="QSZ162" s="679"/>
      <c r="QTA162" s="679"/>
      <c r="QTB162" s="679"/>
      <c r="QTC162" s="679"/>
      <c r="QTD162" s="679"/>
      <c r="QTE162" s="679"/>
      <c r="QTF162" s="679"/>
      <c r="QTG162" s="679"/>
      <c r="QTH162" s="679"/>
      <c r="QTI162" s="679"/>
      <c r="QTJ162" s="679"/>
      <c r="QTK162" s="679"/>
      <c r="QTL162" s="679"/>
      <c r="QTM162" s="679"/>
      <c r="QTN162" s="679"/>
      <c r="QTO162" s="679"/>
      <c r="QTP162" s="679"/>
      <c r="QTQ162" s="679"/>
      <c r="QTR162" s="679"/>
      <c r="QTS162" s="679"/>
      <c r="QTT162" s="679"/>
      <c r="QTU162" s="679"/>
      <c r="QTV162" s="679"/>
      <c r="QTW162" s="679"/>
      <c r="QTX162" s="679"/>
      <c r="QTY162" s="679"/>
      <c r="QTZ162" s="679"/>
      <c r="QUA162" s="679"/>
      <c r="QUB162" s="679"/>
      <c r="QUC162" s="679"/>
      <c r="QUD162" s="679"/>
      <c r="QUE162" s="679"/>
      <c r="QUF162" s="679"/>
      <c r="QUG162" s="679"/>
      <c r="QUH162" s="679"/>
      <c r="QUI162" s="679"/>
      <c r="QUJ162" s="679"/>
      <c r="QUK162" s="679"/>
      <c r="QUL162" s="679"/>
      <c r="QUM162" s="679"/>
      <c r="QUN162" s="679"/>
      <c r="QUO162" s="679"/>
      <c r="QUP162" s="679"/>
      <c r="QUQ162" s="679"/>
      <c r="QUR162" s="679"/>
      <c r="QUS162" s="679"/>
      <c r="QUT162" s="679"/>
      <c r="QUU162" s="679"/>
      <c r="QUV162" s="679"/>
      <c r="QUW162" s="679"/>
      <c r="QUX162" s="679"/>
      <c r="QUY162" s="679"/>
      <c r="QUZ162" s="679"/>
      <c r="QVA162" s="679"/>
      <c r="QVB162" s="679"/>
      <c r="QVC162" s="679"/>
      <c r="QVD162" s="679"/>
      <c r="QVE162" s="679"/>
      <c r="QVF162" s="679"/>
      <c r="QVG162" s="679"/>
      <c r="QVH162" s="679"/>
      <c r="QVI162" s="679"/>
      <c r="QVJ162" s="679"/>
      <c r="QVK162" s="679"/>
      <c r="QVL162" s="679"/>
      <c r="QVM162" s="679"/>
      <c r="QVN162" s="679"/>
      <c r="QVO162" s="679"/>
      <c r="QVP162" s="679"/>
      <c r="QVQ162" s="679"/>
      <c r="QVR162" s="679"/>
      <c r="QVS162" s="679"/>
      <c r="QVT162" s="679"/>
      <c r="QVU162" s="679"/>
      <c r="QVV162" s="679"/>
      <c r="QVW162" s="679"/>
      <c r="QVX162" s="679"/>
      <c r="QVY162" s="679"/>
      <c r="QVZ162" s="679"/>
      <c r="QWA162" s="679"/>
      <c r="QWB162" s="679"/>
      <c r="QWC162" s="679"/>
      <c r="QWD162" s="679"/>
      <c r="QWE162" s="679"/>
      <c r="QWF162" s="679"/>
      <c r="QWG162" s="679"/>
      <c r="QWH162" s="679"/>
      <c r="QWI162" s="679"/>
      <c r="QWJ162" s="679"/>
      <c r="QWK162" s="679"/>
      <c r="QWL162" s="679"/>
      <c r="QWM162" s="679"/>
      <c r="QWN162" s="679"/>
      <c r="QWO162" s="679"/>
      <c r="QWP162" s="679"/>
      <c r="QWQ162" s="679"/>
      <c r="QWR162" s="679"/>
      <c r="QWS162" s="679"/>
      <c r="QWT162" s="679"/>
      <c r="QWU162" s="679"/>
      <c r="QWV162" s="679"/>
      <c r="QWW162" s="679"/>
      <c r="QWX162" s="679"/>
      <c r="QWY162" s="679"/>
      <c r="QWZ162" s="679"/>
      <c r="QXA162" s="679"/>
      <c r="QXB162" s="679"/>
      <c r="QXC162" s="679"/>
      <c r="QXD162" s="679"/>
      <c r="QXE162" s="679"/>
      <c r="QXF162" s="679"/>
      <c r="QXG162" s="679"/>
      <c r="QXH162" s="679"/>
      <c r="QXI162" s="679"/>
      <c r="QXJ162" s="679"/>
      <c r="QXK162" s="679"/>
      <c r="QXL162" s="679"/>
      <c r="QXM162" s="679"/>
      <c r="QXN162" s="679"/>
      <c r="QXO162" s="679"/>
      <c r="QXP162" s="679"/>
      <c r="QXQ162" s="679"/>
      <c r="QXR162" s="679"/>
      <c r="QXS162" s="679"/>
      <c r="QXT162" s="679"/>
      <c r="QXU162" s="679"/>
      <c r="QXV162" s="679"/>
      <c r="QXW162" s="679"/>
      <c r="QXX162" s="679"/>
      <c r="QXY162" s="679"/>
      <c r="QXZ162" s="679"/>
      <c r="QYA162" s="679"/>
      <c r="QYB162" s="679"/>
      <c r="QYC162" s="679"/>
      <c r="QYD162" s="679"/>
      <c r="QYE162" s="679"/>
      <c r="QYF162" s="679"/>
      <c r="QYG162" s="679"/>
      <c r="QYH162" s="679"/>
      <c r="QYI162" s="679"/>
      <c r="QYJ162" s="679"/>
      <c r="QYK162" s="679"/>
      <c r="QYL162" s="679"/>
      <c r="QYM162" s="679"/>
      <c r="QYN162" s="679"/>
      <c r="QYO162" s="679"/>
      <c r="QYP162" s="679"/>
      <c r="QYQ162" s="679"/>
      <c r="QYR162" s="679"/>
      <c r="QYS162" s="679"/>
      <c r="QYT162" s="679"/>
      <c r="QYU162" s="679"/>
      <c r="QYV162" s="679"/>
      <c r="QYW162" s="679"/>
      <c r="QYX162" s="679"/>
      <c r="QYY162" s="679"/>
      <c r="QYZ162" s="679"/>
      <c r="QZA162" s="679"/>
      <c r="QZB162" s="679"/>
      <c r="QZC162" s="679"/>
      <c r="QZD162" s="679"/>
      <c r="QZE162" s="679"/>
      <c r="QZF162" s="679"/>
      <c r="QZG162" s="679"/>
      <c r="QZH162" s="679"/>
      <c r="QZI162" s="679"/>
      <c r="QZJ162" s="679"/>
      <c r="QZK162" s="679"/>
      <c r="QZL162" s="679"/>
      <c r="QZM162" s="679"/>
      <c r="QZN162" s="679"/>
      <c r="QZO162" s="679"/>
      <c r="QZP162" s="679"/>
      <c r="QZQ162" s="679"/>
      <c r="QZR162" s="679"/>
      <c r="QZS162" s="679"/>
      <c r="QZT162" s="679"/>
      <c r="QZU162" s="679"/>
      <c r="QZV162" s="679"/>
      <c r="QZW162" s="679"/>
      <c r="QZX162" s="679"/>
      <c r="QZY162" s="679"/>
      <c r="QZZ162" s="679"/>
      <c r="RAA162" s="679"/>
      <c r="RAB162" s="679"/>
      <c r="RAC162" s="679"/>
      <c r="RAD162" s="679"/>
      <c r="RAE162" s="679"/>
      <c r="RAF162" s="679"/>
      <c r="RAG162" s="679"/>
      <c r="RAH162" s="679"/>
      <c r="RAI162" s="679"/>
      <c r="RAJ162" s="679"/>
      <c r="RAK162" s="679"/>
      <c r="RAL162" s="679"/>
      <c r="RAM162" s="679"/>
      <c r="RAN162" s="679"/>
      <c r="RAO162" s="679"/>
      <c r="RAP162" s="679"/>
      <c r="RAQ162" s="679"/>
      <c r="RAR162" s="679"/>
      <c r="RAS162" s="679"/>
      <c r="RAT162" s="679"/>
      <c r="RAU162" s="679"/>
      <c r="RAV162" s="679"/>
      <c r="RAW162" s="679"/>
      <c r="RAX162" s="679"/>
      <c r="RAY162" s="679"/>
      <c r="RAZ162" s="679"/>
      <c r="RBA162" s="679"/>
      <c r="RBB162" s="679"/>
      <c r="RBC162" s="679"/>
      <c r="RBD162" s="679"/>
      <c r="RBE162" s="679"/>
      <c r="RBF162" s="679"/>
      <c r="RBG162" s="679"/>
      <c r="RBH162" s="679"/>
      <c r="RBI162" s="679"/>
      <c r="RBJ162" s="679"/>
      <c r="RBK162" s="679"/>
      <c r="RBL162" s="679"/>
      <c r="RBM162" s="679"/>
      <c r="RBN162" s="679"/>
      <c r="RBO162" s="679"/>
      <c r="RBP162" s="679"/>
      <c r="RBQ162" s="679"/>
      <c r="RBR162" s="679"/>
      <c r="RBS162" s="679"/>
      <c r="RBT162" s="679"/>
      <c r="RBU162" s="679"/>
      <c r="RBV162" s="679"/>
      <c r="RBW162" s="679"/>
      <c r="RBX162" s="679"/>
      <c r="RBY162" s="679"/>
      <c r="RBZ162" s="679"/>
      <c r="RCA162" s="679"/>
      <c r="RCB162" s="679"/>
      <c r="RCC162" s="679"/>
      <c r="RCD162" s="679"/>
      <c r="RCE162" s="679"/>
      <c r="RCF162" s="679"/>
      <c r="RCG162" s="679"/>
      <c r="RCH162" s="679"/>
      <c r="RCI162" s="679"/>
      <c r="RCJ162" s="679"/>
      <c r="RCK162" s="679"/>
      <c r="RCL162" s="679"/>
      <c r="RCM162" s="679"/>
      <c r="RCN162" s="679"/>
      <c r="RCO162" s="679"/>
      <c r="RCP162" s="679"/>
      <c r="RCQ162" s="679"/>
      <c r="RCR162" s="679"/>
      <c r="RCS162" s="679"/>
      <c r="RCT162" s="679"/>
      <c r="RCU162" s="679"/>
      <c r="RCV162" s="679"/>
      <c r="RCW162" s="679"/>
      <c r="RCX162" s="679"/>
      <c r="RCY162" s="679"/>
      <c r="RCZ162" s="679"/>
      <c r="RDA162" s="679"/>
      <c r="RDB162" s="679"/>
      <c r="RDC162" s="679"/>
      <c r="RDD162" s="679"/>
      <c r="RDE162" s="679"/>
      <c r="RDF162" s="679"/>
      <c r="RDG162" s="679"/>
      <c r="RDH162" s="679"/>
      <c r="RDI162" s="679"/>
      <c r="RDJ162" s="679"/>
      <c r="RDK162" s="679"/>
      <c r="RDL162" s="679"/>
      <c r="RDM162" s="679"/>
      <c r="RDN162" s="679"/>
      <c r="RDO162" s="679"/>
      <c r="RDP162" s="679"/>
      <c r="RDQ162" s="679"/>
      <c r="RDR162" s="679"/>
      <c r="RDS162" s="679"/>
      <c r="RDT162" s="679"/>
      <c r="RDU162" s="679"/>
      <c r="RDV162" s="679"/>
      <c r="RDW162" s="679"/>
      <c r="RDX162" s="679"/>
      <c r="RDY162" s="679"/>
      <c r="RDZ162" s="679"/>
      <c r="REA162" s="679"/>
      <c r="REB162" s="679"/>
      <c r="REC162" s="679"/>
      <c r="RED162" s="679"/>
      <c r="REE162" s="679"/>
      <c r="REF162" s="679"/>
      <c r="REG162" s="679"/>
      <c r="REH162" s="679"/>
      <c r="REI162" s="679"/>
      <c r="REJ162" s="679"/>
      <c r="REK162" s="679"/>
      <c r="REL162" s="679"/>
      <c r="REM162" s="679"/>
      <c r="REN162" s="679"/>
      <c r="REO162" s="679"/>
      <c r="REP162" s="679"/>
      <c r="REQ162" s="679"/>
      <c r="RER162" s="679"/>
      <c r="RES162" s="679"/>
      <c r="RET162" s="679"/>
      <c r="REU162" s="679"/>
      <c r="REV162" s="679"/>
      <c r="REW162" s="679"/>
      <c r="REX162" s="679"/>
      <c r="REY162" s="679"/>
      <c r="REZ162" s="679"/>
      <c r="RFA162" s="679"/>
      <c r="RFB162" s="679"/>
      <c r="RFC162" s="679"/>
      <c r="RFD162" s="679"/>
      <c r="RFE162" s="679"/>
      <c r="RFF162" s="679"/>
      <c r="RFG162" s="679"/>
      <c r="RFH162" s="679"/>
      <c r="RFI162" s="679"/>
      <c r="RFJ162" s="679"/>
      <c r="RFK162" s="679"/>
      <c r="RFL162" s="679"/>
      <c r="RFM162" s="679"/>
      <c r="RFN162" s="679"/>
      <c r="RFO162" s="679"/>
      <c r="RFP162" s="679"/>
      <c r="RFQ162" s="679"/>
      <c r="RFR162" s="679"/>
      <c r="RFS162" s="679"/>
      <c r="RFT162" s="679"/>
      <c r="RFU162" s="679"/>
      <c r="RFV162" s="679"/>
      <c r="RFW162" s="679"/>
      <c r="RFX162" s="679"/>
      <c r="RFY162" s="679"/>
      <c r="RFZ162" s="679"/>
      <c r="RGA162" s="679"/>
      <c r="RGB162" s="679"/>
      <c r="RGC162" s="679"/>
      <c r="RGD162" s="679"/>
      <c r="RGE162" s="679"/>
      <c r="RGF162" s="679"/>
      <c r="RGG162" s="679"/>
      <c r="RGH162" s="679"/>
      <c r="RGI162" s="679"/>
      <c r="RGJ162" s="679"/>
      <c r="RGK162" s="679"/>
      <c r="RGL162" s="679"/>
      <c r="RGM162" s="679"/>
      <c r="RGN162" s="679"/>
      <c r="RGO162" s="679"/>
      <c r="RGP162" s="679"/>
      <c r="RGQ162" s="679"/>
      <c r="RGR162" s="679"/>
      <c r="RGS162" s="679"/>
      <c r="RGT162" s="679"/>
      <c r="RGU162" s="679"/>
      <c r="RGV162" s="679"/>
      <c r="RGW162" s="679"/>
      <c r="RGX162" s="679"/>
      <c r="RGY162" s="679"/>
      <c r="RGZ162" s="679"/>
      <c r="RHA162" s="679"/>
      <c r="RHB162" s="679"/>
      <c r="RHC162" s="679"/>
      <c r="RHD162" s="679"/>
      <c r="RHE162" s="679"/>
      <c r="RHF162" s="679"/>
      <c r="RHG162" s="679"/>
      <c r="RHH162" s="679"/>
      <c r="RHI162" s="679"/>
      <c r="RHJ162" s="679"/>
      <c r="RHK162" s="679"/>
      <c r="RHL162" s="679"/>
      <c r="RHM162" s="679"/>
      <c r="RHN162" s="679"/>
      <c r="RHO162" s="679"/>
      <c r="RHP162" s="679"/>
      <c r="RHQ162" s="679"/>
      <c r="RHR162" s="679"/>
      <c r="RHS162" s="679"/>
      <c r="RHT162" s="679"/>
      <c r="RHU162" s="679"/>
      <c r="RHV162" s="679"/>
      <c r="RHW162" s="679"/>
      <c r="RHX162" s="679"/>
      <c r="RHY162" s="679"/>
      <c r="RHZ162" s="679"/>
      <c r="RIA162" s="679"/>
      <c r="RIB162" s="679"/>
      <c r="RIC162" s="679"/>
      <c r="RID162" s="679"/>
      <c r="RIE162" s="679"/>
      <c r="RIF162" s="679"/>
      <c r="RIG162" s="679"/>
      <c r="RIH162" s="679"/>
      <c r="RII162" s="679"/>
      <c r="RIJ162" s="679"/>
      <c r="RIK162" s="679"/>
      <c r="RIL162" s="679"/>
      <c r="RIM162" s="679"/>
      <c r="RIN162" s="679"/>
      <c r="RIO162" s="679"/>
      <c r="RIP162" s="679"/>
      <c r="RIQ162" s="679"/>
      <c r="RIR162" s="679"/>
      <c r="RIS162" s="679"/>
      <c r="RIT162" s="679"/>
      <c r="RIU162" s="679"/>
      <c r="RIV162" s="679"/>
      <c r="RIW162" s="679"/>
      <c r="RIX162" s="679"/>
      <c r="RIY162" s="679"/>
      <c r="RIZ162" s="679"/>
      <c r="RJA162" s="679"/>
      <c r="RJB162" s="679"/>
      <c r="RJC162" s="679"/>
      <c r="RJD162" s="679"/>
      <c r="RJE162" s="679"/>
      <c r="RJF162" s="679"/>
      <c r="RJG162" s="679"/>
      <c r="RJH162" s="679"/>
      <c r="RJI162" s="679"/>
      <c r="RJJ162" s="679"/>
      <c r="RJK162" s="679"/>
      <c r="RJL162" s="679"/>
      <c r="RJM162" s="679"/>
      <c r="RJN162" s="679"/>
      <c r="RJO162" s="679"/>
      <c r="RJP162" s="679"/>
      <c r="RJQ162" s="679"/>
      <c r="RJR162" s="679"/>
      <c r="RJS162" s="679"/>
      <c r="RJT162" s="679"/>
      <c r="RJU162" s="679"/>
      <c r="RJV162" s="679"/>
      <c r="RJW162" s="679"/>
      <c r="RJX162" s="679"/>
      <c r="RJY162" s="679"/>
      <c r="RJZ162" s="679"/>
      <c r="RKA162" s="679"/>
      <c r="RKB162" s="679"/>
      <c r="RKC162" s="679"/>
      <c r="RKD162" s="679"/>
      <c r="RKE162" s="679"/>
      <c r="RKF162" s="679"/>
      <c r="RKG162" s="679"/>
      <c r="RKH162" s="679"/>
      <c r="RKI162" s="679"/>
      <c r="RKJ162" s="679"/>
      <c r="RKK162" s="679"/>
      <c r="RKL162" s="679"/>
      <c r="RKM162" s="679"/>
      <c r="RKN162" s="679"/>
      <c r="RKO162" s="679"/>
      <c r="RKP162" s="679"/>
      <c r="RKQ162" s="679"/>
      <c r="RKR162" s="679"/>
      <c r="RKS162" s="679"/>
      <c r="RKT162" s="679"/>
      <c r="RKU162" s="679"/>
      <c r="RKV162" s="679"/>
      <c r="RKW162" s="679"/>
      <c r="RKX162" s="679"/>
      <c r="RKY162" s="679"/>
      <c r="RKZ162" s="679"/>
      <c r="RLA162" s="679"/>
      <c r="RLB162" s="679"/>
      <c r="RLC162" s="679"/>
      <c r="RLD162" s="679"/>
      <c r="RLE162" s="679"/>
      <c r="RLF162" s="679"/>
      <c r="RLG162" s="679"/>
      <c r="RLH162" s="679"/>
      <c r="RLI162" s="679"/>
      <c r="RLJ162" s="679"/>
      <c r="RLK162" s="679"/>
      <c r="RLL162" s="679"/>
      <c r="RLM162" s="679"/>
      <c r="RLN162" s="679"/>
      <c r="RLO162" s="679"/>
      <c r="RLP162" s="679"/>
      <c r="RLQ162" s="679"/>
      <c r="RLR162" s="679"/>
      <c r="RLS162" s="679"/>
      <c r="RLT162" s="679"/>
      <c r="RLU162" s="679"/>
      <c r="RLV162" s="679"/>
      <c r="RLW162" s="679"/>
      <c r="RLX162" s="679"/>
      <c r="RLY162" s="679"/>
      <c r="RLZ162" s="679"/>
      <c r="RMA162" s="679"/>
      <c r="RMB162" s="679"/>
      <c r="RMC162" s="679"/>
      <c r="RMD162" s="679"/>
      <c r="RME162" s="679"/>
      <c r="RMF162" s="679"/>
      <c r="RMG162" s="679"/>
      <c r="RMH162" s="679"/>
      <c r="RMI162" s="679"/>
      <c r="RMJ162" s="679"/>
      <c r="RMK162" s="679"/>
      <c r="RML162" s="679"/>
      <c r="RMM162" s="679"/>
      <c r="RMN162" s="679"/>
      <c r="RMO162" s="679"/>
      <c r="RMP162" s="679"/>
      <c r="RMQ162" s="679"/>
      <c r="RMR162" s="679"/>
      <c r="RMS162" s="679"/>
      <c r="RMT162" s="679"/>
      <c r="RMU162" s="679"/>
      <c r="RMV162" s="679"/>
      <c r="RMW162" s="679"/>
      <c r="RMX162" s="679"/>
      <c r="RMY162" s="679"/>
      <c r="RMZ162" s="679"/>
      <c r="RNA162" s="679"/>
      <c r="RNB162" s="679"/>
      <c r="RNC162" s="679"/>
      <c r="RND162" s="679"/>
      <c r="RNE162" s="679"/>
      <c r="RNF162" s="679"/>
      <c r="RNG162" s="679"/>
      <c r="RNH162" s="679"/>
      <c r="RNI162" s="679"/>
      <c r="RNJ162" s="679"/>
      <c r="RNK162" s="679"/>
      <c r="RNL162" s="679"/>
      <c r="RNM162" s="679"/>
      <c r="RNN162" s="679"/>
      <c r="RNO162" s="679"/>
      <c r="RNP162" s="679"/>
      <c r="RNQ162" s="679"/>
      <c r="RNR162" s="679"/>
      <c r="RNS162" s="679"/>
      <c r="RNT162" s="679"/>
      <c r="RNU162" s="679"/>
      <c r="RNV162" s="679"/>
      <c r="RNW162" s="679"/>
      <c r="RNX162" s="679"/>
      <c r="RNY162" s="679"/>
      <c r="RNZ162" s="679"/>
      <c r="ROA162" s="679"/>
      <c r="ROB162" s="679"/>
      <c r="ROC162" s="679"/>
      <c r="ROD162" s="679"/>
      <c r="ROE162" s="679"/>
      <c r="ROF162" s="679"/>
      <c r="ROG162" s="679"/>
      <c r="ROH162" s="679"/>
      <c r="ROI162" s="679"/>
      <c r="ROJ162" s="679"/>
      <c r="ROK162" s="679"/>
      <c r="ROL162" s="679"/>
      <c r="ROM162" s="679"/>
      <c r="RON162" s="679"/>
      <c r="ROO162" s="679"/>
      <c r="ROP162" s="679"/>
      <c r="ROQ162" s="679"/>
      <c r="ROR162" s="679"/>
      <c r="ROS162" s="679"/>
      <c r="ROT162" s="679"/>
      <c r="ROU162" s="679"/>
      <c r="ROV162" s="679"/>
      <c r="ROW162" s="679"/>
      <c r="ROX162" s="679"/>
      <c r="ROY162" s="679"/>
      <c r="ROZ162" s="679"/>
      <c r="RPA162" s="679"/>
      <c r="RPB162" s="679"/>
      <c r="RPC162" s="679"/>
      <c r="RPD162" s="679"/>
      <c r="RPE162" s="679"/>
      <c r="RPF162" s="679"/>
      <c r="RPG162" s="679"/>
      <c r="RPH162" s="679"/>
      <c r="RPI162" s="679"/>
      <c r="RPJ162" s="679"/>
      <c r="RPK162" s="679"/>
      <c r="RPL162" s="679"/>
      <c r="RPM162" s="679"/>
      <c r="RPN162" s="679"/>
      <c r="RPO162" s="679"/>
      <c r="RPP162" s="679"/>
      <c r="RPQ162" s="679"/>
      <c r="RPR162" s="679"/>
      <c r="RPS162" s="679"/>
      <c r="RPT162" s="679"/>
      <c r="RPU162" s="679"/>
      <c r="RPV162" s="679"/>
      <c r="RPW162" s="679"/>
      <c r="RPX162" s="679"/>
      <c r="RPY162" s="679"/>
      <c r="RPZ162" s="679"/>
      <c r="RQA162" s="679"/>
      <c r="RQB162" s="679"/>
      <c r="RQC162" s="679"/>
      <c r="RQD162" s="679"/>
      <c r="RQE162" s="679"/>
      <c r="RQF162" s="679"/>
      <c r="RQG162" s="679"/>
      <c r="RQH162" s="679"/>
      <c r="RQI162" s="679"/>
      <c r="RQJ162" s="679"/>
      <c r="RQK162" s="679"/>
      <c r="RQL162" s="679"/>
      <c r="RQM162" s="679"/>
      <c r="RQN162" s="679"/>
      <c r="RQO162" s="679"/>
      <c r="RQP162" s="679"/>
      <c r="RQQ162" s="679"/>
      <c r="RQR162" s="679"/>
      <c r="RQS162" s="679"/>
      <c r="RQT162" s="679"/>
      <c r="RQU162" s="679"/>
      <c r="RQV162" s="679"/>
      <c r="RQW162" s="679"/>
      <c r="RQX162" s="679"/>
      <c r="RQY162" s="679"/>
      <c r="RQZ162" s="679"/>
      <c r="RRA162" s="679"/>
      <c r="RRB162" s="679"/>
      <c r="RRC162" s="679"/>
      <c r="RRD162" s="679"/>
      <c r="RRE162" s="679"/>
      <c r="RRF162" s="679"/>
      <c r="RRG162" s="679"/>
      <c r="RRH162" s="679"/>
      <c r="RRI162" s="679"/>
      <c r="RRJ162" s="679"/>
      <c r="RRK162" s="679"/>
      <c r="RRL162" s="679"/>
      <c r="RRM162" s="679"/>
      <c r="RRN162" s="679"/>
      <c r="RRO162" s="679"/>
      <c r="RRP162" s="679"/>
      <c r="RRQ162" s="679"/>
      <c r="RRR162" s="679"/>
      <c r="RRS162" s="679"/>
      <c r="RRT162" s="679"/>
      <c r="RRU162" s="679"/>
      <c r="RRV162" s="679"/>
      <c r="RRW162" s="679"/>
      <c r="RRX162" s="679"/>
      <c r="RRY162" s="679"/>
      <c r="RRZ162" s="679"/>
      <c r="RSA162" s="679"/>
      <c r="RSB162" s="679"/>
      <c r="RSC162" s="679"/>
      <c r="RSD162" s="679"/>
      <c r="RSE162" s="679"/>
      <c r="RSF162" s="679"/>
      <c r="RSG162" s="679"/>
      <c r="RSH162" s="679"/>
      <c r="RSI162" s="679"/>
      <c r="RSJ162" s="679"/>
      <c r="RSK162" s="679"/>
      <c r="RSL162" s="679"/>
      <c r="RSM162" s="679"/>
      <c r="RSN162" s="679"/>
      <c r="RSO162" s="679"/>
      <c r="RSP162" s="679"/>
      <c r="RSQ162" s="679"/>
      <c r="RSR162" s="679"/>
      <c r="RSS162" s="679"/>
      <c r="RST162" s="679"/>
      <c r="RSU162" s="679"/>
      <c r="RSV162" s="679"/>
      <c r="RSW162" s="679"/>
      <c r="RSX162" s="679"/>
      <c r="RSY162" s="679"/>
      <c r="RSZ162" s="679"/>
      <c r="RTA162" s="679"/>
      <c r="RTB162" s="679"/>
      <c r="RTC162" s="679"/>
      <c r="RTD162" s="679"/>
      <c r="RTE162" s="679"/>
      <c r="RTF162" s="679"/>
      <c r="RTG162" s="679"/>
      <c r="RTH162" s="679"/>
      <c r="RTI162" s="679"/>
      <c r="RTJ162" s="679"/>
      <c r="RTK162" s="679"/>
      <c r="RTL162" s="679"/>
      <c r="RTM162" s="679"/>
      <c r="RTN162" s="679"/>
      <c r="RTO162" s="679"/>
      <c r="RTP162" s="679"/>
      <c r="RTQ162" s="679"/>
      <c r="RTR162" s="679"/>
      <c r="RTS162" s="679"/>
      <c r="RTT162" s="679"/>
      <c r="RTU162" s="679"/>
      <c r="RTV162" s="679"/>
      <c r="RTW162" s="679"/>
      <c r="RTX162" s="679"/>
      <c r="RTY162" s="679"/>
      <c r="RTZ162" s="679"/>
      <c r="RUA162" s="679"/>
      <c r="RUB162" s="679"/>
      <c r="RUC162" s="679"/>
      <c r="RUD162" s="679"/>
      <c r="RUE162" s="679"/>
      <c r="RUF162" s="679"/>
      <c r="RUG162" s="679"/>
      <c r="RUH162" s="679"/>
      <c r="RUI162" s="679"/>
      <c r="RUJ162" s="679"/>
      <c r="RUK162" s="679"/>
      <c r="RUL162" s="679"/>
      <c r="RUM162" s="679"/>
      <c r="RUN162" s="679"/>
      <c r="RUO162" s="679"/>
      <c r="RUP162" s="679"/>
      <c r="RUQ162" s="679"/>
      <c r="RUR162" s="679"/>
      <c r="RUS162" s="679"/>
      <c r="RUT162" s="679"/>
      <c r="RUU162" s="679"/>
      <c r="RUV162" s="679"/>
      <c r="RUW162" s="679"/>
      <c r="RUX162" s="679"/>
      <c r="RUY162" s="679"/>
      <c r="RUZ162" s="679"/>
      <c r="RVA162" s="679"/>
      <c r="RVB162" s="679"/>
      <c r="RVC162" s="679"/>
      <c r="RVD162" s="679"/>
      <c r="RVE162" s="679"/>
      <c r="RVF162" s="679"/>
      <c r="RVG162" s="679"/>
      <c r="RVH162" s="679"/>
      <c r="RVI162" s="679"/>
      <c r="RVJ162" s="679"/>
      <c r="RVK162" s="679"/>
      <c r="RVL162" s="679"/>
      <c r="RVM162" s="679"/>
      <c r="RVN162" s="679"/>
      <c r="RVO162" s="679"/>
      <c r="RVP162" s="679"/>
      <c r="RVQ162" s="679"/>
      <c r="RVR162" s="679"/>
      <c r="RVS162" s="679"/>
      <c r="RVT162" s="679"/>
      <c r="RVU162" s="679"/>
      <c r="RVV162" s="679"/>
      <c r="RVW162" s="679"/>
      <c r="RVX162" s="679"/>
      <c r="RVY162" s="679"/>
      <c r="RVZ162" s="679"/>
      <c r="RWA162" s="679"/>
      <c r="RWB162" s="679"/>
      <c r="RWC162" s="679"/>
      <c r="RWD162" s="679"/>
      <c r="RWE162" s="679"/>
      <c r="RWF162" s="679"/>
      <c r="RWG162" s="679"/>
      <c r="RWH162" s="679"/>
      <c r="RWI162" s="679"/>
      <c r="RWJ162" s="679"/>
      <c r="RWK162" s="679"/>
      <c r="RWL162" s="679"/>
      <c r="RWM162" s="679"/>
      <c r="RWN162" s="679"/>
      <c r="RWO162" s="679"/>
      <c r="RWP162" s="679"/>
      <c r="RWQ162" s="679"/>
      <c r="RWR162" s="679"/>
      <c r="RWS162" s="679"/>
      <c r="RWT162" s="679"/>
      <c r="RWU162" s="679"/>
      <c r="RWV162" s="679"/>
      <c r="RWW162" s="679"/>
      <c r="RWX162" s="679"/>
      <c r="RWY162" s="679"/>
      <c r="RWZ162" s="679"/>
      <c r="RXA162" s="679"/>
      <c r="RXB162" s="679"/>
      <c r="RXC162" s="679"/>
      <c r="RXD162" s="679"/>
      <c r="RXE162" s="679"/>
      <c r="RXF162" s="679"/>
      <c r="RXG162" s="679"/>
      <c r="RXH162" s="679"/>
      <c r="RXI162" s="679"/>
      <c r="RXJ162" s="679"/>
      <c r="RXK162" s="679"/>
      <c r="RXL162" s="679"/>
      <c r="RXM162" s="679"/>
      <c r="RXN162" s="679"/>
      <c r="RXO162" s="679"/>
      <c r="RXP162" s="679"/>
      <c r="RXQ162" s="679"/>
      <c r="RXR162" s="679"/>
      <c r="RXS162" s="679"/>
      <c r="RXT162" s="679"/>
      <c r="RXU162" s="679"/>
      <c r="RXV162" s="679"/>
      <c r="RXW162" s="679"/>
      <c r="RXX162" s="679"/>
      <c r="RXY162" s="679"/>
      <c r="RXZ162" s="679"/>
      <c r="RYA162" s="679"/>
      <c r="RYB162" s="679"/>
      <c r="RYC162" s="679"/>
      <c r="RYD162" s="679"/>
      <c r="RYE162" s="679"/>
      <c r="RYF162" s="679"/>
      <c r="RYG162" s="679"/>
      <c r="RYH162" s="679"/>
      <c r="RYI162" s="679"/>
      <c r="RYJ162" s="679"/>
      <c r="RYK162" s="679"/>
      <c r="RYL162" s="679"/>
      <c r="RYM162" s="679"/>
      <c r="RYN162" s="679"/>
      <c r="RYO162" s="679"/>
      <c r="RYP162" s="679"/>
      <c r="RYQ162" s="679"/>
      <c r="RYR162" s="679"/>
      <c r="RYS162" s="679"/>
      <c r="RYT162" s="679"/>
      <c r="RYU162" s="679"/>
      <c r="RYV162" s="679"/>
      <c r="RYW162" s="679"/>
      <c r="RYX162" s="679"/>
      <c r="RYY162" s="679"/>
      <c r="RYZ162" s="679"/>
      <c r="RZA162" s="679"/>
      <c r="RZB162" s="679"/>
      <c r="RZC162" s="679"/>
      <c r="RZD162" s="679"/>
      <c r="RZE162" s="679"/>
      <c r="RZF162" s="679"/>
      <c r="RZG162" s="679"/>
      <c r="RZH162" s="679"/>
      <c r="RZI162" s="679"/>
      <c r="RZJ162" s="679"/>
      <c r="RZK162" s="679"/>
      <c r="RZL162" s="679"/>
      <c r="RZM162" s="679"/>
      <c r="RZN162" s="679"/>
      <c r="RZO162" s="679"/>
      <c r="RZP162" s="679"/>
      <c r="RZQ162" s="679"/>
      <c r="RZR162" s="679"/>
      <c r="RZS162" s="679"/>
      <c r="RZT162" s="679"/>
      <c r="RZU162" s="679"/>
      <c r="RZV162" s="679"/>
      <c r="RZW162" s="679"/>
      <c r="RZX162" s="679"/>
      <c r="RZY162" s="679"/>
      <c r="RZZ162" s="679"/>
      <c r="SAA162" s="679"/>
      <c r="SAB162" s="679"/>
      <c r="SAC162" s="679"/>
      <c r="SAD162" s="679"/>
      <c r="SAE162" s="679"/>
      <c r="SAF162" s="679"/>
      <c r="SAG162" s="679"/>
      <c r="SAH162" s="679"/>
      <c r="SAI162" s="679"/>
      <c r="SAJ162" s="679"/>
      <c r="SAK162" s="679"/>
      <c r="SAL162" s="679"/>
      <c r="SAM162" s="679"/>
      <c r="SAN162" s="679"/>
      <c r="SAO162" s="679"/>
      <c r="SAP162" s="679"/>
      <c r="SAQ162" s="679"/>
      <c r="SAR162" s="679"/>
      <c r="SAS162" s="679"/>
      <c r="SAT162" s="679"/>
      <c r="SAU162" s="679"/>
      <c r="SAV162" s="679"/>
      <c r="SAW162" s="679"/>
      <c r="SAX162" s="679"/>
      <c r="SAY162" s="679"/>
      <c r="SAZ162" s="679"/>
      <c r="SBA162" s="679"/>
      <c r="SBB162" s="679"/>
      <c r="SBC162" s="679"/>
      <c r="SBD162" s="679"/>
      <c r="SBE162" s="679"/>
      <c r="SBF162" s="679"/>
      <c r="SBG162" s="679"/>
      <c r="SBH162" s="679"/>
      <c r="SBI162" s="679"/>
      <c r="SBJ162" s="679"/>
      <c r="SBK162" s="679"/>
      <c r="SBL162" s="679"/>
      <c r="SBM162" s="679"/>
      <c r="SBN162" s="679"/>
      <c r="SBO162" s="679"/>
      <c r="SBP162" s="679"/>
      <c r="SBQ162" s="679"/>
      <c r="SBR162" s="679"/>
      <c r="SBS162" s="679"/>
      <c r="SBT162" s="679"/>
      <c r="SBU162" s="679"/>
      <c r="SBV162" s="679"/>
      <c r="SBW162" s="679"/>
      <c r="SBX162" s="679"/>
      <c r="SBY162" s="679"/>
      <c r="SBZ162" s="679"/>
      <c r="SCA162" s="679"/>
      <c r="SCB162" s="679"/>
      <c r="SCC162" s="679"/>
      <c r="SCD162" s="679"/>
      <c r="SCE162" s="679"/>
      <c r="SCF162" s="679"/>
      <c r="SCG162" s="679"/>
      <c r="SCH162" s="679"/>
      <c r="SCI162" s="679"/>
      <c r="SCJ162" s="679"/>
      <c r="SCK162" s="679"/>
      <c r="SCL162" s="679"/>
      <c r="SCM162" s="679"/>
      <c r="SCN162" s="679"/>
      <c r="SCO162" s="679"/>
      <c r="SCP162" s="679"/>
      <c r="SCQ162" s="679"/>
      <c r="SCR162" s="679"/>
      <c r="SCS162" s="679"/>
      <c r="SCT162" s="679"/>
      <c r="SCU162" s="679"/>
      <c r="SCV162" s="679"/>
      <c r="SCW162" s="679"/>
      <c r="SCX162" s="679"/>
      <c r="SCY162" s="679"/>
      <c r="SCZ162" s="679"/>
      <c r="SDA162" s="679"/>
      <c r="SDB162" s="679"/>
      <c r="SDC162" s="679"/>
      <c r="SDD162" s="679"/>
      <c r="SDE162" s="679"/>
      <c r="SDF162" s="679"/>
      <c r="SDG162" s="679"/>
      <c r="SDH162" s="679"/>
      <c r="SDI162" s="679"/>
      <c r="SDJ162" s="679"/>
      <c r="SDK162" s="679"/>
      <c r="SDL162" s="679"/>
      <c r="SDM162" s="679"/>
      <c r="SDN162" s="679"/>
      <c r="SDO162" s="679"/>
      <c r="SDP162" s="679"/>
      <c r="SDQ162" s="679"/>
      <c r="SDR162" s="679"/>
      <c r="SDS162" s="679"/>
      <c r="SDT162" s="679"/>
      <c r="SDU162" s="679"/>
      <c r="SDV162" s="679"/>
      <c r="SDW162" s="679"/>
      <c r="SDX162" s="679"/>
      <c r="SDY162" s="679"/>
      <c r="SDZ162" s="679"/>
      <c r="SEA162" s="679"/>
      <c r="SEB162" s="679"/>
      <c r="SEC162" s="679"/>
      <c r="SED162" s="679"/>
      <c r="SEE162" s="679"/>
      <c r="SEF162" s="679"/>
      <c r="SEG162" s="679"/>
      <c r="SEH162" s="679"/>
      <c r="SEI162" s="679"/>
      <c r="SEJ162" s="679"/>
      <c r="SEK162" s="679"/>
      <c r="SEL162" s="679"/>
      <c r="SEM162" s="679"/>
      <c r="SEN162" s="679"/>
      <c r="SEO162" s="679"/>
      <c r="SEP162" s="679"/>
      <c r="SEQ162" s="679"/>
      <c r="SER162" s="679"/>
      <c r="SES162" s="679"/>
      <c r="SET162" s="679"/>
      <c r="SEU162" s="679"/>
      <c r="SEV162" s="679"/>
      <c r="SEW162" s="679"/>
      <c r="SEX162" s="679"/>
      <c r="SEY162" s="679"/>
      <c r="SEZ162" s="679"/>
      <c r="SFA162" s="679"/>
      <c r="SFB162" s="679"/>
      <c r="SFC162" s="679"/>
      <c r="SFD162" s="679"/>
      <c r="SFE162" s="679"/>
      <c r="SFF162" s="679"/>
      <c r="SFG162" s="679"/>
      <c r="SFH162" s="679"/>
      <c r="SFI162" s="679"/>
      <c r="SFJ162" s="679"/>
      <c r="SFK162" s="679"/>
      <c r="SFL162" s="679"/>
      <c r="SFM162" s="679"/>
      <c r="SFN162" s="679"/>
      <c r="SFO162" s="679"/>
      <c r="SFP162" s="679"/>
      <c r="SFQ162" s="679"/>
      <c r="SFR162" s="679"/>
      <c r="SFS162" s="679"/>
      <c r="SFT162" s="679"/>
      <c r="SFU162" s="679"/>
      <c r="SFV162" s="679"/>
      <c r="SFW162" s="679"/>
      <c r="SFX162" s="679"/>
      <c r="SFY162" s="679"/>
      <c r="SFZ162" s="679"/>
      <c r="SGA162" s="679"/>
      <c r="SGB162" s="679"/>
      <c r="SGC162" s="679"/>
      <c r="SGD162" s="679"/>
      <c r="SGE162" s="679"/>
      <c r="SGF162" s="679"/>
      <c r="SGG162" s="679"/>
      <c r="SGH162" s="679"/>
      <c r="SGI162" s="679"/>
      <c r="SGJ162" s="679"/>
      <c r="SGK162" s="679"/>
      <c r="SGL162" s="679"/>
      <c r="SGM162" s="679"/>
      <c r="SGN162" s="679"/>
      <c r="SGO162" s="679"/>
      <c r="SGP162" s="679"/>
      <c r="SGQ162" s="679"/>
      <c r="SGR162" s="679"/>
      <c r="SGS162" s="679"/>
      <c r="SGT162" s="679"/>
      <c r="SGU162" s="679"/>
      <c r="SGV162" s="679"/>
      <c r="SGW162" s="679"/>
      <c r="SGX162" s="679"/>
      <c r="SGY162" s="679"/>
      <c r="SGZ162" s="679"/>
      <c r="SHA162" s="679"/>
      <c r="SHB162" s="679"/>
      <c r="SHC162" s="679"/>
      <c r="SHD162" s="679"/>
      <c r="SHE162" s="679"/>
      <c r="SHF162" s="679"/>
      <c r="SHG162" s="679"/>
      <c r="SHH162" s="679"/>
      <c r="SHI162" s="679"/>
      <c r="SHJ162" s="679"/>
      <c r="SHK162" s="679"/>
      <c r="SHL162" s="679"/>
      <c r="SHM162" s="679"/>
      <c r="SHN162" s="679"/>
      <c r="SHO162" s="679"/>
      <c r="SHP162" s="679"/>
      <c r="SHQ162" s="679"/>
      <c r="SHR162" s="679"/>
      <c r="SHS162" s="679"/>
      <c r="SHT162" s="679"/>
      <c r="SHU162" s="679"/>
      <c r="SHV162" s="679"/>
      <c r="SHW162" s="679"/>
      <c r="SHX162" s="679"/>
      <c r="SHY162" s="679"/>
      <c r="SHZ162" s="679"/>
      <c r="SIA162" s="679"/>
      <c r="SIB162" s="679"/>
      <c r="SIC162" s="679"/>
      <c r="SID162" s="679"/>
      <c r="SIE162" s="679"/>
      <c r="SIF162" s="679"/>
      <c r="SIG162" s="679"/>
      <c r="SIH162" s="679"/>
      <c r="SII162" s="679"/>
      <c r="SIJ162" s="679"/>
      <c r="SIK162" s="679"/>
      <c r="SIL162" s="679"/>
      <c r="SIM162" s="679"/>
      <c r="SIN162" s="679"/>
      <c r="SIO162" s="679"/>
      <c r="SIP162" s="679"/>
      <c r="SIQ162" s="679"/>
      <c r="SIR162" s="679"/>
      <c r="SIS162" s="679"/>
      <c r="SIT162" s="679"/>
      <c r="SIU162" s="679"/>
      <c r="SIV162" s="679"/>
      <c r="SIW162" s="679"/>
      <c r="SIX162" s="679"/>
      <c r="SIY162" s="679"/>
      <c r="SIZ162" s="679"/>
      <c r="SJA162" s="679"/>
      <c r="SJB162" s="679"/>
      <c r="SJC162" s="679"/>
      <c r="SJD162" s="679"/>
      <c r="SJE162" s="679"/>
      <c r="SJF162" s="679"/>
      <c r="SJG162" s="679"/>
      <c r="SJH162" s="679"/>
      <c r="SJI162" s="679"/>
      <c r="SJJ162" s="679"/>
      <c r="SJK162" s="679"/>
      <c r="SJL162" s="679"/>
      <c r="SJM162" s="679"/>
      <c r="SJN162" s="679"/>
      <c r="SJO162" s="679"/>
      <c r="SJP162" s="679"/>
      <c r="SJQ162" s="679"/>
      <c r="SJR162" s="679"/>
      <c r="SJS162" s="679"/>
      <c r="SJT162" s="679"/>
      <c r="SJU162" s="679"/>
      <c r="SJV162" s="679"/>
      <c r="SJW162" s="679"/>
      <c r="SJX162" s="679"/>
      <c r="SJY162" s="679"/>
      <c r="SJZ162" s="679"/>
      <c r="SKA162" s="679"/>
      <c r="SKB162" s="679"/>
      <c r="SKC162" s="679"/>
      <c r="SKD162" s="679"/>
      <c r="SKE162" s="679"/>
      <c r="SKF162" s="679"/>
      <c r="SKG162" s="679"/>
      <c r="SKH162" s="679"/>
      <c r="SKI162" s="679"/>
      <c r="SKJ162" s="679"/>
      <c r="SKK162" s="679"/>
      <c r="SKL162" s="679"/>
      <c r="SKM162" s="679"/>
      <c r="SKN162" s="679"/>
      <c r="SKO162" s="679"/>
      <c r="SKP162" s="679"/>
      <c r="SKQ162" s="679"/>
      <c r="SKR162" s="679"/>
      <c r="SKS162" s="679"/>
      <c r="SKT162" s="679"/>
      <c r="SKU162" s="679"/>
      <c r="SKV162" s="679"/>
      <c r="SKW162" s="679"/>
      <c r="SKX162" s="679"/>
      <c r="SKY162" s="679"/>
      <c r="SKZ162" s="679"/>
      <c r="SLA162" s="679"/>
      <c r="SLB162" s="679"/>
      <c r="SLC162" s="679"/>
      <c r="SLD162" s="679"/>
      <c r="SLE162" s="679"/>
      <c r="SLF162" s="679"/>
      <c r="SLG162" s="679"/>
      <c r="SLH162" s="679"/>
      <c r="SLI162" s="679"/>
      <c r="SLJ162" s="679"/>
      <c r="SLK162" s="679"/>
      <c r="SLL162" s="679"/>
      <c r="SLM162" s="679"/>
      <c r="SLN162" s="679"/>
      <c r="SLO162" s="679"/>
      <c r="SLP162" s="679"/>
      <c r="SLQ162" s="679"/>
      <c r="SLR162" s="679"/>
      <c r="SLS162" s="679"/>
      <c r="SLT162" s="679"/>
      <c r="SLU162" s="679"/>
      <c r="SLV162" s="679"/>
      <c r="SLW162" s="679"/>
      <c r="SLX162" s="679"/>
      <c r="SLY162" s="679"/>
      <c r="SLZ162" s="679"/>
      <c r="SMA162" s="679"/>
      <c r="SMB162" s="679"/>
      <c r="SMC162" s="679"/>
      <c r="SMD162" s="679"/>
      <c r="SME162" s="679"/>
      <c r="SMF162" s="679"/>
      <c r="SMG162" s="679"/>
      <c r="SMH162" s="679"/>
      <c r="SMI162" s="679"/>
      <c r="SMJ162" s="679"/>
      <c r="SMK162" s="679"/>
      <c r="SML162" s="679"/>
      <c r="SMM162" s="679"/>
      <c r="SMN162" s="679"/>
      <c r="SMO162" s="679"/>
      <c r="SMP162" s="679"/>
      <c r="SMQ162" s="679"/>
      <c r="SMR162" s="679"/>
      <c r="SMS162" s="679"/>
      <c r="SMT162" s="679"/>
      <c r="SMU162" s="679"/>
      <c r="SMV162" s="679"/>
      <c r="SMW162" s="679"/>
      <c r="SMX162" s="679"/>
      <c r="SMY162" s="679"/>
      <c r="SMZ162" s="679"/>
      <c r="SNA162" s="679"/>
      <c r="SNB162" s="679"/>
      <c r="SNC162" s="679"/>
      <c r="SND162" s="679"/>
      <c r="SNE162" s="679"/>
      <c r="SNF162" s="679"/>
      <c r="SNG162" s="679"/>
      <c r="SNH162" s="679"/>
      <c r="SNI162" s="679"/>
      <c r="SNJ162" s="679"/>
      <c r="SNK162" s="679"/>
      <c r="SNL162" s="679"/>
      <c r="SNM162" s="679"/>
      <c r="SNN162" s="679"/>
      <c r="SNO162" s="679"/>
      <c r="SNP162" s="679"/>
      <c r="SNQ162" s="679"/>
      <c r="SNR162" s="679"/>
      <c r="SNS162" s="679"/>
      <c r="SNT162" s="679"/>
      <c r="SNU162" s="679"/>
      <c r="SNV162" s="679"/>
      <c r="SNW162" s="679"/>
      <c r="SNX162" s="679"/>
      <c r="SNY162" s="679"/>
      <c r="SNZ162" s="679"/>
      <c r="SOA162" s="679"/>
      <c r="SOB162" s="679"/>
      <c r="SOC162" s="679"/>
      <c r="SOD162" s="679"/>
      <c r="SOE162" s="679"/>
      <c r="SOF162" s="679"/>
      <c r="SOG162" s="679"/>
      <c r="SOH162" s="679"/>
      <c r="SOI162" s="679"/>
      <c r="SOJ162" s="679"/>
      <c r="SOK162" s="679"/>
      <c r="SOL162" s="679"/>
      <c r="SOM162" s="679"/>
      <c r="SON162" s="679"/>
      <c r="SOO162" s="679"/>
      <c r="SOP162" s="679"/>
      <c r="SOQ162" s="679"/>
      <c r="SOR162" s="679"/>
      <c r="SOS162" s="679"/>
      <c r="SOT162" s="679"/>
      <c r="SOU162" s="679"/>
      <c r="SOV162" s="679"/>
      <c r="SOW162" s="679"/>
      <c r="SOX162" s="679"/>
      <c r="SOY162" s="679"/>
      <c r="SOZ162" s="679"/>
      <c r="SPA162" s="679"/>
      <c r="SPB162" s="679"/>
      <c r="SPC162" s="679"/>
      <c r="SPD162" s="679"/>
      <c r="SPE162" s="679"/>
      <c r="SPF162" s="679"/>
      <c r="SPG162" s="679"/>
      <c r="SPH162" s="679"/>
      <c r="SPI162" s="679"/>
      <c r="SPJ162" s="679"/>
      <c r="SPK162" s="679"/>
      <c r="SPL162" s="679"/>
      <c r="SPM162" s="679"/>
      <c r="SPN162" s="679"/>
      <c r="SPO162" s="679"/>
      <c r="SPP162" s="679"/>
      <c r="SPQ162" s="679"/>
      <c r="SPR162" s="679"/>
      <c r="SPS162" s="679"/>
      <c r="SPT162" s="679"/>
      <c r="SPU162" s="679"/>
      <c r="SPV162" s="679"/>
      <c r="SPW162" s="679"/>
      <c r="SPX162" s="679"/>
      <c r="SPY162" s="679"/>
      <c r="SPZ162" s="679"/>
      <c r="SQA162" s="679"/>
      <c r="SQB162" s="679"/>
      <c r="SQC162" s="679"/>
      <c r="SQD162" s="679"/>
      <c r="SQE162" s="679"/>
      <c r="SQF162" s="679"/>
      <c r="SQG162" s="679"/>
      <c r="SQH162" s="679"/>
      <c r="SQI162" s="679"/>
      <c r="SQJ162" s="679"/>
      <c r="SQK162" s="679"/>
      <c r="SQL162" s="679"/>
      <c r="SQM162" s="679"/>
      <c r="SQN162" s="679"/>
      <c r="SQO162" s="679"/>
      <c r="SQP162" s="679"/>
      <c r="SQQ162" s="679"/>
      <c r="SQR162" s="679"/>
      <c r="SQS162" s="679"/>
      <c r="SQT162" s="679"/>
      <c r="SQU162" s="679"/>
      <c r="SQV162" s="679"/>
      <c r="SQW162" s="679"/>
      <c r="SQX162" s="679"/>
      <c r="SQY162" s="679"/>
      <c r="SQZ162" s="679"/>
      <c r="SRA162" s="679"/>
      <c r="SRB162" s="679"/>
      <c r="SRC162" s="679"/>
      <c r="SRD162" s="679"/>
      <c r="SRE162" s="679"/>
      <c r="SRF162" s="679"/>
      <c r="SRG162" s="679"/>
      <c r="SRH162" s="679"/>
      <c r="SRI162" s="679"/>
      <c r="SRJ162" s="679"/>
      <c r="SRK162" s="679"/>
      <c r="SRL162" s="679"/>
      <c r="SRM162" s="679"/>
      <c r="SRN162" s="679"/>
      <c r="SRO162" s="679"/>
      <c r="SRP162" s="679"/>
      <c r="SRQ162" s="679"/>
      <c r="SRR162" s="679"/>
      <c r="SRS162" s="679"/>
      <c r="SRT162" s="679"/>
      <c r="SRU162" s="679"/>
      <c r="SRV162" s="679"/>
      <c r="SRW162" s="679"/>
      <c r="SRX162" s="679"/>
      <c r="SRY162" s="679"/>
      <c r="SRZ162" s="679"/>
      <c r="SSA162" s="679"/>
      <c r="SSB162" s="679"/>
      <c r="SSC162" s="679"/>
      <c r="SSD162" s="679"/>
      <c r="SSE162" s="679"/>
      <c r="SSF162" s="679"/>
      <c r="SSG162" s="679"/>
      <c r="SSH162" s="679"/>
      <c r="SSI162" s="679"/>
      <c r="SSJ162" s="679"/>
      <c r="SSK162" s="679"/>
      <c r="SSL162" s="679"/>
      <c r="SSM162" s="679"/>
      <c r="SSN162" s="679"/>
      <c r="SSO162" s="679"/>
      <c r="SSP162" s="679"/>
      <c r="SSQ162" s="679"/>
      <c r="SSR162" s="679"/>
      <c r="SSS162" s="679"/>
      <c r="SST162" s="679"/>
      <c r="SSU162" s="679"/>
      <c r="SSV162" s="679"/>
      <c r="SSW162" s="679"/>
      <c r="SSX162" s="679"/>
      <c r="SSY162" s="679"/>
      <c r="SSZ162" s="679"/>
      <c r="STA162" s="679"/>
      <c r="STB162" s="679"/>
      <c r="STC162" s="679"/>
      <c r="STD162" s="679"/>
      <c r="STE162" s="679"/>
      <c r="STF162" s="679"/>
      <c r="STG162" s="679"/>
      <c r="STH162" s="679"/>
      <c r="STI162" s="679"/>
      <c r="STJ162" s="679"/>
      <c r="STK162" s="679"/>
      <c r="STL162" s="679"/>
      <c r="STM162" s="679"/>
      <c r="STN162" s="679"/>
      <c r="STO162" s="679"/>
      <c r="STP162" s="679"/>
      <c r="STQ162" s="679"/>
      <c r="STR162" s="679"/>
      <c r="STS162" s="679"/>
      <c r="STT162" s="679"/>
      <c r="STU162" s="679"/>
      <c r="STV162" s="679"/>
      <c r="STW162" s="679"/>
      <c r="STX162" s="679"/>
      <c r="STY162" s="679"/>
      <c r="STZ162" s="679"/>
      <c r="SUA162" s="679"/>
      <c r="SUB162" s="679"/>
      <c r="SUC162" s="679"/>
      <c r="SUD162" s="679"/>
      <c r="SUE162" s="679"/>
      <c r="SUF162" s="679"/>
      <c r="SUG162" s="679"/>
      <c r="SUH162" s="679"/>
      <c r="SUI162" s="679"/>
      <c r="SUJ162" s="679"/>
      <c r="SUK162" s="679"/>
      <c r="SUL162" s="679"/>
      <c r="SUM162" s="679"/>
      <c r="SUN162" s="679"/>
      <c r="SUO162" s="679"/>
      <c r="SUP162" s="679"/>
      <c r="SUQ162" s="679"/>
      <c r="SUR162" s="679"/>
      <c r="SUS162" s="679"/>
      <c r="SUT162" s="679"/>
      <c r="SUU162" s="679"/>
      <c r="SUV162" s="679"/>
      <c r="SUW162" s="679"/>
      <c r="SUX162" s="679"/>
      <c r="SUY162" s="679"/>
      <c r="SUZ162" s="679"/>
      <c r="SVA162" s="679"/>
      <c r="SVB162" s="679"/>
      <c r="SVC162" s="679"/>
      <c r="SVD162" s="679"/>
      <c r="SVE162" s="679"/>
      <c r="SVF162" s="679"/>
      <c r="SVG162" s="679"/>
      <c r="SVH162" s="679"/>
      <c r="SVI162" s="679"/>
      <c r="SVJ162" s="679"/>
      <c r="SVK162" s="679"/>
      <c r="SVL162" s="679"/>
      <c r="SVM162" s="679"/>
      <c r="SVN162" s="679"/>
      <c r="SVO162" s="679"/>
      <c r="SVP162" s="679"/>
      <c r="SVQ162" s="679"/>
      <c r="SVR162" s="679"/>
      <c r="SVS162" s="679"/>
      <c r="SVT162" s="679"/>
      <c r="SVU162" s="679"/>
      <c r="SVV162" s="679"/>
      <c r="SVW162" s="679"/>
      <c r="SVX162" s="679"/>
      <c r="SVY162" s="679"/>
      <c r="SVZ162" s="679"/>
      <c r="SWA162" s="679"/>
      <c r="SWB162" s="679"/>
      <c r="SWC162" s="679"/>
      <c r="SWD162" s="679"/>
      <c r="SWE162" s="679"/>
      <c r="SWF162" s="679"/>
      <c r="SWG162" s="679"/>
      <c r="SWH162" s="679"/>
      <c r="SWI162" s="679"/>
      <c r="SWJ162" s="679"/>
      <c r="SWK162" s="679"/>
      <c r="SWL162" s="679"/>
      <c r="SWM162" s="679"/>
      <c r="SWN162" s="679"/>
      <c r="SWO162" s="679"/>
      <c r="SWP162" s="679"/>
      <c r="SWQ162" s="679"/>
      <c r="SWR162" s="679"/>
      <c r="SWS162" s="679"/>
      <c r="SWT162" s="679"/>
      <c r="SWU162" s="679"/>
      <c r="SWV162" s="679"/>
      <c r="SWW162" s="679"/>
      <c r="SWX162" s="679"/>
      <c r="SWY162" s="679"/>
      <c r="SWZ162" s="679"/>
      <c r="SXA162" s="679"/>
      <c r="SXB162" s="679"/>
      <c r="SXC162" s="679"/>
      <c r="SXD162" s="679"/>
      <c r="SXE162" s="679"/>
      <c r="SXF162" s="679"/>
      <c r="SXG162" s="679"/>
      <c r="SXH162" s="679"/>
      <c r="SXI162" s="679"/>
      <c r="SXJ162" s="679"/>
      <c r="SXK162" s="679"/>
      <c r="SXL162" s="679"/>
      <c r="SXM162" s="679"/>
      <c r="SXN162" s="679"/>
      <c r="SXO162" s="679"/>
      <c r="SXP162" s="679"/>
      <c r="SXQ162" s="679"/>
      <c r="SXR162" s="679"/>
      <c r="SXS162" s="679"/>
      <c r="SXT162" s="679"/>
      <c r="SXU162" s="679"/>
      <c r="SXV162" s="679"/>
      <c r="SXW162" s="679"/>
      <c r="SXX162" s="679"/>
      <c r="SXY162" s="679"/>
      <c r="SXZ162" s="679"/>
      <c r="SYA162" s="679"/>
      <c r="SYB162" s="679"/>
      <c r="SYC162" s="679"/>
      <c r="SYD162" s="679"/>
      <c r="SYE162" s="679"/>
      <c r="SYF162" s="679"/>
      <c r="SYG162" s="679"/>
      <c r="SYH162" s="679"/>
      <c r="SYI162" s="679"/>
      <c r="SYJ162" s="679"/>
      <c r="SYK162" s="679"/>
      <c r="SYL162" s="679"/>
      <c r="SYM162" s="679"/>
      <c r="SYN162" s="679"/>
      <c r="SYO162" s="679"/>
      <c r="SYP162" s="679"/>
      <c r="SYQ162" s="679"/>
      <c r="SYR162" s="679"/>
      <c r="SYS162" s="679"/>
      <c r="SYT162" s="679"/>
      <c r="SYU162" s="679"/>
      <c r="SYV162" s="679"/>
      <c r="SYW162" s="679"/>
      <c r="SYX162" s="679"/>
      <c r="SYY162" s="679"/>
      <c r="SYZ162" s="679"/>
      <c r="SZA162" s="679"/>
      <c r="SZB162" s="679"/>
      <c r="SZC162" s="679"/>
      <c r="SZD162" s="679"/>
      <c r="SZE162" s="679"/>
      <c r="SZF162" s="679"/>
      <c r="SZG162" s="679"/>
      <c r="SZH162" s="679"/>
      <c r="SZI162" s="679"/>
      <c r="SZJ162" s="679"/>
      <c r="SZK162" s="679"/>
      <c r="SZL162" s="679"/>
      <c r="SZM162" s="679"/>
      <c r="SZN162" s="679"/>
      <c r="SZO162" s="679"/>
      <c r="SZP162" s="679"/>
      <c r="SZQ162" s="679"/>
      <c r="SZR162" s="679"/>
      <c r="SZS162" s="679"/>
      <c r="SZT162" s="679"/>
      <c r="SZU162" s="679"/>
      <c r="SZV162" s="679"/>
      <c r="SZW162" s="679"/>
      <c r="SZX162" s="679"/>
      <c r="SZY162" s="679"/>
      <c r="SZZ162" s="679"/>
      <c r="TAA162" s="679"/>
      <c r="TAB162" s="679"/>
      <c r="TAC162" s="679"/>
      <c r="TAD162" s="679"/>
      <c r="TAE162" s="679"/>
      <c r="TAF162" s="679"/>
      <c r="TAG162" s="679"/>
      <c r="TAH162" s="679"/>
      <c r="TAI162" s="679"/>
      <c r="TAJ162" s="679"/>
      <c r="TAK162" s="679"/>
      <c r="TAL162" s="679"/>
      <c r="TAM162" s="679"/>
      <c r="TAN162" s="679"/>
      <c r="TAO162" s="679"/>
      <c r="TAP162" s="679"/>
      <c r="TAQ162" s="679"/>
      <c r="TAR162" s="679"/>
      <c r="TAS162" s="679"/>
      <c r="TAT162" s="679"/>
      <c r="TAU162" s="679"/>
      <c r="TAV162" s="679"/>
      <c r="TAW162" s="679"/>
      <c r="TAX162" s="679"/>
      <c r="TAY162" s="679"/>
      <c r="TAZ162" s="679"/>
      <c r="TBA162" s="679"/>
      <c r="TBB162" s="679"/>
      <c r="TBC162" s="679"/>
      <c r="TBD162" s="679"/>
      <c r="TBE162" s="679"/>
      <c r="TBF162" s="679"/>
      <c r="TBG162" s="679"/>
      <c r="TBH162" s="679"/>
      <c r="TBI162" s="679"/>
      <c r="TBJ162" s="679"/>
      <c r="TBK162" s="679"/>
      <c r="TBL162" s="679"/>
      <c r="TBM162" s="679"/>
      <c r="TBN162" s="679"/>
      <c r="TBO162" s="679"/>
      <c r="TBP162" s="679"/>
      <c r="TBQ162" s="679"/>
      <c r="TBR162" s="679"/>
      <c r="TBS162" s="679"/>
      <c r="TBT162" s="679"/>
      <c r="TBU162" s="679"/>
      <c r="TBV162" s="679"/>
      <c r="TBW162" s="679"/>
      <c r="TBX162" s="679"/>
      <c r="TBY162" s="679"/>
      <c r="TBZ162" s="679"/>
      <c r="TCA162" s="679"/>
      <c r="TCB162" s="679"/>
      <c r="TCC162" s="679"/>
      <c r="TCD162" s="679"/>
      <c r="TCE162" s="679"/>
      <c r="TCF162" s="679"/>
      <c r="TCG162" s="679"/>
      <c r="TCH162" s="679"/>
      <c r="TCI162" s="679"/>
      <c r="TCJ162" s="679"/>
      <c r="TCK162" s="679"/>
      <c r="TCL162" s="679"/>
      <c r="TCM162" s="679"/>
      <c r="TCN162" s="679"/>
      <c r="TCO162" s="679"/>
      <c r="TCP162" s="679"/>
      <c r="TCQ162" s="679"/>
      <c r="TCR162" s="679"/>
      <c r="TCS162" s="679"/>
      <c r="TCT162" s="679"/>
      <c r="TCU162" s="679"/>
      <c r="TCV162" s="679"/>
      <c r="TCW162" s="679"/>
      <c r="TCX162" s="679"/>
      <c r="TCY162" s="679"/>
      <c r="TCZ162" s="679"/>
      <c r="TDA162" s="679"/>
      <c r="TDB162" s="679"/>
      <c r="TDC162" s="679"/>
      <c r="TDD162" s="679"/>
      <c r="TDE162" s="679"/>
      <c r="TDF162" s="679"/>
      <c r="TDG162" s="679"/>
      <c r="TDH162" s="679"/>
      <c r="TDI162" s="679"/>
      <c r="TDJ162" s="679"/>
      <c r="TDK162" s="679"/>
      <c r="TDL162" s="679"/>
      <c r="TDM162" s="679"/>
      <c r="TDN162" s="679"/>
      <c r="TDO162" s="679"/>
      <c r="TDP162" s="679"/>
      <c r="TDQ162" s="679"/>
      <c r="TDR162" s="679"/>
      <c r="TDS162" s="679"/>
      <c r="TDT162" s="679"/>
      <c r="TDU162" s="679"/>
      <c r="TDV162" s="679"/>
      <c r="TDW162" s="679"/>
      <c r="TDX162" s="679"/>
      <c r="TDY162" s="679"/>
      <c r="TDZ162" s="679"/>
      <c r="TEA162" s="679"/>
      <c r="TEB162" s="679"/>
      <c r="TEC162" s="679"/>
      <c r="TED162" s="679"/>
      <c r="TEE162" s="679"/>
      <c r="TEF162" s="679"/>
      <c r="TEG162" s="679"/>
      <c r="TEH162" s="679"/>
      <c r="TEI162" s="679"/>
      <c r="TEJ162" s="679"/>
      <c r="TEK162" s="679"/>
      <c r="TEL162" s="679"/>
      <c r="TEM162" s="679"/>
      <c r="TEN162" s="679"/>
      <c r="TEO162" s="679"/>
      <c r="TEP162" s="679"/>
      <c r="TEQ162" s="679"/>
      <c r="TER162" s="679"/>
      <c r="TES162" s="679"/>
      <c r="TET162" s="679"/>
      <c r="TEU162" s="679"/>
      <c r="TEV162" s="679"/>
      <c r="TEW162" s="679"/>
      <c r="TEX162" s="679"/>
      <c r="TEY162" s="679"/>
      <c r="TEZ162" s="679"/>
      <c r="TFA162" s="679"/>
      <c r="TFB162" s="679"/>
      <c r="TFC162" s="679"/>
      <c r="TFD162" s="679"/>
      <c r="TFE162" s="679"/>
      <c r="TFF162" s="679"/>
      <c r="TFG162" s="679"/>
      <c r="TFH162" s="679"/>
      <c r="TFI162" s="679"/>
      <c r="TFJ162" s="679"/>
      <c r="TFK162" s="679"/>
      <c r="TFL162" s="679"/>
      <c r="TFM162" s="679"/>
      <c r="TFN162" s="679"/>
      <c r="TFO162" s="679"/>
      <c r="TFP162" s="679"/>
      <c r="TFQ162" s="679"/>
      <c r="TFR162" s="679"/>
      <c r="TFS162" s="679"/>
      <c r="TFT162" s="679"/>
      <c r="TFU162" s="679"/>
      <c r="TFV162" s="679"/>
      <c r="TFW162" s="679"/>
      <c r="TFX162" s="679"/>
      <c r="TFY162" s="679"/>
      <c r="TFZ162" s="679"/>
      <c r="TGA162" s="679"/>
      <c r="TGB162" s="679"/>
      <c r="TGC162" s="679"/>
      <c r="TGD162" s="679"/>
      <c r="TGE162" s="679"/>
      <c r="TGF162" s="679"/>
      <c r="TGG162" s="679"/>
      <c r="TGH162" s="679"/>
      <c r="TGI162" s="679"/>
      <c r="TGJ162" s="679"/>
      <c r="TGK162" s="679"/>
      <c r="TGL162" s="679"/>
      <c r="TGM162" s="679"/>
      <c r="TGN162" s="679"/>
      <c r="TGO162" s="679"/>
      <c r="TGP162" s="679"/>
      <c r="TGQ162" s="679"/>
      <c r="TGR162" s="679"/>
      <c r="TGS162" s="679"/>
      <c r="TGT162" s="679"/>
      <c r="TGU162" s="679"/>
      <c r="TGV162" s="679"/>
      <c r="TGW162" s="679"/>
      <c r="TGX162" s="679"/>
      <c r="TGY162" s="679"/>
      <c r="TGZ162" s="679"/>
      <c r="THA162" s="679"/>
      <c r="THB162" s="679"/>
      <c r="THC162" s="679"/>
      <c r="THD162" s="679"/>
      <c r="THE162" s="679"/>
      <c r="THF162" s="679"/>
      <c r="THG162" s="679"/>
      <c r="THH162" s="679"/>
      <c r="THI162" s="679"/>
      <c r="THJ162" s="679"/>
      <c r="THK162" s="679"/>
      <c r="THL162" s="679"/>
      <c r="THM162" s="679"/>
      <c r="THN162" s="679"/>
      <c r="THO162" s="679"/>
      <c r="THP162" s="679"/>
      <c r="THQ162" s="679"/>
      <c r="THR162" s="679"/>
      <c r="THS162" s="679"/>
      <c r="THT162" s="679"/>
      <c r="THU162" s="679"/>
      <c r="THV162" s="679"/>
      <c r="THW162" s="679"/>
      <c r="THX162" s="679"/>
      <c r="THY162" s="679"/>
      <c r="THZ162" s="679"/>
      <c r="TIA162" s="679"/>
      <c r="TIB162" s="679"/>
      <c r="TIC162" s="679"/>
      <c r="TID162" s="679"/>
      <c r="TIE162" s="679"/>
      <c r="TIF162" s="679"/>
      <c r="TIG162" s="679"/>
      <c r="TIH162" s="679"/>
      <c r="TII162" s="679"/>
      <c r="TIJ162" s="679"/>
      <c r="TIK162" s="679"/>
      <c r="TIL162" s="679"/>
      <c r="TIM162" s="679"/>
      <c r="TIN162" s="679"/>
      <c r="TIO162" s="679"/>
      <c r="TIP162" s="679"/>
      <c r="TIQ162" s="679"/>
      <c r="TIR162" s="679"/>
      <c r="TIS162" s="679"/>
      <c r="TIT162" s="679"/>
      <c r="TIU162" s="679"/>
      <c r="TIV162" s="679"/>
      <c r="TIW162" s="679"/>
      <c r="TIX162" s="679"/>
      <c r="TIY162" s="679"/>
      <c r="TIZ162" s="679"/>
      <c r="TJA162" s="679"/>
      <c r="TJB162" s="679"/>
      <c r="TJC162" s="679"/>
      <c r="TJD162" s="679"/>
      <c r="TJE162" s="679"/>
      <c r="TJF162" s="679"/>
      <c r="TJG162" s="679"/>
      <c r="TJH162" s="679"/>
      <c r="TJI162" s="679"/>
      <c r="TJJ162" s="679"/>
      <c r="TJK162" s="679"/>
      <c r="TJL162" s="679"/>
      <c r="TJM162" s="679"/>
      <c r="TJN162" s="679"/>
      <c r="TJO162" s="679"/>
      <c r="TJP162" s="679"/>
      <c r="TJQ162" s="679"/>
      <c r="TJR162" s="679"/>
      <c r="TJS162" s="679"/>
      <c r="TJT162" s="679"/>
      <c r="TJU162" s="679"/>
      <c r="TJV162" s="679"/>
      <c r="TJW162" s="679"/>
      <c r="TJX162" s="679"/>
      <c r="TJY162" s="679"/>
      <c r="TJZ162" s="679"/>
      <c r="TKA162" s="679"/>
      <c r="TKB162" s="679"/>
      <c r="TKC162" s="679"/>
      <c r="TKD162" s="679"/>
      <c r="TKE162" s="679"/>
      <c r="TKF162" s="679"/>
      <c r="TKG162" s="679"/>
      <c r="TKH162" s="679"/>
      <c r="TKI162" s="679"/>
      <c r="TKJ162" s="679"/>
      <c r="TKK162" s="679"/>
      <c r="TKL162" s="679"/>
      <c r="TKM162" s="679"/>
      <c r="TKN162" s="679"/>
      <c r="TKO162" s="679"/>
      <c r="TKP162" s="679"/>
      <c r="TKQ162" s="679"/>
      <c r="TKR162" s="679"/>
      <c r="TKS162" s="679"/>
      <c r="TKT162" s="679"/>
      <c r="TKU162" s="679"/>
      <c r="TKV162" s="679"/>
      <c r="TKW162" s="679"/>
      <c r="TKX162" s="679"/>
      <c r="TKY162" s="679"/>
      <c r="TKZ162" s="679"/>
      <c r="TLA162" s="679"/>
      <c r="TLB162" s="679"/>
      <c r="TLC162" s="679"/>
      <c r="TLD162" s="679"/>
      <c r="TLE162" s="679"/>
      <c r="TLF162" s="679"/>
      <c r="TLG162" s="679"/>
      <c r="TLH162" s="679"/>
      <c r="TLI162" s="679"/>
      <c r="TLJ162" s="679"/>
      <c r="TLK162" s="679"/>
      <c r="TLL162" s="679"/>
      <c r="TLM162" s="679"/>
      <c r="TLN162" s="679"/>
      <c r="TLO162" s="679"/>
      <c r="TLP162" s="679"/>
      <c r="TLQ162" s="679"/>
      <c r="TLR162" s="679"/>
      <c r="TLS162" s="679"/>
      <c r="TLT162" s="679"/>
      <c r="TLU162" s="679"/>
      <c r="TLV162" s="679"/>
      <c r="TLW162" s="679"/>
      <c r="TLX162" s="679"/>
      <c r="TLY162" s="679"/>
      <c r="TLZ162" s="679"/>
      <c r="TMA162" s="679"/>
      <c r="TMB162" s="679"/>
      <c r="TMC162" s="679"/>
      <c r="TMD162" s="679"/>
      <c r="TME162" s="679"/>
      <c r="TMF162" s="679"/>
      <c r="TMG162" s="679"/>
      <c r="TMH162" s="679"/>
      <c r="TMI162" s="679"/>
      <c r="TMJ162" s="679"/>
      <c r="TMK162" s="679"/>
      <c r="TML162" s="679"/>
      <c r="TMM162" s="679"/>
      <c r="TMN162" s="679"/>
      <c r="TMO162" s="679"/>
      <c r="TMP162" s="679"/>
      <c r="TMQ162" s="679"/>
      <c r="TMR162" s="679"/>
      <c r="TMS162" s="679"/>
      <c r="TMT162" s="679"/>
      <c r="TMU162" s="679"/>
      <c r="TMV162" s="679"/>
      <c r="TMW162" s="679"/>
      <c r="TMX162" s="679"/>
      <c r="TMY162" s="679"/>
      <c r="TMZ162" s="679"/>
      <c r="TNA162" s="679"/>
      <c r="TNB162" s="679"/>
      <c r="TNC162" s="679"/>
      <c r="TND162" s="679"/>
      <c r="TNE162" s="679"/>
      <c r="TNF162" s="679"/>
      <c r="TNG162" s="679"/>
      <c r="TNH162" s="679"/>
      <c r="TNI162" s="679"/>
      <c r="TNJ162" s="679"/>
      <c r="TNK162" s="679"/>
      <c r="TNL162" s="679"/>
      <c r="TNM162" s="679"/>
      <c r="TNN162" s="679"/>
      <c r="TNO162" s="679"/>
      <c r="TNP162" s="679"/>
      <c r="TNQ162" s="679"/>
      <c r="TNR162" s="679"/>
      <c r="TNS162" s="679"/>
      <c r="TNT162" s="679"/>
      <c r="TNU162" s="679"/>
      <c r="TNV162" s="679"/>
      <c r="TNW162" s="679"/>
      <c r="TNX162" s="679"/>
      <c r="TNY162" s="679"/>
      <c r="TNZ162" s="679"/>
      <c r="TOA162" s="679"/>
      <c r="TOB162" s="679"/>
      <c r="TOC162" s="679"/>
      <c r="TOD162" s="679"/>
      <c r="TOE162" s="679"/>
      <c r="TOF162" s="679"/>
      <c r="TOG162" s="679"/>
      <c r="TOH162" s="679"/>
      <c r="TOI162" s="679"/>
      <c r="TOJ162" s="679"/>
      <c r="TOK162" s="679"/>
      <c r="TOL162" s="679"/>
      <c r="TOM162" s="679"/>
      <c r="TON162" s="679"/>
      <c r="TOO162" s="679"/>
      <c r="TOP162" s="679"/>
      <c r="TOQ162" s="679"/>
      <c r="TOR162" s="679"/>
      <c r="TOS162" s="679"/>
      <c r="TOT162" s="679"/>
      <c r="TOU162" s="679"/>
      <c r="TOV162" s="679"/>
      <c r="TOW162" s="679"/>
      <c r="TOX162" s="679"/>
      <c r="TOY162" s="679"/>
      <c r="TOZ162" s="679"/>
      <c r="TPA162" s="679"/>
      <c r="TPB162" s="679"/>
      <c r="TPC162" s="679"/>
      <c r="TPD162" s="679"/>
      <c r="TPE162" s="679"/>
      <c r="TPF162" s="679"/>
      <c r="TPG162" s="679"/>
      <c r="TPH162" s="679"/>
      <c r="TPI162" s="679"/>
      <c r="TPJ162" s="679"/>
      <c r="TPK162" s="679"/>
      <c r="TPL162" s="679"/>
      <c r="TPM162" s="679"/>
      <c r="TPN162" s="679"/>
      <c r="TPO162" s="679"/>
      <c r="TPP162" s="679"/>
      <c r="TPQ162" s="679"/>
      <c r="TPR162" s="679"/>
      <c r="TPS162" s="679"/>
      <c r="TPT162" s="679"/>
      <c r="TPU162" s="679"/>
      <c r="TPV162" s="679"/>
      <c r="TPW162" s="679"/>
      <c r="TPX162" s="679"/>
      <c r="TPY162" s="679"/>
      <c r="TPZ162" s="679"/>
      <c r="TQA162" s="679"/>
      <c r="TQB162" s="679"/>
      <c r="TQC162" s="679"/>
      <c r="TQD162" s="679"/>
      <c r="TQE162" s="679"/>
      <c r="TQF162" s="679"/>
      <c r="TQG162" s="679"/>
      <c r="TQH162" s="679"/>
      <c r="TQI162" s="679"/>
      <c r="TQJ162" s="679"/>
      <c r="TQK162" s="679"/>
      <c r="TQL162" s="679"/>
      <c r="TQM162" s="679"/>
      <c r="TQN162" s="679"/>
      <c r="TQO162" s="679"/>
      <c r="TQP162" s="679"/>
      <c r="TQQ162" s="679"/>
      <c r="TQR162" s="679"/>
      <c r="TQS162" s="679"/>
      <c r="TQT162" s="679"/>
      <c r="TQU162" s="679"/>
      <c r="TQV162" s="679"/>
      <c r="TQW162" s="679"/>
      <c r="TQX162" s="679"/>
      <c r="TQY162" s="679"/>
      <c r="TQZ162" s="679"/>
      <c r="TRA162" s="679"/>
      <c r="TRB162" s="679"/>
      <c r="TRC162" s="679"/>
      <c r="TRD162" s="679"/>
      <c r="TRE162" s="679"/>
      <c r="TRF162" s="679"/>
      <c r="TRG162" s="679"/>
      <c r="TRH162" s="679"/>
      <c r="TRI162" s="679"/>
      <c r="TRJ162" s="679"/>
      <c r="TRK162" s="679"/>
      <c r="TRL162" s="679"/>
      <c r="TRM162" s="679"/>
      <c r="TRN162" s="679"/>
      <c r="TRO162" s="679"/>
      <c r="TRP162" s="679"/>
      <c r="TRQ162" s="679"/>
      <c r="TRR162" s="679"/>
      <c r="TRS162" s="679"/>
      <c r="TRT162" s="679"/>
      <c r="TRU162" s="679"/>
      <c r="TRV162" s="679"/>
      <c r="TRW162" s="679"/>
      <c r="TRX162" s="679"/>
      <c r="TRY162" s="679"/>
      <c r="TRZ162" s="679"/>
      <c r="TSA162" s="679"/>
      <c r="TSB162" s="679"/>
      <c r="TSC162" s="679"/>
      <c r="TSD162" s="679"/>
      <c r="TSE162" s="679"/>
      <c r="TSF162" s="679"/>
      <c r="TSG162" s="679"/>
      <c r="TSH162" s="679"/>
      <c r="TSI162" s="679"/>
      <c r="TSJ162" s="679"/>
      <c r="TSK162" s="679"/>
      <c r="TSL162" s="679"/>
      <c r="TSM162" s="679"/>
      <c r="TSN162" s="679"/>
      <c r="TSO162" s="679"/>
      <c r="TSP162" s="679"/>
      <c r="TSQ162" s="679"/>
      <c r="TSR162" s="679"/>
      <c r="TSS162" s="679"/>
      <c r="TST162" s="679"/>
      <c r="TSU162" s="679"/>
      <c r="TSV162" s="679"/>
      <c r="TSW162" s="679"/>
      <c r="TSX162" s="679"/>
      <c r="TSY162" s="679"/>
      <c r="TSZ162" s="679"/>
      <c r="TTA162" s="679"/>
      <c r="TTB162" s="679"/>
      <c r="TTC162" s="679"/>
      <c r="TTD162" s="679"/>
      <c r="TTE162" s="679"/>
      <c r="TTF162" s="679"/>
      <c r="TTG162" s="679"/>
      <c r="TTH162" s="679"/>
      <c r="TTI162" s="679"/>
      <c r="TTJ162" s="679"/>
      <c r="TTK162" s="679"/>
      <c r="TTL162" s="679"/>
      <c r="TTM162" s="679"/>
      <c r="TTN162" s="679"/>
      <c r="TTO162" s="679"/>
      <c r="TTP162" s="679"/>
      <c r="TTQ162" s="679"/>
      <c r="TTR162" s="679"/>
      <c r="TTS162" s="679"/>
      <c r="TTT162" s="679"/>
      <c r="TTU162" s="679"/>
      <c r="TTV162" s="679"/>
      <c r="TTW162" s="679"/>
      <c r="TTX162" s="679"/>
      <c r="TTY162" s="679"/>
      <c r="TTZ162" s="679"/>
      <c r="TUA162" s="679"/>
      <c r="TUB162" s="679"/>
      <c r="TUC162" s="679"/>
      <c r="TUD162" s="679"/>
      <c r="TUE162" s="679"/>
      <c r="TUF162" s="679"/>
      <c r="TUG162" s="679"/>
      <c r="TUH162" s="679"/>
      <c r="TUI162" s="679"/>
      <c r="TUJ162" s="679"/>
      <c r="TUK162" s="679"/>
      <c r="TUL162" s="679"/>
      <c r="TUM162" s="679"/>
      <c r="TUN162" s="679"/>
      <c r="TUO162" s="679"/>
      <c r="TUP162" s="679"/>
      <c r="TUQ162" s="679"/>
      <c r="TUR162" s="679"/>
      <c r="TUS162" s="679"/>
      <c r="TUT162" s="679"/>
      <c r="TUU162" s="679"/>
      <c r="TUV162" s="679"/>
      <c r="TUW162" s="679"/>
      <c r="TUX162" s="679"/>
      <c r="TUY162" s="679"/>
      <c r="TUZ162" s="679"/>
      <c r="TVA162" s="679"/>
      <c r="TVB162" s="679"/>
      <c r="TVC162" s="679"/>
      <c r="TVD162" s="679"/>
      <c r="TVE162" s="679"/>
      <c r="TVF162" s="679"/>
      <c r="TVG162" s="679"/>
      <c r="TVH162" s="679"/>
      <c r="TVI162" s="679"/>
      <c r="TVJ162" s="679"/>
      <c r="TVK162" s="679"/>
      <c r="TVL162" s="679"/>
      <c r="TVM162" s="679"/>
      <c r="TVN162" s="679"/>
      <c r="TVO162" s="679"/>
      <c r="TVP162" s="679"/>
      <c r="TVQ162" s="679"/>
      <c r="TVR162" s="679"/>
      <c r="TVS162" s="679"/>
      <c r="TVT162" s="679"/>
      <c r="TVU162" s="679"/>
      <c r="TVV162" s="679"/>
      <c r="TVW162" s="679"/>
      <c r="TVX162" s="679"/>
      <c r="TVY162" s="679"/>
      <c r="TVZ162" s="679"/>
      <c r="TWA162" s="679"/>
      <c r="TWB162" s="679"/>
      <c r="TWC162" s="679"/>
      <c r="TWD162" s="679"/>
      <c r="TWE162" s="679"/>
      <c r="TWF162" s="679"/>
      <c r="TWG162" s="679"/>
      <c r="TWH162" s="679"/>
      <c r="TWI162" s="679"/>
      <c r="TWJ162" s="679"/>
      <c r="TWK162" s="679"/>
      <c r="TWL162" s="679"/>
      <c r="TWM162" s="679"/>
      <c r="TWN162" s="679"/>
      <c r="TWO162" s="679"/>
      <c r="TWP162" s="679"/>
      <c r="TWQ162" s="679"/>
      <c r="TWR162" s="679"/>
      <c r="TWS162" s="679"/>
      <c r="TWT162" s="679"/>
      <c r="TWU162" s="679"/>
      <c r="TWV162" s="679"/>
      <c r="TWW162" s="679"/>
      <c r="TWX162" s="679"/>
      <c r="TWY162" s="679"/>
      <c r="TWZ162" s="679"/>
      <c r="TXA162" s="679"/>
      <c r="TXB162" s="679"/>
      <c r="TXC162" s="679"/>
      <c r="TXD162" s="679"/>
      <c r="TXE162" s="679"/>
      <c r="TXF162" s="679"/>
      <c r="TXG162" s="679"/>
      <c r="TXH162" s="679"/>
      <c r="TXI162" s="679"/>
      <c r="TXJ162" s="679"/>
      <c r="TXK162" s="679"/>
      <c r="TXL162" s="679"/>
      <c r="TXM162" s="679"/>
      <c r="TXN162" s="679"/>
      <c r="TXO162" s="679"/>
      <c r="TXP162" s="679"/>
      <c r="TXQ162" s="679"/>
      <c r="TXR162" s="679"/>
      <c r="TXS162" s="679"/>
      <c r="TXT162" s="679"/>
      <c r="TXU162" s="679"/>
      <c r="TXV162" s="679"/>
      <c r="TXW162" s="679"/>
      <c r="TXX162" s="679"/>
      <c r="TXY162" s="679"/>
      <c r="TXZ162" s="679"/>
      <c r="TYA162" s="679"/>
      <c r="TYB162" s="679"/>
      <c r="TYC162" s="679"/>
      <c r="TYD162" s="679"/>
      <c r="TYE162" s="679"/>
      <c r="TYF162" s="679"/>
      <c r="TYG162" s="679"/>
      <c r="TYH162" s="679"/>
      <c r="TYI162" s="679"/>
      <c r="TYJ162" s="679"/>
      <c r="TYK162" s="679"/>
      <c r="TYL162" s="679"/>
      <c r="TYM162" s="679"/>
      <c r="TYN162" s="679"/>
      <c r="TYO162" s="679"/>
      <c r="TYP162" s="679"/>
      <c r="TYQ162" s="679"/>
      <c r="TYR162" s="679"/>
      <c r="TYS162" s="679"/>
      <c r="TYT162" s="679"/>
      <c r="TYU162" s="679"/>
      <c r="TYV162" s="679"/>
      <c r="TYW162" s="679"/>
      <c r="TYX162" s="679"/>
      <c r="TYY162" s="679"/>
      <c r="TYZ162" s="679"/>
      <c r="TZA162" s="679"/>
      <c r="TZB162" s="679"/>
      <c r="TZC162" s="679"/>
      <c r="TZD162" s="679"/>
      <c r="TZE162" s="679"/>
      <c r="TZF162" s="679"/>
      <c r="TZG162" s="679"/>
      <c r="TZH162" s="679"/>
      <c r="TZI162" s="679"/>
      <c r="TZJ162" s="679"/>
      <c r="TZK162" s="679"/>
      <c r="TZL162" s="679"/>
      <c r="TZM162" s="679"/>
      <c r="TZN162" s="679"/>
      <c r="TZO162" s="679"/>
      <c r="TZP162" s="679"/>
      <c r="TZQ162" s="679"/>
      <c r="TZR162" s="679"/>
      <c r="TZS162" s="679"/>
      <c r="TZT162" s="679"/>
      <c r="TZU162" s="679"/>
      <c r="TZV162" s="679"/>
      <c r="TZW162" s="679"/>
      <c r="TZX162" s="679"/>
      <c r="TZY162" s="679"/>
      <c r="TZZ162" s="679"/>
      <c r="UAA162" s="679"/>
      <c r="UAB162" s="679"/>
      <c r="UAC162" s="679"/>
      <c r="UAD162" s="679"/>
      <c r="UAE162" s="679"/>
      <c r="UAF162" s="679"/>
      <c r="UAG162" s="679"/>
      <c r="UAH162" s="679"/>
      <c r="UAI162" s="679"/>
      <c r="UAJ162" s="679"/>
      <c r="UAK162" s="679"/>
      <c r="UAL162" s="679"/>
      <c r="UAM162" s="679"/>
      <c r="UAN162" s="679"/>
      <c r="UAO162" s="679"/>
      <c r="UAP162" s="679"/>
      <c r="UAQ162" s="679"/>
      <c r="UAR162" s="679"/>
      <c r="UAS162" s="679"/>
      <c r="UAT162" s="679"/>
      <c r="UAU162" s="679"/>
      <c r="UAV162" s="679"/>
      <c r="UAW162" s="679"/>
      <c r="UAX162" s="679"/>
      <c r="UAY162" s="679"/>
      <c r="UAZ162" s="679"/>
      <c r="UBA162" s="679"/>
      <c r="UBB162" s="679"/>
      <c r="UBC162" s="679"/>
      <c r="UBD162" s="679"/>
      <c r="UBE162" s="679"/>
      <c r="UBF162" s="679"/>
      <c r="UBG162" s="679"/>
      <c r="UBH162" s="679"/>
      <c r="UBI162" s="679"/>
      <c r="UBJ162" s="679"/>
      <c r="UBK162" s="679"/>
      <c r="UBL162" s="679"/>
      <c r="UBM162" s="679"/>
      <c r="UBN162" s="679"/>
      <c r="UBO162" s="679"/>
      <c r="UBP162" s="679"/>
      <c r="UBQ162" s="679"/>
      <c r="UBR162" s="679"/>
      <c r="UBS162" s="679"/>
      <c r="UBT162" s="679"/>
      <c r="UBU162" s="679"/>
      <c r="UBV162" s="679"/>
      <c r="UBW162" s="679"/>
      <c r="UBX162" s="679"/>
      <c r="UBY162" s="679"/>
      <c r="UBZ162" s="679"/>
      <c r="UCA162" s="679"/>
      <c r="UCB162" s="679"/>
      <c r="UCC162" s="679"/>
      <c r="UCD162" s="679"/>
      <c r="UCE162" s="679"/>
      <c r="UCF162" s="679"/>
      <c r="UCG162" s="679"/>
      <c r="UCH162" s="679"/>
      <c r="UCI162" s="679"/>
      <c r="UCJ162" s="679"/>
      <c r="UCK162" s="679"/>
      <c r="UCL162" s="679"/>
      <c r="UCM162" s="679"/>
      <c r="UCN162" s="679"/>
      <c r="UCO162" s="679"/>
      <c r="UCP162" s="679"/>
      <c r="UCQ162" s="679"/>
      <c r="UCR162" s="679"/>
      <c r="UCS162" s="679"/>
      <c r="UCT162" s="679"/>
      <c r="UCU162" s="679"/>
      <c r="UCV162" s="679"/>
      <c r="UCW162" s="679"/>
      <c r="UCX162" s="679"/>
      <c r="UCY162" s="679"/>
      <c r="UCZ162" s="679"/>
      <c r="UDA162" s="679"/>
      <c r="UDB162" s="679"/>
      <c r="UDC162" s="679"/>
      <c r="UDD162" s="679"/>
      <c r="UDE162" s="679"/>
      <c r="UDF162" s="679"/>
      <c r="UDG162" s="679"/>
      <c r="UDH162" s="679"/>
      <c r="UDI162" s="679"/>
      <c r="UDJ162" s="679"/>
      <c r="UDK162" s="679"/>
      <c r="UDL162" s="679"/>
      <c r="UDM162" s="679"/>
      <c r="UDN162" s="679"/>
      <c r="UDO162" s="679"/>
      <c r="UDP162" s="679"/>
      <c r="UDQ162" s="679"/>
      <c r="UDR162" s="679"/>
      <c r="UDS162" s="679"/>
      <c r="UDT162" s="679"/>
      <c r="UDU162" s="679"/>
      <c r="UDV162" s="679"/>
      <c r="UDW162" s="679"/>
      <c r="UDX162" s="679"/>
      <c r="UDY162" s="679"/>
      <c r="UDZ162" s="679"/>
      <c r="UEA162" s="679"/>
      <c r="UEB162" s="679"/>
      <c r="UEC162" s="679"/>
      <c r="UED162" s="679"/>
      <c r="UEE162" s="679"/>
      <c r="UEF162" s="679"/>
      <c r="UEG162" s="679"/>
      <c r="UEH162" s="679"/>
      <c r="UEI162" s="679"/>
      <c r="UEJ162" s="679"/>
      <c r="UEK162" s="679"/>
      <c r="UEL162" s="679"/>
      <c r="UEM162" s="679"/>
      <c r="UEN162" s="679"/>
      <c r="UEO162" s="679"/>
      <c r="UEP162" s="679"/>
      <c r="UEQ162" s="679"/>
      <c r="UER162" s="679"/>
      <c r="UES162" s="679"/>
      <c r="UET162" s="679"/>
      <c r="UEU162" s="679"/>
      <c r="UEV162" s="679"/>
      <c r="UEW162" s="679"/>
      <c r="UEX162" s="679"/>
      <c r="UEY162" s="679"/>
      <c r="UEZ162" s="679"/>
      <c r="UFA162" s="679"/>
      <c r="UFB162" s="679"/>
      <c r="UFC162" s="679"/>
      <c r="UFD162" s="679"/>
      <c r="UFE162" s="679"/>
      <c r="UFF162" s="679"/>
      <c r="UFG162" s="679"/>
      <c r="UFH162" s="679"/>
      <c r="UFI162" s="679"/>
      <c r="UFJ162" s="679"/>
      <c r="UFK162" s="679"/>
      <c r="UFL162" s="679"/>
      <c r="UFM162" s="679"/>
      <c r="UFN162" s="679"/>
      <c r="UFO162" s="679"/>
      <c r="UFP162" s="679"/>
      <c r="UFQ162" s="679"/>
      <c r="UFR162" s="679"/>
      <c r="UFS162" s="679"/>
      <c r="UFT162" s="679"/>
      <c r="UFU162" s="679"/>
      <c r="UFV162" s="679"/>
      <c r="UFW162" s="679"/>
      <c r="UFX162" s="679"/>
      <c r="UFY162" s="679"/>
      <c r="UFZ162" s="679"/>
      <c r="UGA162" s="679"/>
      <c r="UGB162" s="679"/>
      <c r="UGC162" s="679"/>
      <c r="UGD162" s="679"/>
      <c r="UGE162" s="679"/>
      <c r="UGF162" s="679"/>
      <c r="UGG162" s="679"/>
      <c r="UGH162" s="679"/>
      <c r="UGI162" s="679"/>
      <c r="UGJ162" s="679"/>
      <c r="UGK162" s="679"/>
      <c r="UGL162" s="679"/>
      <c r="UGM162" s="679"/>
      <c r="UGN162" s="679"/>
      <c r="UGO162" s="679"/>
      <c r="UGP162" s="679"/>
      <c r="UGQ162" s="679"/>
      <c r="UGR162" s="679"/>
      <c r="UGS162" s="679"/>
      <c r="UGT162" s="679"/>
      <c r="UGU162" s="679"/>
      <c r="UGV162" s="679"/>
      <c r="UGW162" s="679"/>
      <c r="UGX162" s="679"/>
      <c r="UGY162" s="679"/>
      <c r="UGZ162" s="679"/>
      <c r="UHA162" s="679"/>
      <c r="UHB162" s="679"/>
      <c r="UHC162" s="679"/>
      <c r="UHD162" s="679"/>
      <c r="UHE162" s="679"/>
      <c r="UHF162" s="679"/>
      <c r="UHG162" s="679"/>
      <c r="UHH162" s="679"/>
      <c r="UHI162" s="679"/>
      <c r="UHJ162" s="679"/>
      <c r="UHK162" s="679"/>
      <c r="UHL162" s="679"/>
      <c r="UHM162" s="679"/>
      <c r="UHN162" s="679"/>
      <c r="UHO162" s="679"/>
      <c r="UHP162" s="679"/>
      <c r="UHQ162" s="679"/>
      <c r="UHR162" s="679"/>
      <c r="UHS162" s="679"/>
      <c r="UHT162" s="679"/>
      <c r="UHU162" s="679"/>
      <c r="UHV162" s="679"/>
      <c r="UHW162" s="679"/>
      <c r="UHX162" s="679"/>
      <c r="UHY162" s="679"/>
      <c r="UHZ162" s="679"/>
      <c r="UIA162" s="679"/>
      <c r="UIB162" s="679"/>
      <c r="UIC162" s="679"/>
      <c r="UID162" s="679"/>
      <c r="UIE162" s="679"/>
      <c r="UIF162" s="679"/>
      <c r="UIG162" s="679"/>
      <c r="UIH162" s="679"/>
      <c r="UII162" s="679"/>
      <c r="UIJ162" s="679"/>
      <c r="UIK162" s="679"/>
      <c r="UIL162" s="679"/>
      <c r="UIM162" s="679"/>
      <c r="UIN162" s="679"/>
      <c r="UIO162" s="679"/>
      <c r="UIP162" s="679"/>
      <c r="UIQ162" s="679"/>
      <c r="UIR162" s="679"/>
      <c r="UIS162" s="679"/>
      <c r="UIT162" s="679"/>
      <c r="UIU162" s="679"/>
      <c r="UIV162" s="679"/>
      <c r="UIW162" s="679"/>
      <c r="UIX162" s="679"/>
      <c r="UIY162" s="679"/>
      <c r="UIZ162" s="679"/>
      <c r="UJA162" s="679"/>
      <c r="UJB162" s="679"/>
      <c r="UJC162" s="679"/>
      <c r="UJD162" s="679"/>
      <c r="UJE162" s="679"/>
      <c r="UJF162" s="679"/>
      <c r="UJG162" s="679"/>
      <c r="UJH162" s="679"/>
      <c r="UJI162" s="679"/>
      <c r="UJJ162" s="679"/>
      <c r="UJK162" s="679"/>
      <c r="UJL162" s="679"/>
      <c r="UJM162" s="679"/>
      <c r="UJN162" s="679"/>
      <c r="UJO162" s="679"/>
      <c r="UJP162" s="679"/>
      <c r="UJQ162" s="679"/>
      <c r="UJR162" s="679"/>
      <c r="UJS162" s="679"/>
      <c r="UJT162" s="679"/>
      <c r="UJU162" s="679"/>
      <c r="UJV162" s="679"/>
      <c r="UJW162" s="679"/>
      <c r="UJX162" s="679"/>
      <c r="UJY162" s="679"/>
      <c r="UJZ162" s="679"/>
      <c r="UKA162" s="679"/>
      <c r="UKB162" s="679"/>
      <c r="UKC162" s="679"/>
      <c r="UKD162" s="679"/>
      <c r="UKE162" s="679"/>
      <c r="UKF162" s="679"/>
      <c r="UKG162" s="679"/>
      <c r="UKH162" s="679"/>
      <c r="UKI162" s="679"/>
      <c r="UKJ162" s="679"/>
      <c r="UKK162" s="679"/>
      <c r="UKL162" s="679"/>
      <c r="UKM162" s="679"/>
      <c r="UKN162" s="679"/>
      <c r="UKO162" s="679"/>
      <c r="UKP162" s="679"/>
      <c r="UKQ162" s="679"/>
      <c r="UKR162" s="679"/>
      <c r="UKS162" s="679"/>
      <c r="UKT162" s="679"/>
      <c r="UKU162" s="679"/>
      <c r="UKV162" s="679"/>
      <c r="UKW162" s="679"/>
      <c r="UKX162" s="679"/>
      <c r="UKY162" s="679"/>
      <c r="UKZ162" s="679"/>
      <c r="ULA162" s="679"/>
      <c r="ULB162" s="679"/>
      <c r="ULC162" s="679"/>
      <c r="ULD162" s="679"/>
      <c r="ULE162" s="679"/>
      <c r="ULF162" s="679"/>
      <c r="ULG162" s="679"/>
      <c r="ULH162" s="679"/>
      <c r="ULI162" s="679"/>
      <c r="ULJ162" s="679"/>
      <c r="ULK162" s="679"/>
      <c r="ULL162" s="679"/>
      <c r="ULM162" s="679"/>
      <c r="ULN162" s="679"/>
      <c r="ULO162" s="679"/>
      <c r="ULP162" s="679"/>
      <c r="ULQ162" s="679"/>
      <c r="ULR162" s="679"/>
      <c r="ULS162" s="679"/>
      <c r="ULT162" s="679"/>
      <c r="ULU162" s="679"/>
      <c r="ULV162" s="679"/>
      <c r="ULW162" s="679"/>
      <c r="ULX162" s="679"/>
      <c r="ULY162" s="679"/>
      <c r="ULZ162" s="679"/>
      <c r="UMA162" s="679"/>
      <c r="UMB162" s="679"/>
      <c r="UMC162" s="679"/>
      <c r="UMD162" s="679"/>
      <c r="UME162" s="679"/>
      <c r="UMF162" s="679"/>
      <c r="UMG162" s="679"/>
      <c r="UMH162" s="679"/>
      <c r="UMI162" s="679"/>
      <c r="UMJ162" s="679"/>
      <c r="UMK162" s="679"/>
      <c r="UML162" s="679"/>
      <c r="UMM162" s="679"/>
      <c r="UMN162" s="679"/>
      <c r="UMO162" s="679"/>
      <c r="UMP162" s="679"/>
      <c r="UMQ162" s="679"/>
      <c r="UMR162" s="679"/>
      <c r="UMS162" s="679"/>
      <c r="UMT162" s="679"/>
      <c r="UMU162" s="679"/>
      <c r="UMV162" s="679"/>
      <c r="UMW162" s="679"/>
      <c r="UMX162" s="679"/>
      <c r="UMY162" s="679"/>
      <c r="UMZ162" s="679"/>
      <c r="UNA162" s="679"/>
      <c r="UNB162" s="679"/>
      <c r="UNC162" s="679"/>
      <c r="UND162" s="679"/>
      <c r="UNE162" s="679"/>
      <c r="UNF162" s="679"/>
      <c r="UNG162" s="679"/>
      <c r="UNH162" s="679"/>
      <c r="UNI162" s="679"/>
      <c r="UNJ162" s="679"/>
      <c r="UNK162" s="679"/>
      <c r="UNL162" s="679"/>
      <c r="UNM162" s="679"/>
      <c r="UNN162" s="679"/>
      <c r="UNO162" s="679"/>
      <c r="UNP162" s="679"/>
      <c r="UNQ162" s="679"/>
      <c r="UNR162" s="679"/>
      <c r="UNS162" s="679"/>
      <c r="UNT162" s="679"/>
      <c r="UNU162" s="679"/>
      <c r="UNV162" s="679"/>
      <c r="UNW162" s="679"/>
      <c r="UNX162" s="679"/>
      <c r="UNY162" s="679"/>
      <c r="UNZ162" s="679"/>
      <c r="UOA162" s="679"/>
      <c r="UOB162" s="679"/>
      <c r="UOC162" s="679"/>
      <c r="UOD162" s="679"/>
      <c r="UOE162" s="679"/>
      <c r="UOF162" s="679"/>
      <c r="UOG162" s="679"/>
      <c r="UOH162" s="679"/>
      <c r="UOI162" s="679"/>
      <c r="UOJ162" s="679"/>
      <c r="UOK162" s="679"/>
      <c r="UOL162" s="679"/>
      <c r="UOM162" s="679"/>
      <c r="UON162" s="679"/>
      <c r="UOO162" s="679"/>
      <c r="UOP162" s="679"/>
      <c r="UOQ162" s="679"/>
      <c r="UOR162" s="679"/>
      <c r="UOS162" s="679"/>
      <c r="UOT162" s="679"/>
      <c r="UOU162" s="679"/>
      <c r="UOV162" s="679"/>
      <c r="UOW162" s="679"/>
      <c r="UOX162" s="679"/>
      <c r="UOY162" s="679"/>
      <c r="UOZ162" s="679"/>
      <c r="UPA162" s="679"/>
      <c r="UPB162" s="679"/>
      <c r="UPC162" s="679"/>
      <c r="UPD162" s="679"/>
      <c r="UPE162" s="679"/>
      <c r="UPF162" s="679"/>
      <c r="UPG162" s="679"/>
      <c r="UPH162" s="679"/>
      <c r="UPI162" s="679"/>
      <c r="UPJ162" s="679"/>
      <c r="UPK162" s="679"/>
      <c r="UPL162" s="679"/>
      <c r="UPM162" s="679"/>
      <c r="UPN162" s="679"/>
      <c r="UPO162" s="679"/>
      <c r="UPP162" s="679"/>
      <c r="UPQ162" s="679"/>
      <c r="UPR162" s="679"/>
      <c r="UPS162" s="679"/>
      <c r="UPT162" s="679"/>
      <c r="UPU162" s="679"/>
      <c r="UPV162" s="679"/>
      <c r="UPW162" s="679"/>
      <c r="UPX162" s="679"/>
      <c r="UPY162" s="679"/>
      <c r="UPZ162" s="679"/>
      <c r="UQA162" s="679"/>
      <c r="UQB162" s="679"/>
      <c r="UQC162" s="679"/>
      <c r="UQD162" s="679"/>
      <c r="UQE162" s="679"/>
      <c r="UQF162" s="679"/>
      <c r="UQG162" s="679"/>
      <c r="UQH162" s="679"/>
      <c r="UQI162" s="679"/>
      <c r="UQJ162" s="679"/>
      <c r="UQK162" s="679"/>
      <c r="UQL162" s="679"/>
      <c r="UQM162" s="679"/>
      <c r="UQN162" s="679"/>
      <c r="UQO162" s="679"/>
      <c r="UQP162" s="679"/>
      <c r="UQQ162" s="679"/>
      <c r="UQR162" s="679"/>
      <c r="UQS162" s="679"/>
      <c r="UQT162" s="679"/>
      <c r="UQU162" s="679"/>
      <c r="UQV162" s="679"/>
      <c r="UQW162" s="679"/>
      <c r="UQX162" s="679"/>
      <c r="UQY162" s="679"/>
      <c r="UQZ162" s="679"/>
      <c r="URA162" s="679"/>
      <c r="URB162" s="679"/>
      <c r="URC162" s="679"/>
      <c r="URD162" s="679"/>
      <c r="URE162" s="679"/>
      <c r="URF162" s="679"/>
      <c r="URG162" s="679"/>
      <c r="URH162" s="679"/>
      <c r="URI162" s="679"/>
      <c r="URJ162" s="679"/>
      <c r="URK162" s="679"/>
      <c r="URL162" s="679"/>
      <c r="URM162" s="679"/>
      <c r="URN162" s="679"/>
      <c r="URO162" s="679"/>
      <c r="URP162" s="679"/>
      <c r="URQ162" s="679"/>
      <c r="URR162" s="679"/>
      <c r="URS162" s="679"/>
      <c r="URT162" s="679"/>
      <c r="URU162" s="679"/>
      <c r="URV162" s="679"/>
      <c r="URW162" s="679"/>
      <c r="URX162" s="679"/>
      <c r="URY162" s="679"/>
      <c r="URZ162" s="679"/>
      <c r="USA162" s="679"/>
      <c r="USB162" s="679"/>
      <c r="USC162" s="679"/>
      <c r="USD162" s="679"/>
      <c r="USE162" s="679"/>
      <c r="USF162" s="679"/>
      <c r="USG162" s="679"/>
      <c r="USH162" s="679"/>
      <c r="USI162" s="679"/>
      <c r="USJ162" s="679"/>
      <c r="USK162" s="679"/>
      <c r="USL162" s="679"/>
      <c r="USM162" s="679"/>
      <c r="USN162" s="679"/>
      <c r="USO162" s="679"/>
      <c r="USP162" s="679"/>
      <c r="USQ162" s="679"/>
      <c r="USR162" s="679"/>
      <c r="USS162" s="679"/>
      <c r="UST162" s="679"/>
      <c r="USU162" s="679"/>
      <c r="USV162" s="679"/>
      <c r="USW162" s="679"/>
      <c r="USX162" s="679"/>
      <c r="USY162" s="679"/>
      <c r="USZ162" s="679"/>
      <c r="UTA162" s="679"/>
      <c r="UTB162" s="679"/>
      <c r="UTC162" s="679"/>
      <c r="UTD162" s="679"/>
      <c r="UTE162" s="679"/>
      <c r="UTF162" s="679"/>
      <c r="UTG162" s="679"/>
      <c r="UTH162" s="679"/>
      <c r="UTI162" s="679"/>
      <c r="UTJ162" s="679"/>
      <c r="UTK162" s="679"/>
      <c r="UTL162" s="679"/>
      <c r="UTM162" s="679"/>
      <c r="UTN162" s="679"/>
      <c r="UTO162" s="679"/>
      <c r="UTP162" s="679"/>
      <c r="UTQ162" s="679"/>
      <c r="UTR162" s="679"/>
      <c r="UTS162" s="679"/>
      <c r="UTT162" s="679"/>
      <c r="UTU162" s="679"/>
      <c r="UTV162" s="679"/>
      <c r="UTW162" s="679"/>
      <c r="UTX162" s="679"/>
      <c r="UTY162" s="679"/>
      <c r="UTZ162" s="679"/>
      <c r="UUA162" s="679"/>
      <c r="UUB162" s="679"/>
      <c r="UUC162" s="679"/>
      <c r="UUD162" s="679"/>
      <c r="UUE162" s="679"/>
      <c r="UUF162" s="679"/>
      <c r="UUG162" s="679"/>
      <c r="UUH162" s="679"/>
      <c r="UUI162" s="679"/>
      <c r="UUJ162" s="679"/>
      <c r="UUK162" s="679"/>
      <c r="UUL162" s="679"/>
      <c r="UUM162" s="679"/>
      <c r="UUN162" s="679"/>
      <c r="UUO162" s="679"/>
      <c r="UUP162" s="679"/>
      <c r="UUQ162" s="679"/>
      <c r="UUR162" s="679"/>
      <c r="UUS162" s="679"/>
      <c r="UUT162" s="679"/>
      <c r="UUU162" s="679"/>
      <c r="UUV162" s="679"/>
      <c r="UUW162" s="679"/>
      <c r="UUX162" s="679"/>
      <c r="UUY162" s="679"/>
      <c r="UUZ162" s="679"/>
      <c r="UVA162" s="679"/>
      <c r="UVB162" s="679"/>
      <c r="UVC162" s="679"/>
      <c r="UVD162" s="679"/>
      <c r="UVE162" s="679"/>
      <c r="UVF162" s="679"/>
      <c r="UVG162" s="679"/>
      <c r="UVH162" s="679"/>
      <c r="UVI162" s="679"/>
      <c r="UVJ162" s="679"/>
      <c r="UVK162" s="679"/>
      <c r="UVL162" s="679"/>
      <c r="UVM162" s="679"/>
      <c r="UVN162" s="679"/>
      <c r="UVO162" s="679"/>
      <c r="UVP162" s="679"/>
      <c r="UVQ162" s="679"/>
      <c r="UVR162" s="679"/>
      <c r="UVS162" s="679"/>
      <c r="UVT162" s="679"/>
      <c r="UVU162" s="679"/>
      <c r="UVV162" s="679"/>
      <c r="UVW162" s="679"/>
      <c r="UVX162" s="679"/>
      <c r="UVY162" s="679"/>
      <c r="UVZ162" s="679"/>
      <c r="UWA162" s="679"/>
      <c r="UWB162" s="679"/>
      <c r="UWC162" s="679"/>
      <c r="UWD162" s="679"/>
      <c r="UWE162" s="679"/>
      <c r="UWF162" s="679"/>
      <c r="UWG162" s="679"/>
      <c r="UWH162" s="679"/>
      <c r="UWI162" s="679"/>
      <c r="UWJ162" s="679"/>
      <c r="UWK162" s="679"/>
      <c r="UWL162" s="679"/>
      <c r="UWM162" s="679"/>
      <c r="UWN162" s="679"/>
      <c r="UWO162" s="679"/>
      <c r="UWP162" s="679"/>
      <c r="UWQ162" s="679"/>
      <c r="UWR162" s="679"/>
      <c r="UWS162" s="679"/>
      <c r="UWT162" s="679"/>
      <c r="UWU162" s="679"/>
      <c r="UWV162" s="679"/>
      <c r="UWW162" s="679"/>
      <c r="UWX162" s="679"/>
      <c r="UWY162" s="679"/>
      <c r="UWZ162" s="679"/>
      <c r="UXA162" s="679"/>
      <c r="UXB162" s="679"/>
      <c r="UXC162" s="679"/>
      <c r="UXD162" s="679"/>
      <c r="UXE162" s="679"/>
      <c r="UXF162" s="679"/>
      <c r="UXG162" s="679"/>
      <c r="UXH162" s="679"/>
      <c r="UXI162" s="679"/>
      <c r="UXJ162" s="679"/>
      <c r="UXK162" s="679"/>
      <c r="UXL162" s="679"/>
      <c r="UXM162" s="679"/>
      <c r="UXN162" s="679"/>
      <c r="UXO162" s="679"/>
      <c r="UXP162" s="679"/>
      <c r="UXQ162" s="679"/>
      <c r="UXR162" s="679"/>
      <c r="UXS162" s="679"/>
      <c r="UXT162" s="679"/>
      <c r="UXU162" s="679"/>
      <c r="UXV162" s="679"/>
      <c r="UXW162" s="679"/>
      <c r="UXX162" s="679"/>
      <c r="UXY162" s="679"/>
      <c r="UXZ162" s="679"/>
      <c r="UYA162" s="679"/>
      <c r="UYB162" s="679"/>
      <c r="UYC162" s="679"/>
      <c r="UYD162" s="679"/>
      <c r="UYE162" s="679"/>
      <c r="UYF162" s="679"/>
      <c r="UYG162" s="679"/>
      <c r="UYH162" s="679"/>
      <c r="UYI162" s="679"/>
      <c r="UYJ162" s="679"/>
      <c r="UYK162" s="679"/>
      <c r="UYL162" s="679"/>
      <c r="UYM162" s="679"/>
      <c r="UYN162" s="679"/>
      <c r="UYO162" s="679"/>
      <c r="UYP162" s="679"/>
      <c r="UYQ162" s="679"/>
      <c r="UYR162" s="679"/>
      <c r="UYS162" s="679"/>
      <c r="UYT162" s="679"/>
      <c r="UYU162" s="679"/>
      <c r="UYV162" s="679"/>
      <c r="UYW162" s="679"/>
      <c r="UYX162" s="679"/>
      <c r="UYY162" s="679"/>
      <c r="UYZ162" s="679"/>
      <c r="UZA162" s="679"/>
      <c r="UZB162" s="679"/>
      <c r="UZC162" s="679"/>
      <c r="UZD162" s="679"/>
      <c r="UZE162" s="679"/>
      <c r="UZF162" s="679"/>
      <c r="UZG162" s="679"/>
      <c r="UZH162" s="679"/>
      <c r="UZI162" s="679"/>
      <c r="UZJ162" s="679"/>
      <c r="UZK162" s="679"/>
      <c r="UZL162" s="679"/>
      <c r="UZM162" s="679"/>
      <c r="UZN162" s="679"/>
      <c r="UZO162" s="679"/>
      <c r="UZP162" s="679"/>
      <c r="UZQ162" s="679"/>
      <c r="UZR162" s="679"/>
      <c r="UZS162" s="679"/>
      <c r="UZT162" s="679"/>
      <c r="UZU162" s="679"/>
      <c r="UZV162" s="679"/>
      <c r="UZW162" s="679"/>
      <c r="UZX162" s="679"/>
      <c r="UZY162" s="679"/>
      <c r="UZZ162" s="679"/>
      <c r="VAA162" s="679"/>
      <c r="VAB162" s="679"/>
      <c r="VAC162" s="679"/>
      <c r="VAD162" s="679"/>
      <c r="VAE162" s="679"/>
      <c r="VAF162" s="679"/>
      <c r="VAG162" s="679"/>
      <c r="VAH162" s="679"/>
      <c r="VAI162" s="679"/>
      <c r="VAJ162" s="679"/>
      <c r="VAK162" s="679"/>
      <c r="VAL162" s="679"/>
      <c r="VAM162" s="679"/>
      <c r="VAN162" s="679"/>
      <c r="VAO162" s="679"/>
      <c r="VAP162" s="679"/>
      <c r="VAQ162" s="679"/>
      <c r="VAR162" s="679"/>
      <c r="VAS162" s="679"/>
      <c r="VAT162" s="679"/>
      <c r="VAU162" s="679"/>
      <c r="VAV162" s="679"/>
      <c r="VAW162" s="679"/>
      <c r="VAX162" s="679"/>
      <c r="VAY162" s="679"/>
      <c r="VAZ162" s="679"/>
      <c r="VBA162" s="679"/>
      <c r="VBB162" s="679"/>
      <c r="VBC162" s="679"/>
      <c r="VBD162" s="679"/>
      <c r="VBE162" s="679"/>
      <c r="VBF162" s="679"/>
      <c r="VBG162" s="679"/>
      <c r="VBH162" s="679"/>
      <c r="VBI162" s="679"/>
      <c r="VBJ162" s="679"/>
      <c r="VBK162" s="679"/>
      <c r="VBL162" s="679"/>
      <c r="VBM162" s="679"/>
      <c r="VBN162" s="679"/>
      <c r="VBO162" s="679"/>
      <c r="VBP162" s="679"/>
      <c r="VBQ162" s="679"/>
      <c r="VBR162" s="679"/>
      <c r="VBS162" s="679"/>
      <c r="VBT162" s="679"/>
      <c r="VBU162" s="679"/>
      <c r="VBV162" s="679"/>
      <c r="VBW162" s="679"/>
      <c r="VBX162" s="679"/>
      <c r="VBY162" s="679"/>
      <c r="VBZ162" s="679"/>
      <c r="VCA162" s="679"/>
      <c r="VCB162" s="679"/>
      <c r="VCC162" s="679"/>
      <c r="VCD162" s="679"/>
      <c r="VCE162" s="679"/>
      <c r="VCF162" s="679"/>
      <c r="VCG162" s="679"/>
      <c r="VCH162" s="679"/>
      <c r="VCI162" s="679"/>
      <c r="VCJ162" s="679"/>
      <c r="VCK162" s="679"/>
      <c r="VCL162" s="679"/>
      <c r="VCM162" s="679"/>
      <c r="VCN162" s="679"/>
      <c r="VCO162" s="679"/>
      <c r="VCP162" s="679"/>
      <c r="VCQ162" s="679"/>
      <c r="VCR162" s="679"/>
      <c r="VCS162" s="679"/>
      <c r="VCT162" s="679"/>
      <c r="VCU162" s="679"/>
      <c r="VCV162" s="679"/>
      <c r="VCW162" s="679"/>
      <c r="VCX162" s="679"/>
      <c r="VCY162" s="679"/>
      <c r="VCZ162" s="679"/>
      <c r="VDA162" s="679"/>
      <c r="VDB162" s="679"/>
      <c r="VDC162" s="679"/>
      <c r="VDD162" s="679"/>
      <c r="VDE162" s="679"/>
      <c r="VDF162" s="679"/>
      <c r="VDG162" s="679"/>
      <c r="VDH162" s="679"/>
      <c r="VDI162" s="679"/>
      <c r="VDJ162" s="679"/>
      <c r="VDK162" s="679"/>
      <c r="VDL162" s="679"/>
      <c r="VDM162" s="679"/>
      <c r="VDN162" s="679"/>
      <c r="VDO162" s="679"/>
      <c r="VDP162" s="679"/>
      <c r="VDQ162" s="679"/>
      <c r="VDR162" s="679"/>
      <c r="VDS162" s="679"/>
      <c r="VDT162" s="679"/>
      <c r="VDU162" s="679"/>
      <c r="VDV162" s="679"/>
      <c r="VDW162" s="679"/>
      <c r="VDX162" s="679"/>
      <c r="VDY162" s="679"/>
      <c r="VDZ162" s="679"/>
      <c r="VEA162" s="679"/>
      <c r="VEB162" s="679"/>
      <c r="VEC162" s="679"/>
      <c r="VED162" s="679"/>
      <c r="VEE162" s="679"/>
      <c r="VEF162" s="679"/>
      <c r="VEG162" s="679"/>
      <c r="VEH162" s="679"/>
      <c r="VEI162" s="679"/>
      <c r="VEJ162" s="679"/>
      <c r="VEK162" s="679"/>
      <c r="VEL162" s="679"/>
      <c r="VEM162" s="679"/>
      <c r="VEN162" s="679"/>
      <c r="VEO162" s="679"/>
      <c r="VEP162" s="679"/>
      <c r="VEQ162" s="679"/>
      <c r="VER162" s="679"/>
      <c r="VES162" s="679"/>
      <c r="VET162" s="679"/>
      <c r="VEU162" s="679"/>
      <c r="VEV162" s="679"/>
      <c r="VEW162" s="679"/>
      <c r="VEX162" s="679"/>
      <c r="VEY162" s="679"/>
      <c r="VEZ162" s="679"/>
      <c r="VFA162" s="679"/>
      <c r="VFB162" s="679"/>
      <c r="VFC162" s="679"/>
      <c r="VFD162" s="679"/>
      <c r="VFE162" s="679"/>
      <c r="VFF162" s="679"/>
      <c r="VFG162" s="679"/>
      <c r="VFH162" s="679"/>
      <c r="VFI162" s="679"/>
      <c r="VFJ162" s="679"/>
      <c r="VFK162" s="679"/>
      <c r="VFL162" s="679"/>
      <c r="VFM162" s="679"/>
      <c r="VFN162" s="679"/>
      <c r="VFO162" s="679"/>
      <c r="VFP162" s="679"/>
      <c r="VFQ162" s="679"/>
      <c r="VFR162" s="679"/>
      <c r="VFS162" s="679"/>
      <c r="VFT162" s="679"/>
      <c r="VFU162" s="679"/>
      <c r="VFV162" s="679"/>
      <c r="VFW162" s="679"/>
      <c r="VFX162" s="679"/>
      <c r="VFY162" s="679"/>
      <c r="VFZ162" s="679"/>
      <c r="VGA162" s="679"/>
      <c r="VGB162" s="679"/>
      <c r="VGC162" s="679"/>
      <c r="VGD162" s="679"/>
      <c r="VGE162" s="679"/>
      <c r="VGF162" s="679"/>
      <c r="VGG162" s="679"/>
      <c r="VGH162" s="679"/>
      <c r="VGI162" s="679"/>
      <c r="VGJ162" s="679"/>
      <c r="VGK162" s="679"/>
      <c r="VGL162" s="679"/>
      <c r="VGM162" s="679"/>
      <c r="VGN162" s="679"/>
      <c r="VGO162" s="679"/>
      <c r="VGP162" s="679"/>
      <c r="VGQ162" s="679"/>
      <c r="VGR162" s="679"/>
      <c r="VGS162" s="679"/>
      <c r="VGT162" s="679"/>
      <c r="VGU162" s="679"/>
      <c r="VGV162" s="679"/>
      <c r="VGW162" s="679"/>
      <c r="VGX162" s="679"/>
      <c r="VGY162" s="679"/>
      <c r="VGZ162" s="679"/>
      <c r="VHA162" s="679"/>
      <c r="VHB162" s="679"/>
      <c r="VHC162" s="679"/>
      <c r="VHD162" s="679"/>
      <c r="VHE162" s="679"/>
      <c r="VHF162" s="679"/>
      <c r="VHG162" s="679"/>
      <c r="VHH162" s="679"/>
      <c r="VHI162" s="679"/>
      <c r="VHJ162" s="679"/>
      <c r="VHK162" s="679"/>
      <c r="VHL162" s="679"/>
      <c r="VHM162" s="679"/>
      <c r="VHN162" s="679"/>
      <c r="VHO162" s="679"/>
      <c r="VHP162" s="679"/>
      <c r="VHQ162" s="679"/>
      <c r="VHR162" s="679"/>
      <c r="VHS162" s="679"/>
      <c r="VHT162" s="679"/>
      <c r="VHU162" s="679"/>
      <c r="VHV162" s="679"/>
      <c r="VHW162" s="679"/>
      <c r="VHX162" s="679"/>
      <c r="VHY162" s="679"/>
      <c r="VHZ162" s="679"/>
      <c r="VIA162" s="679"/>
      <c r="VIB162" s="679"/>
      <c r="VIC162" s="679"/>
      <c r="VID162" s="679"/>
      <c r="VIE162" s="679"/>
      <c r="VIF162" s="679"/>
      <c r="VIG162" s="679"/>
      <c r="VIH162" s="679"/>
      <c r="VII162" s="679"/>
      <c r="VIJ162" s="679"/>
      <c r="VIK162" s="679"/>
      <c r="VIL162" s="679"/>
      <c r="VIM162" s="679"/>
      <c r="VIN162" s="679"/>
      <c r="VIO162" s="679"/>
      <c r="VIP162" s="679"/>
      <c r="VIQ162" s="679"/>
      <c r="VIR162" s="679"/>
      <c r="VIS162" s="679"/>
      <c r="VIT162" s="679"/>
      <c r="VIU162" s="679"/>
      <c r="VIV162" s="679"/>
      <c r="VIW162" s="679"/>
      <c r="VIX162" s="679"/>
      <c r="VIY162" s="679"/>
      <c r="VIZ162" s="679"/>
      <c r="VJA162" s="679"/>
      <c r="VJB162" s="679"/>
      <c r="VJC162" s="679"/>
      <c r="VJD162" s="679"/>
      <c r="VJE162" s="679"/>
      <c r="VJF162" s="679"/>
      <c r="VJG162" s="679"/>
      <c r="VJH162" s="679"/>
      <c r="VJI162" s="679"/>
      <c r="VJJ162" s="679"/>
      <c r="VJK162" s="679"/>
      <c r="VJL162" s="679"/>
      <c r="VJM162" s="679"/>
      <c r="VJN162" s="679"/>
      <c r="VJO162" s="679"/>
      <c r="VJP162" s="679"/>
      <c r="VJQ162" s="679"/>
      <c r="VJR162" s="679"/>
      <c r="VJS162" s="679"/>
      <c r="VJT162" s="679"/>
      <c r="VJU162" s="679"/>
      <c r="VJV162" s="679"/>
      <c r="VJW162" s="679"/>
      <c r="VJX162" s="679"/>
      <c r="VJY162" s="679"/>
      <c r="VJZ162" s="679"/>
      <c r="VKA162" s="679"/>
      <c r="VKB162" s="679"/>
      <c r="VKC162" s="679"/>
      <c r="VKD162" s="679"/>
      <c r="VKE162" s="679"/>
      <c r="VKF162" s="679"/>
      <c r="VKG162" s="679"/>
      <c r="VKH162" s="679"/>
      <c r="VKI162" s="679"/>
      <c r="VKJ162" s="679"/>
      <c r="VKK162" s="679"/>
      <c r="VKL162" s="679"/>
      <c r="VKM162" s="679"/>
      <c r="VKN162" s="679"/>
      <c r="VKO162" s="679"/>
      <c r="VKP162" s="679"/>
      <c r="VKQ162" s="679"/>
      <c r="VKR162" s="679"/>
      <c r="VKS162" s="679"/>
      <c r="VKT162" s="679"/>
      <c r="VKU162" s="679"/>
      <c r="VKV162" s="679"/>
      <c r="VKW162" s="679"/>
      <c r="VKX162" s="679"/>
      <c r="VKY162" s="679"/>
      <c r="VKZ162" s="679"/>
      <c r="VLA162" s="679"/>
      <c r="VLB162" s="679"/>
      <c r="VLC162" s="679"/>
      <c r="VLD162" s="679"/>
      <c r="VLE162" s="679"/>
      <c r="VLF162" s="679"/>
      <c r="VLG162" s="679"/>
      <c r="VLH162" s="679"/>
      <c r="VLI162" s="679"/>
      <c r="VLJ162" s="679"/>
      <c r="VLK162" s="679"/>
      <c r="VLL162" s="679"/>
      <c r="VLM162" s="679"/>
      <c r="VLN162" s="679"/>
      <c r="VLO162" s="679"/>
      <c r="VLP162" s="679"/>
      <c r="VLQ162" s="679"/>
      <c r="VLR162" s="679"/>
      <c r="VLS162" s="679"/>
      <c r="VLT162" s="679"/>
      <c r="VLU162" s="679"/>
      <c r="VLV162" s="679"/>
      <c r="VLW162" s="679"/>
      <c r="VLX162" s="679"/>
      <c r="VLY162" s="679"/>
      <c r="VLZ162" s="679"/>
      <c r="VMA162" s="679"/>
      <c r="VMB162" s="679"/>
      <c r="VMC162" s="679"/>
      <c r="VMD162" s="679"/>
      <c r="VME162" s="679"/>
      <c r="VMF162" s="679"/>
      <c r="VMG162" s="679"/>
      <c r="VMH162" s="679"/>
      <c r="VMI162" s="679"/>
      <c r="VMJ162" s="679"/>
      <c r="VMK162" s="679"/>
      <c r="VML162" s="679"/>
      <c r="VMM162" s="679"/>
      <c r="VMN162" s="679"/>
      <c r="VMO162" s="679"/>
      <c r="VMP162" s="679"/>
      <c r="VMQ162" s="679"/>
      <c r="VMR162" s="679"/>
      <c r="VMS162" s="679"/>
      <c r="VMT162" s="679"/>
      <c r="VMU162" s="679"/>
      <c r="VMV162" s="679"/>
      <c r="VMW162" s="679"/>
      <c r="VMX162" s="679"/>
      <c r="VMY162" s="679"/>
      <c r="VMZ162" s="679"/>
      <c r="VNA162" s="679"/>
      <c r="VNB162" s="679"/>
      <c r="VNC162" s="679"/>
      <c r="VND162" s="679"/>
      <c r="VNE162" s="679"/>
      <c r="VNF162" s="679"/>
      <c r="VNG162" s="679"/>
      <c r="VNH162" s="679"/>
      <c r="VNI162" s="679"/>
      <c r="VNJ162" s="679"/>
      <c r="VNK162" s="679"/>
      <c r="VNL162" s="679"/>
      <c r="VNM162" s="679"/>
      <c r="VNN162" s="679"/>
      <c r="VNO162" s="679"/>
      <c r="VNP162" s="679"/>
      <c r="VNQ162" s="679"/>
      <c r="VNR162" s="679"/>
      <c r="VNS162" s="679"/>
      <c r="VNT162" s="679"/>
      <c r="VNU162" s="679"/>
      <c r="VNV162" s="679"/>
      <c r="VNW162" s="679"/>
      <c r="VNX162" s="679"/>
      <c r="VNY162" s="679"/>
      <c r="VNZ162" s="679"/>
      <c r="VOA162" s="679"/>
      <c r="VOB162" s="679"/>
      <c r="VOC162" s="679"/>
      <c r="VOD162" s="679"/>
      <c r="VOE162" s="679"/>
      <c r="VOF162" s="679"/>
      <c r="VOG162" s="679"/>
      <c r="VOH162" s="679"/>
      <c r="VOI162" s="679"/>
      <c r="VOJ162" s="679"/>
      <c r="VOK162" s="679"/>
      <c r="VOL162" s="679"/>
      <c r="VOM162" s="679"/>
      <c r="VON162" s="679"/>
      <c r="VOO162" s="679"/>
      <c r="VOP162" s="679"/>
      <c r="VOQ162" s="679"/>
      <c r="VOR162" s="679"/>
      <c r="VOS162" s="679"/>
      <c r="VOT162" s="679"/>
      <c r="VOU162" s="679"/>
      <c r="VOV162" s="679"/>
      <c r="VOW162" s="679"/>
      <c r="VOX162" s="679"/>
      <c r="VOY162" s="679"/>
      <c r="VOZ162" s="679"/>
      <c r="VPA162" s="679"/>
      <c r="VPB162" s="679"/>
      <c r="VPC162" s="679"/>
      <c r="VPD162" s="679"/>
      <c r="VPE162" s="679"/>
      <c r="VPF162" s="679"/>
      <c r="VPG162" s="679"/>
      <c r="VPH162" s="679"/>
      <c r="VPI162" s="679"/>
      <c r="VPJ162" s="679"/>
      <c r="VPK162" s="679"/>
      <c r="VPL162" s="679"/>
      <c r="VPM162" s="679"/>
      <c r="VPN162" s="679"/>
      <c r="VPO162" s="679"/>
      <c r="VPP162" s="679"/>
      <c r="VPQ162" s="679"/>
      <c r="VPR162" s="679"/>
      <c r="VPS162" s="679"/>
      <c r="VPT162" s="679"/>
      <c r="VPU162" s="679"/>
      <c r="VPV162" s="679"/>
      <c r="VPW162" s="679"/>
      <c r="VPX162" s="679"/>
      <c r="VPY162" s="679"/>
      <c r="VPZ162" s="679"/>
      <c r="VQA162" s="679"/>
      <c r="VQB162" s="679"/>
      <c r="VQC162" s="679"/>
      <c r="VQD162" s="679"/>
      <c r="VQE162" s="679"/>
      <c r="VQF162" s="679"/>
      <c r="VQG162" s="679"/>
      <c r="VQH162" s="679"/>
      <c r="VQI162" s="679"/>
      <c r="VQJ162" s="679"/>
      <c r="VQK162" s="679"/>
      <c r="VQL162" s="679"/>
      <c r="VQM162" s="679"/>
      <c r="VQN162" s="679"/>
      <c r="VQO162" s="679"/>
      <c r="VQP162" s="679"/>
      <c r="VQQ162" s="679"/>
      <c r="VQR162" s="679"/>
      <c r="VQS162" s="679"/>
      <c r="VQT162" s="679"/>
      <c r="VQU162" s="679"/>
      <c r="VQV162" s="679"/>
      <c r="VQW162" s="679"/>
      <c r="VQX162" s="679"/>
      <c r="VQY162" s="679"/>
      <c r="VQZ162" s="679"/>
      <c r="VRA162" s="679"/>
      <c r="VRB162" s="679"/>
      <c r="VRC162" s="679"/>
      <c r="VRD162" s="679"/>
      <c r="VRE162" s="679"/>
      <c r="VRF162" s="679"/>
      <c r="VRG162" s="679"/>
      <c r="VRH162" s="679"/>
      <c r="VRI162" s="679"/>
      <c r="VRJ162" s="679"/>
      <c r="VRK162" s="679"/>
      <c r="VRL162" s="679"/>
      <c r="VRM162" s="679"/>
      <c r="VRN162" s="679"/>
      <c r="VRO162" s="679"/>
      <c r="VRP162" s="679"/>
      <c r="VRQ162" s="679"/>
      <c r="VRR162" s="679"/>
      <c r="VRS162" s="679"/>
      <c r="VRT162" s="679"/>
      <c r="VRU162" s="679"/>
      <c r="VRV162" s="679"/>
      <c r="VRW162" s="679"/>
      <c r="VRX162" s="679"/>
      <c r="VRY162" s="679"/>
      <c r="VRZ162" s="679"/>
      <c r="VSA162" s="679"/>
      <c r="VSB162" s="679"/>
      <c r="VSC162" s="679"/>
      <c r="VSD162" s="679"/>
      <c r="VSE162" s="679"/>
      <c r="VSF162" s="679"/>
      <c r="VSG162" s="679"/>
      <c r="VSH162" s="679"/>
      <c r="VSI162" s="679"/>
      <c r="VSJ162" s="679"/>
      <c r="VSK162" s="679"/>
      <c r="VSL162" s="679"/>
      <c r="VSM162" s="679"/>
      <c r="VSN162" s="679"/>
      <c r="VSO162" s="679"/>
      <c r="VSP162" s="679"/>
      <c r="VSQ162" s="679"/>
      <c r="VSR162" s="679"/>
      <c r="VSS162" s="679"/>
      <c r="VST162" s="679"/>
      <c r="VSU162" s="679"/>
      <c r="VSV162" s="679"/>
      <c r="VSW162" s="679"/>
      <c r="VSX162" s="679"/>
      <c r="VSY162" s="679"/>
      <c r="VSZ162" s="679"/>
      <c r="VTA162" s="679"/>
      <c r="VTB162" s="679"/>
      <c r="VTC162" s="679"/>
      <c r="VTD162" s="679"/>
      <c r="VTE162" s="679"/>
      <c r="VTF162" s="679"/>
      <c r="VTG162" s="679"/>
      <c r="VTH162" s="679"/>
      <c r="VTI162" s="679"/>
      <c r="VTJ162" s="679"/>
      <c r="VTK162" s="679"/>
      <c r="VTL162" s="679"/>
      <c r="VTM162" s="679"/>
      <c r="VTN162" s="679"/>
      <c r="VTO162" s="679"/>
      <c r="VTP162" s="679"/>
      <c r="VTQ162" s="679"/>
      <c r="VTR162" s="679"/>
      <c r="VTS162" s="679"/>
      <c r="VTT162" s="679"/>
      <c r="VTU162" s="679"/>
      <c r="VTV162" s="679"/>
      <c r="VTW162" s="679"/>
      <c r="VTX162" s="679"/>
      <c r="VTY162" s="679"/>
      <c r="VTZ162" s="679"/>
      <c r="VUA162" s="679"/>
      <c r="VUB162" s="679"/>
      <c r="VUC162" s="679"/>
      <c r="VUD162" s="679"/>
      <c r="VUE162" s="679"/>
      <c r="VUF162" s="679"/>
      <c r="VUG162" s="679"/>
      <c r="VUH162" s="679"/>
      <c r="VUI162" s="679"/>
      <c r="VUJ162" s="679"/>
      <c r="VUK162" s="679"/>
      <c r="VUL162" s="679"/>
      <c r="VUM162" s="679"/>
      <c r="VUN162" s="679"/>
      <c r="VUO162" s="679"/>
      <c r="VUP162" s="679"/>
      <c r="VUQ162" s="679"/>
      <c r="VUR162" s="679"/>
      <c r="VUS162" s="679"/>
      <c r="VUT162" s="679"/>
      <c r="VUU162" s="679"/>
      <c r="VUV162" s="679"/>
      <c r="VUW162" s="679"/>
      <c r="VUX162" s="679"/>
      <c r="VUY162" s="679"/>
      <c r="VUZ162" s="679"/>
      <c r="VVA162" s="679"/>
      <c r="VVB162" s="679"/>
      <c r="VVC162" s="679"/>
      <c r="VVD162" s="679"/>
      <c r="VVE162" s="679"/>
      <c r="VVF162" s="679"/>
      <c r="VVG162" s="679"/>
      <c r="VVH162" s="679"/>
      <c r="VVI162" s="679"/>
      <c r="VVJ162" s="679"/>
      <c r="VVK162" s="679"/>
      <c r="VVL162" s="679"/>
      <c r="VVM162" s="679"/>
      <c r="VVN162" s="679"/>
      <c r="VVO162" s="679"/>
      <c r="VVP162" s="679"/>
      <c r="VVQ162" s="679"/>
      <c r="VVR162" s="679"/>
      <c r="VVS162" s="679"/>
      <c r="VVT162" s="679"/>
      <c r="VVU162" s="679"/>
      <c r="VVV162" s="679"/>
      <c r="VVW162" s="679"/>
      <c r="VVX162" s="679"/>
      <c r="VVY162" s="679"/>
      <c r="VVZ162" s="679"/>
      <c r="VWA162" s="679"/>
      <c r="VWB162" s="679"/>
      <c r="VWC162" s="679"/>
      <c r="VWD162" s="679"/>
      <c r="VWE162" s="679"/>
      <c r="VWF162" s="679"/>
      <c r="VWG162" s="679"/>
      <c r="VWH162" s="679"/>
      <c r="VWI162" s="679"/>
      <c r="VWJ162" s="679"/>
      <c r="VWK162" s="679"/>
      <c r="VWL162" s="679"/>
      <c r="VWM162" s="679"/>
      <c r="VWN162" s="679"/>
      <c r="VWO162" s="679"/>
      <c r="VWP162" s="679"/>
      <c r="VWQ162" s="679"/>
      <c r="VWR162" s="679"/>
      <c r="VWS162" s="679"/>
      <c r="VWT162" s="679"/>
      <c r="VWU162" s="679"/>
      <c r="VWV162" s="679"/>
      <c r="VWW162" s="679"/>
      <c r="VWX162" s="679"/>
      <c r="VWY162" s="679"/>
      <c r="VWZ162" s="679"/>
      <c r="VXA162" s="679"/>
      <c r="VXB162" s="679"/>
      <c r="VXC162" s="679"/>
      <c r="VXD162" s="679"/>
      <c r="VXE162" s="679"/>
      <c r="VXF162" s="679"/>
      <c r="VXG162" s="679"/>
      <c r="VXH162" s="679"/>
      <c r="VXI162" s="679"/>
      <c r="VXJ162" s="679"/>
      <c r="VXK162" s="679"/>
      <c r="VXL162" s="679"/>
      <c r="VXM162" s="679"/>
      <c r="VXN162" s="679"/>
      <c r="VXO162" s="679"/>
      <c r="VXP162" s="679"/>
      <c r="VXQ162" s="679"/>
      <c r="VXR162" s="679"/>
      <c r="VXS162" s="679"/>
      <c r="VXT162" s="679"/>
      <c r="VXU162" s="679"/>
      <c r="VXV162" s="679"/>
      <c r="VXW162" s="679"/>
      <c r="VXX162" s="679"/>
      <c r="VXY162" s="679"/>
      <c r="VXZ162" s="679"/>
      <c r="VYA162" s="679"/>
      <c r="VYB162" s="679"/>
      <c r="VYC162" s="679"/>
      <c r="VYD162" s="679"/>
      <c r="VYE162" s="679"/>
      <c r="VYF162" s="679"/>
      <c r="VYG162" s="679"/>
      <c r="VYH162" s="679"/>
      <c r="VYI162" s="679"/>
      <c r="VYJ162" s="679"/>
      <c r="VYK162" s="679"/>
      <c r="VYL162" s="679"/>
      <c r="VYM162" s="679"/>
      <c r="VYN162" s="679"/>
      <c r="VYO162" s="679"/>
      <c r="VYP162" s="679"/>
      <c r="VYQ162" s="679"/>
      <c r="VYR162" s="679"/>
      <c r="VYS162" s="679"/>
      <c r="VYT162" s="679"/>
      <c r="VYU162" s="679"/>
      <c r="VYV162" s="679"/>
      <c r="VYW162" s="679"/>
      <c r="VYX162" s="679"/>
      <c r="VYY162" s="679"/>
      <c r="VYZ162" s="679"/>
      <c r="VZA162" s="679"/>
      <c r="VZB162" s="679"/>
      <c r="VZC162" s="679"/>
      <c r="VZD162" s="679"/>
      <c r="VZE162" s="679"/>
      <c r="VZF162" s="679"/>
      <c r="VZG162" s="679"/>
      <c r="VZH162" s="679"/>
      <c r="VZI162" s="679"/>
      <c r="VZJ162" s="679"/>
      <c r="VZK162" s="679"/>
      <c r="VZL162" s="679"/>
      <c r="VZM162" s="679"/>
      <c r="VZN162" s="679"/>
      <c r="VZO162" s="679"/>
      <c r="VZP162" s="679"/>
      <c r="VZQ162" s="679"/>
      <c r="VZR162" s="679"/>
      <c r="VZS162" s="679"/>
      <c r="VZT162" s="679"/>
      <c r="VZU162" s="679"/>
      <c r="VZV162" s="679"/>
      <c r="VZW162" s="679"/>
      <c r="VZX162" s="679"/>
      <c r="VZY162" s="679"/>
      <c r="VZZ162" s="679"/>
      <c r="WAA162" s="679"/>
      <c r="WAB162" s="679"/>
      <c r="WAC162" s="679"/>
      <c r="WAD162" s="679"/>
      <c r="WAE162" s="679"/>
      <c r="WAF162" s="679"/>
      <c r="WAG162" s="679"/>
      <c r="WAH162" s="679"/>
      <c r="WAI162" s="679"/>
      <c r="WAJ162" s="679"/>
      <c r="WAK162" s="679"/>
      <c r="WAL162" s="679"/>
      <c r="WAM162" s="679"/>
      <c r="WAN162" s="679"/>
      <c r="WAO162" s="679"/>
      <c r="WAP162" s="679"/>
      <c r="WAQ162" s="679"/>
      <c r="WAR162" s="679"/>
      <c r="WAS162" s="679"/>
      <c r="WAT162" s="679"/>
      <c r="WAU162" s="679"/>
      <c r="WAV162" s="679"/>
      <c r="WAW162" s="679"/>
      <c r="WAX162" s="679"/>
      <c r="WAY162" s="679"/>
      <c r="WAZ162" s="679"/>
      <c r="WBA162" s="679"/>
      <c r="WBB162" s="679"/>
      <c r="WBC162" s="679"/>
      <c r="WBD162" s="679"/>
      <c r="WBE162" s="679"/>
      <c r="WBF162" s="679"/>
      <c r="WBG162" s="679"/>
      <c r="WBH162" s="679"/>
      <c r="WBI162" s="679"/>
      <c r="WBJ162" s="679"/>
      <c r="WBK162" s="679"/>
      <c r="WBL162" s="679"/>
      <c r="WBM162" s="679"/>
      <c r="WBN162" s="679"/>
      <c r="WBO162" s="679"/>
      <c r="WBP162" s="679"/>
      <c r="WBQ162" s="679"/>
      <c r="WBR162" s="679"/>
      <c r="WBS162" s="679"/>
      <c r="WBT162" s="679"/>
      <c r="WBU162" s="679"/>
      <c r="WBV162" s="679"/>
      <c r="WBW162" s="679"/>
      <c r="WBX162" s="679"/>
      <c r="WBY162" s="679"/>
      <c r="WBZ162" s="679"/>
      <c r="WCA162" s="679"/>
      <c r="WCB162" s="679"/>
      <c r="WCC162" s="679"/>
      <c r="WCD162" s="679"/>
      <c r="WCE162" s="679"/>
      <c r="WCF162" s="679"/>
      <c r="WCG162" s="679"/>
      <c r="WCH162" s="679"/>
      <c r="WCI162" s="679"/>
      <c r="WCJ162" s="679"/>
      <c r="WCK162" s="679"/>
      <c r="WCL162" s="679"/>
      <c r="WCM162" s="679"/>
      <c r="WCN162" s="679"/>
      <c r="WCO162" s="679"/>
      <c r="WCP162" s="679"/>
      <c r="WCQ162" s="679"/>
      <c r="WCR162" s="679"/>
      <c r="WCS162" s="679"/>
      <c r="WCT162" s="679"/>
      <c r="WCU162" s="679"/>
      <c r="WCV162" s="679"/>
      <c r="WCW162" s="679"/>
      <c r="WCX162" s="679"/>
      <c r="WCY162" s="679"/>
      <c r="WCZ162" s="679"/>
      <c r="WDA162" s="679"/>
      <c r="WDB162" s="679"/>
      <c r="WDC162" s="679"/>
      <c r="WDD162" s="679"/>
      <c r="WDE162" s="679"/>
      <c r="WDF162" s="679"/>
      <c r="WDG162" s="679"/>
      <c r="WDH162" s="679"/>
      <c r="WDI162" s="679"/>
      <c r="WDJ162" s="679"/>
      <c r="WDK162" s="679"/>
      <c r="WDL162" s="679"/>
      <c r="WDM162" s="679"/>
      <c r="WDN162" s="679"/>
      <c r="WDO162" s="679"/>
      <c r="WDP162" s="679"/>
      <c r="WDQ162" s="679"/>
      <c r="WDR162" s="679"/>
      <c r="WDS162" s="679"/>
      <c r="WDT162" s="679"/>
      <c r="WDU162" s="679"/>
      <c r="WDV162" s="679"/>
      <c r="WDW162" s="679"/>
      <c r="WDX162" s="679"/>
      <c r="WDY162" s="679"/>
      <c r="WDZ162" s="679"/>
      <c r="WEA162" s="679"/>
      <c r="WEB162" s="679"/>
      <c r="WEC162" s="679"/>
      <c r="WED162" s="679"/>
      <c r="WEE162" s="679"/>
      <c r="WEF162" s="679"/>
      <c r="WEG162" s="679"/>
      <c r="WEH162" s="679"/>
      <c r="WEI162" s="679"/>
      <c r="WEJ162" s="679"/>
      <c r="WEK162" s="679"/>
      <c r="WEL162" s="679"/>
      <c r="WEM162" s="679"/>
      <c r="WEN162" s="679"/>
      <c r="WEO162" s="679"/>
      <c r="WEP162" s="679"/>
      <c r="WEQ162" s="679"/>
      <c r="WER162" s="679"/>
      <c r="WES162" s="679"/>
      <c r="WET162" s="679"/>
      <c r="WEU162" s="679"/>
      <c r="WEV162" s="679"/>
      <c r="WEW162" s="679"/>
      <c r="WEX162" s="679"/>
      <c r="WEY162" s="679"/>
      <c r="WEZ162" s="679"/>
      <c r="WFA162" s="679"/>
      <c r="WFB162" s="679"/>
      <c r="WFC162" s="679"/>
      <c r="WFD162" s="679"/>
      <c r="WFE162" s="679"/>
      <c r="WFF162" s="679"/>
      <c r="WFG162" s="679"/>
      <c r="WFH162" s="679"/>
      <c r="WFI162" s="679"/>
      <c r="WFJ162" s="679"/>
      <c r="WFK162" s="679"/>
      <c r="WFL162" s="679"/>
      <c r="WFM162" s="679"/>
      <c r="WFN162" s="679"/>
      <c r="WFO162" s="679"/>
      <c r="WFP162" s="679"/>
      <c r="WFQ162" s="679"/>
      <c r="WFR162" s="679"/>
      <c r="WFS162" s="679"/>
      <c r="WFT162" s="679"/>
      <c r="WFU162" s="679"/>
      <c r="WFV162" s="679"/>
      <c r="WFW162" s="679"/>
      <c r="WFX162" s="679"/>
      <c r="WFY162" s="679"/>
      <c r="WFZ162" s="679"/>
      <c r="WGA162" s="679"/>
      <c r="WGB162" s="679"/>
      <c r="WGC162" s="679"/>
      <c r="WGD162" s="679"/>
      <c r="WGE162" s="679"/>
      <c r="WGF162" s="679"/>
      <c r="WGG162" s="679"/>
      <c r="WGH162" s="679"/>
      <c r="WGI162" s="679"/>
      <c r="WGJ162" s="679"/>
      <c r="WGK162" s="679"/>
      <c r="WGL162" s="679"/>
      <c r="WGM162" s="679"/>
      <c r="WGN162" s="679"/>
      <c r="WGO162" s="679"/>
      <c r="WGP162" s="679"/>
      <c r="WGQ162" s="679"/>
      <c r="WGR162" s="679"/>
      <c r="WGS162" s="679"/>
      <c r="WGT162" s="679"/>
      <c r="WGU162" s="679"/>
      <c r="WGV162" s="679"/>
      <c r="WGW162" s="679"/>
      <c r="WGX162" s="679"/>
      <c r="WGY162" s="679"/>
      <c r="WGZ162" s="679"/>
      <c r="WHA162" s="679"/>
      <c r="WHB162" s="679"/>
      <c r="WHC162" s="679"/>
      <c r="WHD162" s="679"/>
      <c r="WHE162" s="679"/>
      <c r="WHF162" s="679"/>
      <c r="WHG162" s="679"/>
      <c r="WHH162" s="679"/>
      <c r="WHI162" s="679"/>
      <c r="WHJ162" s="679"/>
      <c r="WHK162" s="679"/>
      <c r="WHL162" s="679"/>
      <c r="WHM162" s="679"/>
      <c r="WHN162" s="679"/>
      <c r="WHO162" s="679"/>
      <c r="WHP162" s="679"/>
      <c r="WHQ162" s="679"/>
      <c r="WHR162" s="679"/>
      <c r="WHS162" s="679"/>
      <c r="WHT162" s="679"/>
      <c r="WHU162" s="679"/>
      <c r="WHV162" s="679"/>
      <c r="WHW162" s="679"/>
      <c r="WHX162" s="679"/>
      <c r="WHY162" s="679"/>
      <c r="WHZ162" s="679"/>
      <c r="WIA162" s="679"/>
      <c r="WIB162" s="679"/>
      <c r="WIC162" s="679"/>
      <c r="WID162" s="679"/>
      <c r="WIE162" s="679"/>
      <c r="WIF162" s="679"/>
      <c r="WIG162" s="679"/>
      <c r="WIH162" s="679"/>
      <c r="WII162" s="679"/>
      <c r="WIJ162" s="679"/>
      <c r="WIK162" s="679"/>
      <c r="WIL162" s="679"/>
      <c r="WIM162" s="679"/>
      <c r="WIN162" s="679"/>
      <c r="WIO162" s="679"/>
      <c r="WIP162" s="679"/>
      <c r="WIQ162" s="679"/>
      <c r="WIR162" s="679"/>
      <c r="WIS162" s="679"/>
      <c r="WIT162" s="679"/>
      <c r="WIU162" s="679"/>
      <c r="WIV162" s="679"/>
      <c r="WIW162" s="679"/>
      <c r="WIX162" s="679"/>
      <c r="WIY162" s="679"/>
      <c r="WIZ162" s="679"/>
      <c r="WJA162" s="679"/>
      <c r="WJB162" s="679"/>
      <c r="WJC162" s="679"/>
      <c r="WJD162" s="679"/>
      <c r="WJE162" s="679"/>
      <c r="WJF162" s="679"/>
      <c r="WJG162" s="679"/>
      <c r="WJH162" s="679"/>
      <c r="WJI162" s="679"/>
      <c r="WJJ162" s="679"/>
      <c r="WJK162" s="679"/>
      <c r="WJL162" s="679"/>
      <c r="WJM162" s="679"/>
      <c r="WJN162" s="679"/>
      <c r="WJO162" s="679"/>
      <c r="WJP162" s="679"/>
      <c r="WJQ162" s="679"/>
      <c r="WJR162" s="679"/>
      <c r="WJS162" s="679"/>
      <c r="WJT162" s="679"/>
      <c r="WJU162" s="679"/>
      <c r="WJV162" s="679"/>
      <c r="WJW162" s="679"/>
      <c r="WJX162" s="679"/>
      <c r="WJY162" s="679"/>
      <c r="WJZ162" s="679"/>
      <c r="WKA162" s="679"/>
      <c r="WKB162" s="679"/>
      <c r="WKC162" s="679"/>
      <c r="WKD162" s="679"/>
      <c r="WKE162" s="679"/>
      <c r="WKF162" s="679"/>
      <c r="WKG162" s="679"/>
      <c r="WKH162" s="679"/>
      <c r="WKI162" s="679"/>
      <c r="WKJ162" s="679"/>
      <c r="WKK162" s="679"/>
      <c r="WKL162" s="679"/>
      <c r="WKM162" s="679"/>
      <c r="WKN162" s="679"/>
      <c r="WKO162" s="679"/>
      <c r="WKP162" s="679"/>
      <c r="WKQ162" s="679"/>
      <c r="WKR162" s="679"/>
      <c r="WKS162" s="679"/>
      <c r="WKT162" s="679"/>
      <c r="WKU162" s="679"/>
      <c r="WKV162" s="679"/>
      <c r="WKW162" s="679"/>
      <c r="WKX162" s="679"/>
      <c r="WKY162" s="679"/>
      <c r="WKZ162" s="679"/>
      <c r="WLA162" s="679"/>
      <c r="WLB162" s="679"/>
      <c r="WLC162" s="679"/>
      <c r="WLD162" s="679"/>
      <c r="WLE162" s="679"/>
      <c r="WLF162" s="679"/>
      <c r="WLG162" s="679"/>
      <c r="WLH162" s="679"/>
      <c r="WLI162" s="679"/>
      <c r="WLJ162" s="679"/>
      <c r="WLK162" s="679"/>
      <c r="WLL162" s="679"/>
      <c r="WLM162" s="679"/>
      <c r="WLN162" s="679"/>
      <c r="WLO162" s="679"/>
      <c r="WLP162" s="679"/>
      <c r="WLQ162" s="679"/>
      <c r="WLR162" s="679"/>
      <c r="WLS162" s="679"/>
      <c r="WLT162" s="679"/>
      <c r="WLU162" s="679"/>
      <c r="WLV162" s="679"/>
      <c r="WLW162" s="679"/>
      <c r="WLX162" s="679"/>
      <c r="WLY162" s="679"/>
      <c r="WLZ162" s="679"/>
      <c r="WMA162" s="679"/>
      <c r="WMB162" s="679"/>
      <c r="WMC162" s="679"/>
      <c r="WMD162" s="679"/>
      <c r="WME162" s="679"/>
      <c r="WMF162" s="679"/>
      <c r="WMG162" s="679"/>
      <c r="WMH162" s="679"/>
      <c r="WMI162" s="679"/>
      <c r="WMJ162" s="679"/>
      <c r="WMK162" s="679"/>
      <c r="WML162" s="679"/>
      <c r="WMM162" s="679"/>
      <c r="WMN162" s="679"/>
      <c r="WMO162" s="679"/>
      <c r="WMP162" s="679"/>
      <c r="WMQ162" s="679"/>
      <c r="WMR162" s="679"/>
      <c r="WMS162" s="679"/>
      <c r="WMT162" s="679"/>
      <c r="WMU162" s="679"/>
      <c r="WMV162" s="679"/>
      <c r="WMW162" s="679"/>
      <c r="WMX162" s="679"/>
      <c r="WMY162" s="679"/>
      <c r="WMZ162" s="679"/>
      <c r="WNA162" s="679"/>
      <c r="WNB162" s="679"/>
      <c r="WNC162" s="679"/>
      <c r="WND162" s="679"/>
      <c r="WNE162" s="679"/>
      <c r="WNF162" s="679"/>
      <c r="WNG162" s="679"/>
      <c r="WNH162" s="679"/>
      <c r="WNI162" s="679"/>
      <c r="WNJ162" s="679"/>
      <c r="WNK162" s="679"/>
      <c r="WNL162" s="679"/>
      <c r="WNM162" s="679"/>
      <c r="WNN162" s="679"/>
      <c r="WNO162" s="679"/>
      <c r="WNP162" s="679"/>
      <c r="WNQ162" s="679"/>
      <c r="WNR162" s="679"/>
      <c r="WNS162" s="679"/>
      <c r="WNT162" s="679"/>
      <c r="WNU162" s="679"/>
      <c r="WNV162" s="679"/>
      <c r="WNW162" s="679"/>
      <c r="WNX162" s="679"/>
      <c r="WNY162" s="679"/>
      <c r="WNZ162" s="679"/>
      <c r="WOA162" s="679"/>
      <c r="WOB162" s="679"/>
      <c r="WOC162" s="679"/>
      <c r="WOD162" s="679"/>
      <c r="WOE162" s="679"/>
      <c r="WOF162" s="679"/>
      <c r="WOG162" s="679"/>
      <c r="WOH162" s="679"/>
      <c r="WOI162" s="679"/>
      <c r="WOJ162" s="679"/>
      <c r="WOK162" s="679"/>
      <c r="WOL162" s="679"/>
      <c r="WOM162" s="679"/>
      <c r="WON162" s="679"/>
      <c r="WOO162" s="679"/>
      <c r="WOP162" s="679"/>
      <c r="WOQ162" s="679"/>
      <c r="WOR162" s="679"/>
      <c r="WOS162" s="679"/>
      <c r="WOT162" s="679"/>
      <c r="WOU162" s="679"/>
      <c r="WOV162" s="679"/>
      <c r="WOW162" s="679"/>
      <c r="WOX162" s="679"/>
      <c r="WOY162" s="679"/>
      <c r="WOZ162" s="679"/>
      <c r="WPA162" s="679"/>
      <c r="WPB162" s="679"/>
      <c r="WPC162" s="679"/>
      <c r="WPD162" s="679"/>
      <c r="WPE162" s="679"/>
      <c r="WPF162" s="679"/>
      <c r="WPG162" s="679"/>
      <c r="WPH162" s="679"/>
      <c r="WPI162" s="679"/>
      <c r="WPJ162" s="679"/>
      <c r="WPK162" s="679"/>
      <c r="WPL162" s="679"/>
      <c r="WPM162" s="679"/>
      <c r="WPN162" s="679"/>
      <c r="WPO162" s="679"/>
      <c r="WPP162" s="679"/>
      <c r="WPQ162" s="679"/>
      <c r="WPR162" s="679"/>
      <c r="WPS162" s="679"/>
      <c r="WPT162" s="679"/>
      <c r="WPU162" s="679"/>
      <c r="WPV162" s="679"/>
      <c r="WPW162" s="679"/>
      <c r="WPX162" s="679"/>
      <c r="WPY162" s="679"/>
      <c r="WPZ162" s="679"/>
      <c r="WQA162" s="679"/>
      <c r="WQB162" s="679"/>
      <c r="WQC162" s="679"/>
      <c r="WQD162" s="679"/>
      <c r="WQE162" s="679"/>
      <c r="WQF162" s="679"/>
      <c r="WQG162" s="679"/>
      <c r="WQH162" s="679"/>
      <c r="WQI162" s="679"/>
      <c r="WQJ162" s="679"/>
      <c r="WQK162" s="679"/>
      <c r="WQL162" s="679"/>
      <c r="WQM162" s="679"/>
      <c r="WQN162" s="679"/>
      <c r="WQO162" s="679"/>
      <c r="WQP162" s="679"/>
      <c r="WQQ162" s="679"/>
      <c r="WQR162" s="679"/>
      <c r="WQS162" s="679"/>
      <c r="WQT162" s="679"/>
      <c r="WQU162" s="679"/>
      <c r="WQV162" s="679"/>
      <c r="WQW162" s="679"/>
      <c r="WQX162" s="679"/>
      <c r="WQY162" s="679"/>
      <c r="WQZ162" s="679"/>
      <c r="WRA162" s="679"/>
      <c r="WRB162" s="679"/>
      <c r="WRC162" s="679"/>
      <c r="WRD162" s="679"/>
      <c r="WRE162" s="679"/>
      <c r="WRF162" s="679"/>
      <c r="WRG162" s="679"/>
      <c r="WRH162" s="679"/>
      <c r="WRI162" s="679"/>
      <c r="WRJ162" s="679"/>
      <c r="WRK162" s="679"/>
      <c r="WRL162" s="679"/>
      <c r="WRM162" s="679"/>
      <c r="WRN162" s="679"/>
      <c r="WRO162" s="679"/>
      <c r="WRP162" s="679"/>
      <c r="WRQ162" s="679"/>
      <c r="WRR162" s="679"/>
      <c r="WRS162" s="679"/>
      <c r="WRT162" s="679"/>
      <c r="WRU162" s="679"/>
      <c r="WRV162" s="679"/>
      <c r="WRW162" s="679"/>
      <c r="WRX162" s="679"/>
      <c r="WRY162" s="679"/>
      <c r="WRZ162" s="679"/>
      <c r="WSA162" s="679"/>
      <c r="WSB162" s="679"/>
      <c r="WSC162" s="679"/>
      <c r="WSD162" s="679"/>
      <c r="WSE162" s="679"/>
      <c r="WSF162" s="679"/>
      <c r="WSG162" s="679"/>
      <c r="WSH162" s="679"/>
      <c r="WSI162" s="679"/>
      <c r="WSJ162" s="679"/>
      <c r="WSK162" s="679"/>
      <c r="WSL162" s="679"/>
      <c r="WSM162" s="679"/>
      <c r="WSN162" s="679"/>
      <c r="WSO162" s="679"/>
      <c r="WSP162" s="679"/>
      <c r="WSQ162" s="679"/>
      <c r="WSR162" s="679"/>
      <c r="WSS162" s="679"/>
      <c r="WST162" s="679"/>
      <c r="WSU162" s="679"/>
      <c r="WSV162" s="679"/>
      <c r="WSW162" s="679"/>
      <c r="WSX162" s="679"/>
      <c r="WSY162" s="679"/>
      <c r="WSZ162" s="679"/>
      <c r="WTA162" s="679"/>
      <c r="WTB162" s="679"/>
      <c r="WTC162" s="679"/>
      <c r="WTD162" s="679"/>
      <c r="WTE162" s="679"/>
      <c r="WTF162" s="679"/>
      <c r="WTG162" s="679"/>
      <c r="WTH162" s="679"/>
      <c r="WTI162" s="679"/>
      <c r="WTJ162" s="679"/>
      <c r="WTK162" s="679"/>
      <c r="WTL162" s="679"/>
      <c r="WTM162" s="679"/>
      <c r="WTN162" s="679"/>
      <c r="WTO162" s="679"/>
      <c r="WTP162" s="679"/>
      <c r="WTQ162" s="679"/>
      <c r="WTR162" s="679"/>
      <c r="WTS162" s="679"/>
      <c r="WTT162" s="679"/>
      <c r="WTU162" s="679"/>
      <c r="WTV162" s="679"/>
      <c r="WTW162" s="679"/>
      <c r="WTX162" s="679"/>
      <c r="WTY162" s="679"/>
      <c r="WTZ162" s="679"/>
      <c r="WUA162" s="679"/>
      <c r="WUB162" s="679"/>
      <c r="WUC162" s="679"/>
      <c r="WUD162" s="679"/>
      <c r="WUE162" s="679"/>
      <c r="WUF162" s="679"/>
      <c r="WUG162" s="679"/>
      <c r="WUH162" s="679"/>
      <c r="WUI162" s="679"/>
      <c r="WUJ162" s="679"/>
      <c r="WUK162" s="679"/>
      <c r="WUL162" s="679"/>
      <c r="WUM162" s="679"/>
      <c r="WUN162" s="679"/>
      <c r="WUO162" s="679"/>
      <c r="WUP162" s="679"/>
      <c r="WUQ162" s="679"/>
      <c r="WUR162" s="679"/>
      <c r="WUS162" s="679"/>
      <c r="WUT162" s="679"/>
      <c r="WUU162" s="679"/>
      <c r="WUV162" s="679"/>
      <c r="WUW162" s="679"/>
      <c r="WUX162" s="679"/>
      <c r="WUY162" s="679"/>
      <c r="WUZ162" s="679"/>
      <c r="WVA162" s="679"/>
      <c r="WVB162" s="679"/>
      <c r="WVC162" s="679"/>
      <c r="WVD162" s="679"/>
      <c r="WVE162" s="679"/>
      <c r="WVF162" s="679"/>
      <c r="WVG162" s="679"/>
      <c r="WVH162" s="679"/>
      <c r="WVI162" s="679"/>
      <c r="WVJ162" s="679"/>
      <c r="WVK162" s="679"/>
      <c r="WVL162" s="679"/>
      <c r="WVM162" s="679"/>
      <c r="WVN162" s="679"/>
      <c r="WVO162" s="679"/>
      <c r="WVP162" s="679"/>
      <c r="WVQ162" s="679"/>
      <c r="WVR162" s="679"/>
      <c r="WVS162" s="679"/>
    </row>
    <row r="163" spans="1:16139" s="751" customFormat="1">
      <c r="A163" s="679" t="s">
        <v>970</v>
      </c>
      <c r="B163" s="679" t="s">
        <v>1155</v>
      </c>
      <c r="C163" s="679" t="s">
        <v>1156</v>
      </c>
      <c r="D163" s="679" t="s">
        <v>1147</v>
      </c>
      <c r="E163" s="679" t="s">
        <v>792</v>
      </c>
      <c r="F163" s="679" t="s">
        <v>818</v>
      </c>
      <c r="G163" s="679" t="s">
        <v>1136</v>
      </c>
      <c r="H163" s="679">
        <v>60093</v>
      </c>
      <c r="I163" s="679" t="s">
        <v>1148</v>
      </c>
      <c r="J163" s="679">
        <v>78</v>
      </c>
      <c r="K163" s="679"/>
      <c r="L163" s="679"/>
      <c r="M163" s="679"/>
      <c r="N163" s="679"/>
      <c r="O163" s="679"/>
      <c r="P163" s="679"/>
      <c r="Q163" s="679"/>
      <c r="R163" s="679"/>
      <c r="S163" s="679"/>
      <c r="T163" s="679"/>
      <c r="U163" s="679"/>
      <c r="V163" s="679"/>
      <c r="W163" s="679"/>
      <c r="X163" s="679"/>
      <c r="Y163" s="679"/>
      <c r="Z163" s="679"/>
      <c r="AA163" s="679"/>
      <c r="AB163" s="679"/>
      <c r="AC163" s="679"/>
      <c r="AD163" s="679"/>
      <c r="AE163" s="679"/>
      <c r="AF163" s="679"/>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E163" s="679"/>
      <c r="BF163" s="679"/>
      <c r="BG163" s="679"/>
      <c r="BH163" s="679"/>
      <c r="BI163" s="679"/>
      <c r="BJ163" s="679"/>
      <c r="BK163" s="679"/>
      <c r="BL163" s="679"/>
      <c r="BM163" s="679"/>
      <c r="BN163" s="679"/>
      <c r="BO163" s="679"/>
      <c r="BP163" s="679"/>
      <c r="BQ163" s="679"/>
      <c r="BR163" s="679"/>
      <c r="BS163" s="679"/>
      <c r="BT163" s="679"/>
      <c r="BU163" s="679"/>
      <c r="BV163" s="679"/>
      <c r="BW163" s="679"/>
      <c r="BX163" s="679"/>
      <c r="BY163" s="679"/>
      <c r="BZ163" s="679"/>
      <c r="CA163" s="679"/>
      <c r="CB163" s="679"/>
      <c r="CC163" s="679"/>
      <c r="CD163" s="679"/>
      <c r="CE163" s="679"/>
      <c r="CF163" s="679"/>
      <c r="CG163" s="679"/>
      <c r="CH163" s="679"/>
      <c r="CI163" s="679"/>
      <c r="CJ163" s="679"/>
      <c r="CK163" s="679"/>
      <c r="CL163" s="679"/>
      <c r="CM163" s="679"/>
      <c r="CN163" s="679"/>
      <c r="CO163" s="679"/>
      <c r="CP163" s="679"/>
      <c r="CQ163" s="679"/>
      <c r="CR163" s="679"/>
      <c r="CS163" s="679"/>
      <c r="CT163" s="679"/>
      <c r="CU163" s="679"/>
      <c r="CV163" s="679"/>
      <c r="CW163" s="679"/>
      <c r="CX163" s="679"/>
      <c r="CY163" s="679"/>
      <c r="CZ163" s="679"/>
      <c r="DA163" s="679"/>
      <c r="DB163" s="679"/>
      <c r="DC163" s="679"/>
      <c r="DD163" s="679"/>
      <c r="DE163" s="679"/>
      <c r="DF163" s="679"/>
      <c r="DG163" s="679"/>
      <c r="DH163" s="679"/>
      <c r="DI163" s="679"/>
      <c r="DJ163" s="679"/>
      <c r="DK163" s="679"/>
      <c r="DL163" s="679"/>
      <c r="DM163" s="679"/>
      <c r="DN163" s="679"/>
      <c r="DO163" s="679"/>
      <c r="DP163" s="679"/>
      <c r="DQ163" s="679"/>
      <c r="DR163" s="679"/>
      <c r="DS163" s="679"/>
      <c r="DT163" s="679"/>
      <c r="DU163" s="679"/>
      <c r="DV163" s="679"/>
      <c r="DW163" s="679"/>
      <c r="DX163" s="679"/>
      <c r="DY163" s="679"/>
      <c r="DZ163" s="679"/>
      <c r="EA163" s="679"/>
      <c r="EB163" s="679"/>
      <c r="EC163" s="679"/>
      <c r="ED163" s="679"/>
      <c r="EE163" s="679"/>
      <c r="EF163" s="679"/>
      <c r="EG163" s="679"/>
      <c r="EH163" s="679"/>
      <c r="EI163" s="679"/>
      <c r="EJ163" s="679"/>
      <c r="EK163" s="679"/>
      <c r="EL163" s="679"/>
      <c r="EM163" s="679"/>
      <c r="EN163" s="679"/>
      <c r="EO163" s="679"/>
      <c r="EP163" s="679"/>
      <c r="EQ163" s="679"/>
      <c r="ER163" s="679"/>
      <c r="ES163" s="679"/>
      <c r="ET163" s="679"/>
      <c r="EU163" s="679"/>
      <c r="EV163" s="679"/>
      <c r="EW163" s="679"/>
      <c r="EX163" s="679"/>
      <c r="EY163" s="679"/>
      <c r="EZ163" s="679"/>
      <c r="FA163" s="679"/>
      <c r="FB163" s="679"/>
      <c r="FC163" s="679"/>
      <c r="FD163" s="679"/>
      <c r="FE163" s="679"/>
      <c r="FF163" s="679"/>
      <c r="FG163" s="679"/>
      <c r="FH163" s="679"/>
      <c r="FI163" s="679"/>
      <c r="FJ163" s="679"/>
      <c r="FK163" s="679"/>
      <c r="FL163" s="679"/>
      <c r="FM163" s="679"/>
      <c r="FN163" s="679"/>
      <c r="FO163" s="679"/>
      <c r="FP163" s="679"/>
      <c r="FQ163" s="679"/>
      <c r="FR163" s="679"/>
      <c r="FS163" s="679"/>
      <c r="FT163" s="679"/>
      <c r="FU163" s="679"/>
      <c r="FV163" s="679"/>
      <c r="FW163" s="679"/>
      <c r="FX163" s="679"/>
      <c r="FY163" s="679"/>
      <c r="FZ163" s="679"/>
      <c r="GA163" s="679"/>
      <c r="GB163" s="679"/>
      <c r="GC163" s="679"/>
      <c r="GD163" s="679"/>
      <c r="GE163" s="679"/>
      <c r="GF163" s="679"/>
      <c r="GG163" s="679"/>
      <c r="GH163" s="679"/>
      <c r="GI163" s="679"/>
      <c r="GJ163" s="679"/>
      <c r="GK163" s="679"/>
      <c r="GL163" s="679"/>
      <c r="GM163" s="679"/>
      <c r="GN163" s="679"/>
      <c r="GO163" s="679"/>
      <c r="GP163" s="679"/>
      <c r="GQ163" s="679"/>
      <c r="GR163" s="679"/>
      <c r="GS163" s="679"/>
      <c r="GT163" s="679"/>
      <c r="GU163" s="679"/>
      <c r="GV163" s="679"/>
      <c r="GW163" s="679"/>
      <c r="GX163" s="679"/>
      <c r="GY163" s="679"/>
      <c r="GZ163" s="679"/>
      <c r="HA163" s="679"/>
      <c r="HB163" s="679"/>
      <c r="HC163" s="679"/>
      <c r="HD163" s="679"/>
      <c r="HE163" s="679"/>
      <c r="HF163" s="679"/>
      <c r="HG163" s="679"/>
      <c r="HH163" s="679"/>
      <c r="HI163" s="679"/>
      <c r="HJ163" s="679"/>
      <c r="HK163" s="679"/>
      <c r="HL163" s="679"/>
      <c r="HM163" s="679"/>
      <c r="HN163" s="679"/>
      <c r="HO163" s="679"/>
      <c r="HP163" s="679"/>
      <c r="HQ163" s="679"/>
      <c r="HR163" s="679"/>
      <c r="HS163" s="679"/>
      <c r="HT163" s="679"/>
      <c r="HU163" s="679"/>
      <c r="HV163" s="679"/>
      <c r="HW163" s="679"/>
      <c r="HX163" s="679"/>
      <c r="HY163" s="679"/>
      <c r="HZ163" s="679"/>
      <c r="IA163" s="679"/>
      <c r="IB163" s="679"/>
      <c r="IC163" s="679"/>
      <c r="ID163" s="679"/>
      <c r="IE163" s="679"/>
      <c r="IF163" s="679"/>
      <c r="IG163" s="679"/>
      <c r="IH163" s="679"/>
      <c r="II163" s="679"/>
      <c r="IJ163" s="679"/>
      <c r="IK163" s="679"/>
      <c r="IL163" s="679"/>
      <c r="IM163" s="679"/>
      <c r="IN163" s="679"/>
      <c r="IO163" s="679"/>
      <c r="IP163" s="679"/>
      <c r="IQ163" s="679"/>
      <c r="IR163" s="679"/>
      <c r="IS163" s="679"/>
      <c r="IT163" s="679"/>
      <c r="IU163" s="679"/>
      <c r="IV163" s="679"/>
      <c r="IW163" s="679"/>
      <c r="IX163" s="679"/>
      <c r="IY163" s="679"/>
      <c r="IZ163" s="679"/>
      <c r="JA163" s="679"/>
      <c r="JB163" s="679"/>
      <c r="JC163" s="679"/>
      <c r="JD163" s="679"/>
      <c r="JE163" s="679"/>
      <c r="JF163" s="679"/>
      <c r="JG163" s="679"/>
      <c r="JH163" s="679"/>
      <c r="JI163" s="679"/>
      <c r="JJ163" s="679"/>
      <c r="JK163" s="679"/>
      <c r="JL163" s="679"/>
      <c r="JM163" s="679"/>
      <c r="JN163" s="679"/>
      <c r="JO163" s="679"/>
      <c r="JP163" s="679"/>
      <c r="JQ163" s="679"/>
      <c r="JR163" s="679"/>
      <c r="JS163" s="679"/>
      <c r="JT163" s="679"/>
      <c r="JU163" s="679"/>
      <c r="JV163" s="679"/>
      <c r="JW163" s="679"/>
      <c r="JX163" s="679"/>
      <c r="JY163" s="679"/>
      <c r="JZ163" s="679"/>
      <c r="KA163" s="679"/>
      <c r="KB163" s="679"/>
      <c r="KC163" s="679"/>
      <c r="KD163" s="679"/>
      <c r="KE163" s="679"/>
      <c r="KF163" s="679"/>
      <c r="KG163" s="679"/>
      <c r="KH163" s="679"/>
      <c r="KI163" s="679"/>
      <c r="KJ163" s="679"/>
      <c r="KK163" s="679"/>
      <c r="KL163" s="679"/>
      <c r="KM163" s="679"/>
      <c r="KN163" s="679"/>
      <c r="KO163" s="679"/>
      <c r="KP163" s="679"/>
      <c r="KQ163" s="679"/>
      <c r="KR163" s="679"/>
      <c r="KS163" s="679"/>
      <c r="KT163" s="679"/>
      <c r="KU163" s="679"/>
      <c r="KV163" s="679"/>
      <c r="KW163" s="679"/>
      <c r="KX163" s="679"/>
      <c r="KY163" s="679"/>
      <c r="KZ163" s="679"/>
      <c r="LA163" s="679"/>
      <c r="LB163" s="679"/>
      <c r="LC163" s="679"/>
      <c r="LD163" s="679"/>
      <c r="LE163" s="679"/>
      <c r="LF163" s="679"/>
      <c r="LG163" s="679"/>
      <c r="LH163" s="679"/>
      <c r="LI163" s="679"/>
      <c r="LJ163" s="679"/>
      <c r="LK163" s="679"/>
      <c r="LL163" s="679"/>
      <c r="LM163" s="679"/>
      <c r="LN163" s="679"/>
      <c r="LO163" s="679"/>
      <c r="LP163" s="679"/>
      <c r="LQ163" s="679"/>
      <c r="LR163" s="679"/>
      <c r="LS163" s="679"/>
      <c r="LT163" s="679"/>
      <c r="LU163" s="679"/>
      <c r="LV163" s="679"/>
      <c r="LW163" s="679"/>
      <c r="LX163" s="679"/>
      <c r="LY163" s="679"/>
      <c r="LZ163" s="679"/>
      <c r="MA163" s="679"/>
      <c r="MB163" s="679"/>
      <c r="MC163" s="679"/>
      <c r="MD163" s="679"/>
      <c r="ME163" s="679"/>
      <c r="MF163" s="679"/>
      <c r="MG163" s="679"/>
      <c r="MH163" s="679"/>
      <c r="MI163" s="679"/>
      <c r="MJ163" s="679"/>
      <c r="MK163" s="679"/>
      <c r="ML163" s="679"/>
      <c r="MM163" s="679"/>
      <c r="MN163" s="679"/>
      <c r="MO163" s="679"/>
      <c r="MP163" s="679"/>
      <c r="MQ163" s="679"/>
      <c r="MR163" s="679"/>
      <c r="MS163" s="679"/>
      <c r="MT163" s="679"/>
      <c r="MU163" s="679"/>
      <c r="MV163" s="679"/>
      <c r="MW163" s="679"/>
      <c r="MX163" s="679"/>
      <c r="MY163" s="679"/>
      <c r="MZ163" s="679"/>
      <c r="NA163" s="679"/>
      <c r="NB163" s="679"/>
      <c r="NC163" s="679"/>
      <c r="ND163" s="679"/>
      <c r="NE163" s="679"/>
      <c r="NF163" s="679"/>
      <c r="NG163" s="679"/>
      <c r="NH163" s="679"/>
      <c r="NI163" s="679"/>
      <c r="NJ163" s="679"/>
      <c r="NK163" s="679"/>
      <c r="NL163" s="679"/>
      <c r="NM163" s="679"/>
      <c r="NN163" s="679"/>
      <c r="NO163" s="679"/>
      <c r="NP163" s="679"/>
      <c r="NQ163" s="679"/>
      <c r="NR163" s="679"/>
      <c r="NS163" s="679"/>
      <c r="NT163" s="679"/>
      <c r="NU163" s="679"/>
      <c r="NV163" s="679"/>
      <c r="NW163" s="679"/>
      <c r="NX163" s="679"/>
      <c r="NY163" s="679"/>
      <c r="NZ163" s="679"/>
      <c r="OA163" s="679"/>
      <c r="OB163" s="679"/>
      <c r="OC163" s="679"/>
      <c r="OD163" s="679"/>
      <c r="OE163" s="679"/>
      <c r="OF163" s="679"/>
      <c r="OG163" s="679"/>
      <c r="OH163" s="679"/>
      <c r="OI163" s="679"/>
      <c r="OJ163" s="679"/>
      <c r="OK163" s="679"/>
      <c r="OL163" s="679"/>
      <c r="OM163" s="679"/>
      <c r="ON163" s="679"/>
      <c r="OO163" s="679"/>
      <c r="OP163" s="679"/>
      <c r="OQ163" s="679"/>
      <c r="OR163" s="679"/>
      <c r="OS163" s="679"/>
      <c r="OT163" s="679"/>
      <c r="OU163" s="679"/>
      <c r="OV163" s="679"/>
      <c r="OW163" s="679"/>
      <c r="OX163" s="679"/>
      <c r="OY163" s="679"/>
      <c r="OZ163" s="679"/>
      <c r="PA163" s="679"/>
      <c r="PB163" s="679"/>
      <c r="PC163" s="679"/>
      <c r="PD163" s="679"/>
      <c r="PE163" s="679"/>
      <c r="PF163" s="679"/>
      <c r="PG163" s="679"/>
      <c r="PH163" s="679"/>
      <c r="PI163" s="679"/>
      <c r="PJ163" s="679"/>
      <c r="PK163" s="679"/>
      <c r="PL163" s="679"/>
      <c r="PM163" s="679"/>
      <c r="PN163" s="679"/>
      <c r="PO163" s="679"/>
      <c r="PP163" s="679"/>
      <c r="PQ163" s="679"/>
      <c r="PR163" s="679"/>
      <c r="PS163" s="679"/>
      <c r="PT163" s="679"/>
      <c r="PU163" s="679"/>
      <c r="PV163" s="679"/>
      <c r="PW163" s="679"/>
      <c r="PX163" s="679"/>
      <c r="PY163" s="679"/>
      <c r="PZ163" s="679"/>
      <c r="QA163" s="679"/>
      <c r="QB163" s="679"/>
      <c r="QC163" s="679"/>
      <c r="QD163" s="679"/>
      <c r="QE163" s="679"/>
      <c r="QF163" s="679"/>
      <c r="QG163" s="679"/>
      <c r="QH163" s="679"/>
      <c r="QI163" s="679"/>
      <c r="QJ163" s="679"/>
      <c r="QK163" s="679"/>
      <c r="QL163" s="679"/>
      <c r="QM163" s="679"/>
      <c r="QN163" s="679"/>
      <c r="QO163" s="679"/>
      <c r="QP163" s="679"/>
      <c r="QQ163" s="679"/>
      <c r="QR163" s="679"/>
      <c r="QS163" s="679"/>
      <c r="QT163" s="679"/>
      <c r="QU163" s="679"/>
      <c r="QV163" s="679"/>
      <c r="QW163" s="679"/>
      <c r="QX163" s="679"/>
      <c r="QY163" s="679"/>
      <c r="QZ163" s="679"/>
      <c r="RA163" s="679"/>
      <c r="RB163" s="679"/>
      <c r="RC163" s="679"/>
      <c r="RD163" s="679"/>
      <c r="RE163" s="679"/>
      <c r="RF163" s="679"/>
      <c r="RG163" s="679"/>
      <c r="RH163" s="679"/>
      <c r="RI163" s="679"/>
      <c r="RJ163" s="679"/>
      <c r="RK163" s="679"/>
      <c r="RL163" s="679"/>
      <c r="RM163" s="679"/>
      <c r="RN163" s="679"/>
      <c r="RO163" s="679"/>
      <c r="RP163" s="679"/>
      <c r="RQ163" s="679"/>
      <c r="RR163" s="679"/>
      <c r="RS163" s="679"/>
      <c r="RT163" s="679"/>
      <c r="RU163" s="679"/>
      <c r="RV163" s="679"/>
      <c r="RW163" s="679"/>
      <c r="RX163" s="679"/>
      <c r="RY163" s="679"/>
      <c r="RZ163" s="679"/>
      <c r="SA163" s="679"/>
      <c r="SB163" s="679"/>
      <c r="SC163" s="679"/>
      <c r="SD163" s="679"/>
      <c r="SE163" s="679"/>
      <c r="SF163" s="679"/>
      <c r="SG163" s="679"/>
      <c r="SH163" s="679"/>
      <c r="SI163" s="679"/>
      <c r="SJ163" s="679"/>
      <c r="SK163" s="679"/>
      <c r="SL163" s="679"/>
      <c r="SM163" s="679"/>
      <c r="SN163" s="679"/>
      <c r="SO163" s="679"/>
      <c r="SP163" s="679"/>
      <c r="SQ163" s="679"/>
      <c r="SR163" s="679"/>
      <c r="SS163" s="679"/>
      <c r="ST163" s="679"/>
      <c r="SU163" s="679"/>
      <c r="SV163" s="679"/>
      <c r="SW163" s="679"/>
      <c r="SX163" s="679"/>
      <c r="SY163" s="679"/>
      <c r="SZ163" s="679"/>
      <c r="TA163" s="679"/>
      <c r="TB163" s="679"/>
      <c r="TC163" s="679"/>
      <c r="TD163" s="679"/>
      <c r="TE163" s="679"/>
      <c r="TF163" s="679"/>
      <c r="TG163" s="679"/>
      <c r="TH163" s="679"/>
      <c r="TI163" s="679"/>
      <c r="TJ163" s="679"/>
      <c r="TK163" s="679"/>
      <c r="TL163" s="679"/>
      <c r="TM163" s="679"/>
      <c r="TN163" s="679"/>
      <c r="TO163" s="679"/>
      <c r="TP163" s="679"/>
      <c r="TQ163" s="679"/>
      <c r="TR163" s="679"/>
      <c r="TS163" s="679"/>
      <c r="TT163" s="679"/>
      <c r="TU163" s="679"/>
      <c r="TV163" s="679"/>
      <c r="TW163" s="679"/>
      <c r="TX163" s="679"/>
      <c r="TY163" s="679"/>
      <c r="TZ163" s="679"/>
      <c r="UA163" s="679"/>
      <c r="UB163" s="679"/>
      <c r="UC163" s="679"/>
      <c r="UD163" s="679"/>
      <c r="UE163" s="679"/>
      <c r="UF163" s="679"/>
      <c r="UG163" s="679"/>
      <c r="UH163" s="679"/>
      <c r="UI163" s="679"/>
      <c r="UJ163" s="679"/>
      <c r="UK163" s="679"/>
      <c r="UL163" s="679"/>
      <c r="UM163" s="679"/>
      <c r="UN163" s="679"/>
      <c r="UO163" s="679"/>
      <c r="UP163" s="679"/>
      <c r="UQ163" s="679"/>
      <c r="UR163" s="679"/>
      <c r="US163" s="679"/>
      <c r="UT163" s="679"/>
      <c r="UU163" s="679"/>
      <c r="UV163" s="679"/>
      <c r="UW163" s="679"/>
      <c r="UX163" s="679"/>
      <c r="UY163" s="679"/>
      <c r="UZ163" s="679"/>
      <c r="VA163" s="679"/>
      <c r="VB163" s="679"/>
      <c r="VC163" s="679"/>
      <c r="VD163" s="679"/>
      <c r="VE163" s="679"/>
      <c r="VF163" s="679"/>
      <c r="VG163" s="679"/>
      <c r="VH163" s="679"/>
      <c r="VI163" s="679"/>
      <c r="VJ163" s="679"/>
      <c r="VK163" s="679"/>
      <c r="VL163" s="679"/>
      <c r="VM163" s="679"/>
      <c r="VN163" s="679"/>
      <c r="VO163" s="679"/>
      <c r="VP163" s="679"/>
      <c r="VQ163" s="679"/>
      <c r="VR163" s="679"/>
      <c r="VS163" s="679"/>
      <c r="VT163" s="679"/>
      <c r="VU163" s="679"/>
      <c r="VV163" s="679"/>
      <c r="VW163" s="679"/>
      <c r="VX163" s="679"/>
      <c r="VY163" s="679"/>
      <c r="VZ163" s="679"/>
      <c r="WA163" s="679"/>
      <c r="WB163" s="679"/>
      <c r="WC163" s="679"/>
      <c r="WD163" s="679"/>
      <c r="WE163" s="679"/>
      <c r="WF163" s="679"/>
      <c r="WG163" s="679"/>
      <c r="WH163" s="679"/>
      <c r="WI163" s="679"/>
      <c r="WJ163" s="679"/>
      <c r="WK163" s="679"/>
      <c r="WL163" s="679"/>
      <c r="WM163" s="679"/>
      <c r="WN163" s="679"/>
      <c r="WO163" s="679"/>
      <c r="WP163" s="679"/>
      <c r="WQ163" s="679"/>
      <c r="WR163" s="679"/>
      <c r="WS163" s="679"/>
      <c r="WT163" s="679"/>
      <c r="WU163" s="679"/>
      <c r="WV163" s="679"/>
      <c r="WW163" s="679"/>
      <c r="WX163" s="679"/>
      <c r="WY163" s="679"/>
      <c r="WZ163" s="679"/>
      <c r="XA163" s="679"/>
      <c r="XB163" s="679"/>
      <c r="XC163" s="679"/>
      <c r="XD163" s="679"/>
      <c r="XE163" s="679"/>
      <c r="XF163" s="679"/>
      <c r="XG163" s="679"/>
      <c r="XH163" s="679"/>
      <c r="XI163" s="679"/>
      <c r="XJ163" s="679"/>
      <c r="XK163" s="679"/>
      <c r="XL163" s="679"/>
      <c r="XM163" s="679"/>
      <c r="XN163" s="679"/>
      <c r="XO163" s="679"/>
      <c r="XP163" s="679"/>
      <c r="XQ163" s="679"/>
      <c r="XR163" s="679"/>
      <c r="XS163" s="679"/>
      <c r="XT163" s="679"/>
      <c r="XU163" s="679"/>
      <c r="XV163" s="679"/>
      <c r="XW163" s="679"/>
      <c r="XX163" s="679"/>
      <c r="XY163" s="679"/>
      <c r="XZ163" s="679"/>
      <c r="YA163" s="679"/>
      <c r="YB163" s="679"/>
      <c r="YC163" s="679"/>
      <c r="YD163" s="679"/>
      <c r="YE163" s="679"/>
      <c r="YF163" s="679"/>
      <c r="YG163" s="679"/>
      <c r="YH163" s="679"/>
      <c r="YI163" s="679"/>
      <c r="YJ163" s="679"/>
      <c r="YK163" s="679"/>
      <c r="YL163" s="679"/>
      <c r="YM163" s="679"/>
      <c r="YN163" s="679"/>
      <c r="YO163" s="679"/>
      <c r="YP163" s="679"/>
      <c r="YQ163" s="679"/>
      <c r="YR163" s="679"/>
      <c r="YS163" s="679"/>
      <c r="YT163" s="679"/>
      <c r="YU163" s="679"/>
      <c r="YV163" s="679"/>
      <c r="YW163" s="679"/>
      <c r="YX163" s="679"/>
      <c r="YY163" s="679"/>
      <c r="YZ163" s="679"/>
      <c r="ZA163" s="679"/>
      <c r="ZB163" s="679"/>
      <c r="ZC163" s="679"/>
      <c r="ZD163" s="679"/>
      <c r="ZE163" s="679"/>
      <c r="ZF163" s="679"/>
      <c r="ZG163" s="679"/>
      <c r="ZH163" s="679"/>
      <c r="ZI163" s="679"/>
      <c r="ZJ163" s="679"/>
      <c r="ZK163" s="679"/>
      <c r="ZL163" s="679"/>
      <c r="ZM163" s="679"/>
      <c r="ZN163" s="679"/>
      <c r="ZO163" s="679"/>
      <c r="ZP163" s="679"/>
      <c r="ZQ163" s="679"/>
      <c r="ZR163" s="679"/>
      <c r="ZS163" s="679"/>
      <c r="ZT163" s="679"/>
      <c r="ZU163" s="679"/>
      <c r="ZV163" s="679"/>
      <c r="ZW163" s="679"/>
      <c r="ZX163" s="679"/>
      <c r="ZY163" s="679"/>
      <c r="ZZ163" s="679"/>
      <c r="AAA163" s="679"/>
      <c r="AAB163" s="679"/>
      <c r="AAC163" s="679"/>
      <c r="AAD163" s="679"/>
      <c r="AAE163" s="679"/>
      <c r="AAF163" s="679"/>
      <c r="AAG163" s="679"/>
      <c r="AAH163" s="679"/>
      <c r="AAI163" s="679"/>
      <c r="AAJ163" s="679"/>
      <c r="AAK163" s="679"/>
      <c r="AAL163" s="679"/>
      <c r="AAM163" s="679"/>
      <c r="AAN163" s="679"/>
      <c r="AAO163" s="679"/>
      <c r="AAP163" s="679"/>
      <c r="AAQ163" s="679"/>
      <c r="AAR163" s="679"/>
      <c r="AAS163" s="679"/>
      <c r="AAT163" s="679"/>
      <c r="AAU163" s="679"/>
      <c r="AAV163" s="679"/>
      <c r="AAW163" s="679"/>
      <c r="AAX163" s="679"/>
      <c r="AAY163" s="679"/>
      <c r="AAZ163" s="679"/>
      <c r="ABA163" s="679"/>
      <c r="ABB163" s="679"/>
      <c r="ABC163" s="679"/>
      <c r="ABD163" s="679"/>
      <c r="ABE163" s="679"/>
      <c r="ABF163" s="679"/>
      <c r="ABG163" s="679"/>
      <c r="ABH163" s="679"/>
      <c r="ABI163" s="679"/>
      <c r="ABJ163" s="679"/>
      <c r="ABK163" s="679"/>
      <c r="ABL163" s="679"/>
      <c r="ABM163" s="679"/>
      <c r="ABN163" s="679"/>
      <c r="ABO163" s="679"/>
      <c r="ABP163" s="679"/>
      <c r="ABQ163" s="679"/>
      <c r="ABR163" s="679"/>
      <c r="ABS163" s="679"/>
      <c r="ABT163" s="679"/>
      <c r="ABU163" s="679"/>
      <c r="ABV163" s="679"/>
      <c r="ABW163" s="679"/>
      <c r="ABX163" s="679"/>
      <c r="ABY163" s="679"/>
      <c r="ABZ163" s="679"/>
      <c r="ACA163" s="679"/>
      <c r="ACB163" s="679"/>
      <c r="ACC163" s="679"/>
      <c r="ACD163" s="679"/>
      <c r="ACE163" s="679"/>
      <c r="ACF163" s="679"/>
      <c r="ACG163" s="679"/>
      <c r="ACH163" s="679"/>
      <c r="ACI163" s="679"/>
      <c r="ACJ163" s="679"/>
      <c r="ACK163" s="679"/>
      <c r="ACL163" s="679"/>
      <c r="ACM163" s="679"/>
      <c r="ACN163" s="679"/>
      <c r="ACO163" s="679"/>
      <c r="ACP163" s="679"/>
      <c r="ACQ163" s="679"/>
      <c r="ACR163" s="679"/>
      <c r="ACS163" s="679"/>
      <c r="ACT163" s="679"/>
      <c r="ACU163" s="679"/>
      <c r="ACV163" s="679"/>
      <c r="ACW163" s="679"/>
      <c r="ACX163" s="679"/>
      <c r="ACY163" s="679"/>
      <c r="ACZ163" s="679"/>
      <c r="ADA163" s="679"/>
      <c r="ADB163" s="679"/>
      <c r="ADC163" s="679"/>
      <c r="ADD163" s="679"/>
      <c r="ADE163" s="679"/>
      <c r="ADF163" s="679"/>
      <c r="ADG163" s="679"/>
      <c r="ADH163" s="679"/>
      <c r="ADI163" s="679"/>
      <c r="ADJ163" s="679"/>
      <c r="ADK163" s="679"/>
      <c r="ADL163" s="679"/>
      <c r="ADM163" s="679"/>
      <c r="ADN163" s="679"/>
      <c r="ADO163" s="679"/>
      <c r="ADP163" s="679"/>
      <c r="ADQ163" s="679"/>
      <c r="ADR163" s="679"/>
      <c r="ADS163" s="679"/>
      <c r="ADT163" s="679"/>
      <c r="ADU163" s="679"/>
      <c r="ADV163" s="679"/>
      <c r="ADW163" s="679"/>
      <c r="ADX163" s="679"/>
      <c r="ADY163" s="679"/>
      <c r="ADZ163" s="679"/>
      <c r="AEA163" s="679"/>
      <c r="AEB163" s="679"/>
      <c r="AEC163" s="679"/>
      <c r="AED163" s="679"/>
      <c r="AEE163" s="679"/>
      <c r="AEF163" s="679"/>
      <c r="AEG163" s="679"/>
      <c r="AEH163" s="679"/>
      <c r="AEI163" s="679"/>
      <c r="AEJ163" s="679"/>
      <c r="AEK163" s="679"/>
      <c r="AEL163" s="679"/>
      <c r="AEM163" s="679"/>
      <c r="AEN163" s="679"/>
      <c r="AEO163" s="679"/>
      <c r="AEP163" s="679"/>
      <c r="AEQ163" s="679"/>
      <c r="AER163" s="679"/>
      <c r="AES163" s="679"/>
      <c r="AET163" s="679"/>
      <c r="AEU163" s="679"/>
      <c r="AEV163" s="679"/>
      <c r="AEW163" s="679"/>
      <c r="AEX163" s="679"/>
      <c r="AEY163" s="679"/>
      <c r="AEZ163" s="679"/>
      <c r="AFA163" s="679"/>
      <c r="AFB163" s="679"/>
      <c r="AFC163" s="679"/>
      <c r="AFD163" s="679"/>
      <c r="AFE163" s="679"/>
      <c r="AFF163" s="679"/>
      <c r="AFG163" s="679"/>
      <c r="AFH163" s="679"/>
      <c r="AFI163" s="679"/>
      <c r="AFJ163" s="679"/>
      <c r="AFK163" s="679"/>
      <c r="AFL163" s="679"/>
      <c r="AFM163" s="679"/>
      <c r="AFN163" s="679"/>
      <c r="AFO163" s="679"/>
      <c r="AFP163" s="679"/>
      <c r="AFQ163" s="679"/>
      <c r="AFR163" s="679"/>
      <c r="AFS163" s="679"/>
      <c r="AFT163" s="679"/>
      <c r="AFU163" s="679"/>
      <c r="AFV163" s="679"/>
      <c r="AFW163" s="679"/>
      <c r="AFX163" s="679"/>
      <c r="AFY163" s="679"/>
      <c r="AFZ163" s="679"/>
      <c r="AGA163" s="679"/>
      <c r="AGB163" s="679"/>
      <c r="AGC163" s="679"/>
      <c r="AGD163" s="679"/>
      <c r="AGE163" s="679"/>
      <c r="AGF163" s="679"/>
      <c r="AGG163" s="679"/>
      <c r="AGH163" s="679"/>
      <c r="AGI163" s="679"/>
      <c r="AGJ163" s="679"/>
      <c r="AGK163" s="679"/>
      <c r="AGL163" s="679"/>
      <c r="AGM163" s="679"/>
      <c r="AGN163" s="679"/>
      <c r="AGO163" s="679"/>
      <c r="AGP163" s="679"/>
      <c r="AGQ163" s="679"/>
      <c r="AGR163" s="679"/>
      <c r="AGS163" s="679"/>
      <c r="AGT163" s="679"/>
      <c r="AGU163" s="679"/>
      <c r="AGV163" s="679"/>
      <c r="AGW163" s="679"/>
      <c r="AGX163" s="679"/>
      <c r="AGY163" s="679"/>
      <c r="AGZ163" s="679"/>
      <c r="AHA163" s="679"/>
      <c r="AHB163" s="679"/>
      <c r="AHC163" s="679"/>
      <c r="AHD163" s="679"/>
      <c r="AHE163" s="679"/>
      <c r="AHF163" s="679"/>
      <c r="AHG163" s="679"/>
      <c r="AHH163" s="679"/>
      <c r="AHI163" s="679"/>
      <c r="AHJ163" s="679"/>
      <c r="AHK163" s="679"/>
      <c r="AHL163" s="679"/>
      <c r="AHM163" s="679"/>
      <c r="AHN163" s="679"/>
      <c r="AHO163" s="679"/>
      <c r="AHP163" s="679"/>
      <c r="AHQ163" s="679"/>
      <c r="AHR163" s="679"/>
      <c r="AHS163" s="679"/>
      <c r="AHT163" s="679"/>
      <c r="AHU163" s="679"/>
      <c r="AHV163" s="679"/>
      <c r="AHW163" s="679"/>
      <c r="AHX163" s="679"/>
      <c r="AHY163" s="679"/>
      <c r="AHZ163" s="679"/>
      <c r="AIA163" s="679"/>
      <c r="AIB163" s="679"/>
      <c r="AIC163" s="679"/>
      <c r="AID163" s="679"/>
      <c r="AIE163" s="679"/>
      <c r="AIF163" s="679"/>
      <c r="AIG163" s="679"/>
      <c r="AIH163" s="679"/>
      <c r="AII163" s="679"/>
      <c r="AIJ163" s="679"/>
      <c r="AIK163" s="679"/>
      <c r="AIL163" s="679"/>
      <c r="AIM163" s="679"/>
      <c r="AIN163" s="679"/>
      <c r="AIO163" s="679"/>
      <c r="AIP163" s="679"/>
      <c r="AIQ163" s="679"/>
      <c r="AIR163" s="679"/>
      <c r="AIS163" s="679"/>
      <c r="AIT163" s="679"/>
      <c r="AIU163" s="679"/>
      <c r="AIV163" s="679"/>
      <c r="AIW163" s="679"/>
      <c r="AIX163" s="679"/>
      <c r="AIY163" s="679"/>
      <c r="AIZ163" s="679"/>
      <c r="AJA163" s="679"/>
      <c r="AJB163" s="679"/>
      <c r="AJC163" s="679"/>
      <c r="AJD163" s="679"/>
      <c r="AJE163" s="679"/>
      <c r="AJF163" s="679"/>
      <c r="AJG163" s="679"/>
      <c r="AJH163" s="679"/>
      <c r="AJI163" s="679"/>
      <c r="AJJ163" s="679"/>
      <c r="AJK163" s="679"/>
      <c r="AJL163" s="679"/>
      <c r="AJM163" s="679"/>
      <c r="AJN163" s="679"/>
      <c r="AJO163" s="679"/>
      <c r="AJP163" s="679"/>
      <c r="AJQ163" s="679"/>
      <c r="AJR163" s="679"/>
      <c r="AJS163" s="679"/>
      <c r="AJT163" s="679"/>
      <c r="AJU163" s="679"/>
      <c r="AJV163" s="679"/>
      <c r="AJW163" s="679"/>
      <c r="AJX163" s="679"/>
      <c r="AJY163" s="679"/>
      <c r="AJZ163" s="679"/>
      <c r="AKA163" s="679"/>
      <c r="AKB163" s="679"/>
      <c r="AKC163" s="679"/>
      <c r="AKD163" s="679"/>
      <c r="AKE163" s="679"/>
      <c r="AKF163" s="679"/>
      <c r="AKG163" s="679"/>
      <c r="AKH163" s="679"/>
      <c r="AKI163" s="679"/>
      <c r="AKJ163" s="679"/>
      <c r="AKK163" s="679"/>
      <c r="AKL163" s="679"/>
      <c r="AKM163" s="679"/>
      <c r="AKN163" s="679"/>
      <c r="AKO163" s="679"/>
      <c r="AKP163" s="679"/>
      <c r="AKQ163" s="679"/>
      <c r="AKR163" s="679"/>
      <c r="AKS163" s="679"/>
      <c r="AKT163" s="679"/>
      <c r="AKU163" s="679"/>
      <c r="AKV163" s="679"/>
      <c r="AKW163" s="679"/>
      <c r="AKX163" s="679"/>
      <c r="AKY163" s="679"/>
      <c r="AKZ163" s="679"/>
      <c r="ALA163" s="679"/>
      <c r="ALB163" s="679"/>
      <c r="ALC163" s="679"/>
      <c r="ALD163" s="679"/>
      <c r="ALE163" s="679"/>
      <c r="ALF163" s="679"/>
      <c r="ALG163" s="679"/>
      <c r="ALH163" s="679"/>
      <c r="ALI163" s="679"/>
      <c r="ALJ163" s="679"/>
      <c r="ALK163" s="679"/>
      <c r="ALL163" s="679"/>
      <c r="ALM163" s="679"/>
      <c r="ALN163" s="679"/>
      <c r="ALO163" s="679"/>
      <c r="ALP163" s="679"/>
      <c r="ALQ163" s="679"/>
      <c r="ALR163" s="679"/>
      <c r="ALS163" s="679"/>
      <c r="ALT163" s="679"/>
      <c r="ALU163" s="679"/>
      <c r="ALV163" s="679"/>
      <c r="ALW163" s="679"/>
      <c r="ALX163" s="679"/>
      <c r="ALY163" s="679"/>
      <c r="ALZ163" s="679"/>
      <c r="AMA163" s="679"/>
      <c r="AMB163" s="679"/>
      <c r="AMC163" s="679"/>
      <c r="AMD163" s="679"/>
      <c r="AME163" s="679"/>
      <c r="AMF163" s="679"/>
      <c r="AMG163" s="679"/>
      <c r="AMH163" s="679"/>
      <c r="AMI163" s="679"/>
      <c r="AMJ163" s="679"/>
      <c r="AMK163" s="679"/>
      <c r="AML163" s="679"/>
      <c r="AMM163" s="679"/>
      <c r="AMN163" s="679"/>
      <c r="AMO163" s="679"/>
      <c r="AMP163" s="679"/>
      <c r="AMQ163" s="679"/>
      <c r="AMR163" s="679"/>
      <c r="AMS163" s="679"/>
      <c r="AMT163" s="679"/>
      <c r="AMU163" s="679"/>
      <c r="AMV163" s="679"/>
      <c r="AMW163" s="679"/>
      <c r="AMX163" s="679"/>
      <c r="AMY163" s="679"/>
      <c r="AMZ163" s="679"/>
      <c r="ANA163" s="679"/>
      <c r="ANB163" s="679"/>
      <c r="ANC163" s="679"/>
      <c r="AND163" s="679"/>
      <c r="ANE163" s="679"/>
      <c r="ANF163" s="679"/>
      <c r="ANG163" s="679"/>
      <c r="ANH163" s="679"/>
      <c r="ANI163" s="679"/>
      <c r="ANJ163" s="679"/>
      <c r="ANK163" s="679"/>
      <c r="ANL163" s="679"/>
      <c r="ANM163" s="679"/>
      <c r="ANN163" s="679"/>
      <c r="ANO163" s="679"/>
      <c r="ANP163" s="679"/>
      <c r="ANQ163" s="679"/>
      <c r="ANR163" s="679"/>
      <c r="ANS163" s="679"/>
      <c r="ANT163" s="679"/>
      <c r="ANU163" s="679"/>
      <c r="ANV163" s="679"/>
      <c r="ANW163" s="679"/>
      <c r="ANX163" s="679"/>
      <c r="ANY163" s="679"/>
      <c r="ANZ163" s="679"/>
      <c r="AOA163" s="679"/>
      <c r="AOB163" s="679"/>
      <c r="AOC163" s="679"/>
      <c r="AOD163" s="679"/>
      <c r="AOE163" s="679"/>
      <c r="AOF163" s="679"/>
      <c r="AOG163" s="679"/>
      <c r="AOH163" s="679"/>
      <c r="AOI163" s="679"/>
      <c r="AOJ163" s="679"/>
      <c r="AOK163" s="679"/>
      <c r="AOL163" s="679"/>
      <c r="AOM163" s="679"/>
      <c r="AON163" s="679"/>
      <c r="AOO163" s="679"/>
      <c r="AOP163" s="679"/>
      <c r="AOQ163" s="679"/>
      <c r="AOR163" s="679"/>
      <c r="AOS163" s="679"/>
      <c r="AOT163" s="679"/>
      <c r="AOU163" s="679"/>
      <c r="AOV163" s="679"/>
      <c r="AOW163" s="679"/>
      <c r="AOX163" s="679"/>
      <c r="AOY163" s="679"/>
      <c r="AOZ163" s="679"/>
      <c r="APA163" s="679"/>
      <c r="APB163" s="679"/>
      <c r="APC163" s="679"/>
      <c r="APD163" s="679"/>
      <c r="APE163" s="679"/>
      <c r="APF163" s="679"/>
      <c r="APG163" s="679"/>
      <c r="APH163" s="679"/>
      <c r="API163" s="679"/>
      <c r="APJ163" s="679"/>
      <c r="APK163" s="679"/>
      <c r="APL163" s="679"/>
      <c r="APM163" s="679"/>
      <c r="APN163" s="679"/>
      <c r="APO163" s="679"/>
      <c r="APP163" s="679"/>
      <c r="APQ163" s="679"/>
      <c r="APR163" s="679"/>
      <c r="APS163" s="679"/>
      <c r="APT163" s="679"/>
      <c r="APU163" s="679"/>
      <c r="APV163" s="679"/>
      <c r="APW163" s="679"/>
      <c r="APX163" s="679"/>
      <c r="APY163" s="679"/>
      <c r="APZ163" s="679"/>
      <c r="AQA163" s="679"/>
      <c r="AQB163" s="679"/>
      <c r="AQC163" s="679"/>
      <c r="AQD163" s="679"/>
      <c r="AQE163" s="679"/>
      <c r="AQF163" s="679"/>
      <c r="AQG163" s="679"/>
      <c r="AQH163" s="679"/>
      <c r="AQI163" s="679"/>
      <c r="AQJ163" s="679"/>
      <c r="AQK163" s="679"/>
      <c r="AQL163" s="679"/>
      <c r="AQM163" s="679"/>
      <c r="AQN163" s="679"/>
      <c r="AQO163" s="679"/>
      <c r="AQP163" s="679"/>
      <c r="AQQ163" s="679"/>
      <c r="AQR163" s="679"/>
      <c r="AQS163" s="679"/>
      <c r="AQT163" s="679"/>
      <c r="AQU163" s="679"/>
      <c r="AQV163" s="679"/>
      <c r="AQW163" s="679"/>
      <c r="AQX163" s="679"/>
      <c r="AQY163" s="679"/>
      <c r="AQZ163" s="679"/>
      <c r="ARA163" s="679"/>
      <c r="ARB163" s="679"/>
      <c r="ARC163" s="679"/>
      <c r="ARD163" s="679"/>
      <c r="ARE163" s="679"/>
      <c r="ARF163" s="679"/>
      <c r="ARG163" s="679"/>
      <c r="ARH163" s="679"/>
      <c r="ARI163" s="679"/>
      <c r="ARJ163" s="679"/>
      <c r="ARK163" s="679"/>
      <c r="ARL163" s="679"/>
      <c r="ARM163" s="679"/>
      <c r="ARN163" s="679"/>
      <c r="ARO163" s="679"/>
      <c r="ARP163" s="679"/>
      <c r="ARQ163" s="679"/>
      <c r="ARR163" s="679"/>
      <c r="ARS163" s="679"/>
      <c r="ART163" s="679"/>
      <c r="ARU163" s="679"/>
      <c r="ARV163" s="679"/>
      <c r="ARW163" s="679"/>
      <c r="ARX163" s="679"/>
      <c r="ARY163" s="679"/>
      <c r="ARZ163" s="679"/>
      <c r="ASA163" s="679"/>
      <c r="ASB163" s="679"/>
      <c r="ASC163" s="679"/>
      <c r="ASD163" s="679"/>
      <c r="ASE163" s="679"/>
      <c r="ASF163" s="679"/>
      <c r="ASG163" s="679"/>
      <c r="ASH163" s="679"/>
      <c r="ASI163" s="679"/>
      <c r="ASJ163" s="679"/>
      <c r="ASK163" s="679"/>
      <c r="ASL163" s="679"/>
      <c r="ASM163" s="679"/>
      <c r="ASN163" s="679"/>
      <c r="ASO163" s="679"/>
      <c r="ASP163" s="679"/>
      <c r="ASQ163" s="679"/>
      <c r="ASR163" s="679"/>
      <c r="ASS163" s="679"/>
      <c r="AST163" s="679"/>
      <c r="ASU163" s="679"/>
      <c r="ASV163" s="679"/>
      <c r="ASW163" s="679"/>
      <c r="ASX163" s="679"/>
      <c r="ASY163" s="679"/>
      <c r="ASZ163" s="679"/>
      <c r="ATA163" s="679"/>
      <c r="ATB163" s="679"/>
      <c r="ATC163" s="679"/>
      <c r="ATD163" s="679"/>
      <c r="ATE163" s="679"/>
      <c r="ATF163" s="679"/>
      <c r="ATG163" s="679"/>
      <c r="ATH163" s="679"/>
      <c r="ATI163" s="679"/>
      <c r="ATJ163" s="679"/>
      <c r="ATK163" s="679"/>
      <c r="ATL163" s="679"/>
      <c r="ATM163" s="679"/>
      <c r="ATN163" s="679"/>
      <c r="ATO163" s="679"/>
      <c r="ATP163" s="679"/>
      <c r="ATQ163" s="679"/>
      <c r="ATR163" s="679"/>
      <c r="ATS163" s="679"/>
      <c r="ATT163" s="679"/>
      <c r="ATU163" s="679"/>
      <c r="ATV163" s="679"/>
      <c r="ATW163" s="679"/>
      <c r="ATX163" s="679"/>
      <c r="ATY163" s="679"/>
      <c r="ATZ163" s="679"/>
      <c r="AUA163" s="679"/>
      <c r="AUB163" s="679"/>
      <c r="AUC163" s="679"/>
      <c r="AUD163" s="679"/>
      <c r="AUE163" s="679"/>
      <c r="AUF163" s="679"/>
      <c r="AUG163" s="679"/>
      <c r="AUH163" s="679"/>
      <c r="AUI163" s="679"/>
      <c r="AUJ163" s="679"/>
      <c r="AUK163" s="679"/>
      <c r="AUL163" s="679"/>
      <c r="AUM163" s="679"/>
      <c r="AUN163" s="679"/>
      <c r="AUO163" s="679"/>
      <c r="AUP163" s="679"/>
      <c r="AUQ163" s="679"/>
      <c r="AUR163" s="679"/>
      <c r="AUS163" s="679"/>
      <c r="AUT163" s="679"/>
      <c r="AUU163" s="679"/>
      <c r="AUV163" s="679"/>
      <c r="AUW163" s="679"/>
      <c r="AUX163" s="679"/>
      <c r="AUY163" s="679"/>
      <c r="AUZ163" s="679"/>
      <c r="AVA163" s="679"/>
      <c r="AVB163" s="679"/>
      <c r="AVC163" s="679"/>
      <c r="AVD163" s="679"/>
      <c r="AVE163" s="679"/>
      <c r="AVF163" s="679"/>
      <c r="AVG163" s="679"/>
      <c r="AVH163" s="679"/>
      <c r="AVI163" s="679"/>
      <c r="AVJ163" s="679"/>
      <c r="AVK163" s="679"/>
      <c r="AVL163" s="679"/>
      <c r="AVM163" s="679"/>
      <c r="AVN163" s="679"/>
      <c r="AVO163" s="679"/>
      <c r="AVP163" s="679"/>
      <c r="AVQ163" s="679"/>
      <c r="AVR163" s="679"/>
      <c r="AVS163" s="679"/>
      <c r="AVT163" s="679"/>
      <c r="AVU163" s="679"/>
      <c r="AVV163" s="679"/>
      <c r="AVW163" s="679"/>
      <c r="AVX163" s="679"/>
      <c r="AVY163" s="679"/>
      <c r="AVZ163" s="679"/>
      <c r="AWA163" s="679"/>
      <c r="AWB163" s="679"/>
      <c r="AWC163" s="679"/>
      <c r="AWD163" s="679"/>
      <c r="AWE163" s="679"/>
      <c r="AWF163" s="679"/>
      <c r="AWG163" s="679"/>
      <c r="AWH163" s="679"/>
      <c r="AWI163" s="679"/>
      <c r="AWJ163" s="679"/>
      <c r="AWK163" s="679"/>
      <c r="AWL163" s="679"/>
      <c r="AWM163" s="679"/>
      <c r="AWN163" s="679"/>
      <c r="AWO163" s="679"/>
      <c r="AWP163" s="679"/>
      <c r="AWQ163" s="679"/>
      <c r="AWR163" s="679"/>
      <c r="AWS163" s="679"/>
      <c r="AWT163" s="679"/>
      <c r="AWU163" s="679"/>
      <c r="AWV163" s="679"/>
      <c r="AWW163" s="679"/>
      <c r="AWX163" s="679"/>
      <c r="AWY163" s="679"/>
      <c r="AWZ163" s="679"/>
      <c r="AXA163" s="679"/>
      <c r="AXB163" s="679"/>
      <c r="AXC163" s="679"/>
      <c r="AXD163" s="679"/>
      <c r="AXE163" s="679"/>
      <c r="AXF163" s="679"/>
      <c r="AXG163" s="679"/>
      <c r="AXH163" s="679"/>
      <c r="AXI163" s="679"/>
      <c r="AXJ163" s="679"/>
      <c r="AXK163" s="679"/>
      <c r="AXL163" s="679"/>
      <c r="AXM163" s="679"/>
      <c r="AXN163" s="679"/>
      <c r="AXO163" s="679"/>
      <c r="AXP163" s="679"/>
      <c r="AXQ163" s="679"/>
      <c r="AXR163" s="679"/>
      <c r="AXS163" s="679"/>
      <c r="AXT163" s="679"/>
      <c r="AXU163" s="679"/>
      <c r="AXV163" s="679"/>
      <c r="AXW163" s="679"/>
      <c r="AXX163" s="679"/>
      <c r="AXY163" s="679"/>
      <c r="AXZ163" s="679"/>
      <c r="AYA163" s="679"/>
      <c r="AYB163" s="679"/>
      <c r="AYC163" s="679"/>
      <c r="AYD163" s="679"/>
      <c r="AYE163" s="679"/>
      <c r="AYF163" s="679"/>
      <c r="AYG163" s="679"/>
      <c r="AYH163" s="679"/>
      <c r="AYI163" s="679"/>
      <c r="AYJ163" s="679"/>
      <c r="AYK163" s="679"/>
      <c r="AYL163" s="679"/>
      <c r="AYM163" s="679"/>
      <c r="AYN163" s="679"/>
      <c r="AYO163" s="679"/>
      <c r="AYP163" s="679"/>
      <c r="AYQ163" s="679"/>
      <c r="AYR163" s="679"/>
      <c r="AYS163" s="679"/>
      <c r="AYT163" s="679"/>
      <c r="AYU163" s="679"/>
      <c r="AYV163" s="679"/>
      <c r="AYW163" s="679"/>
      <c r="AYX163" s="679"/>
      <c r="AYY163" s="679"/>
      <c r="AYZ163" s="679"/>
      <c r="AZA163" s="679"/>
      <c r="AZB163" s="679"/>
      <c r="AZC163" s="679"/>
      <c r="AZD163" s="679"/>
      <c r="AZE163" s="679"/>
      <c r="AZF163" s="679"/>
      <c r="AZG163" s="679"/>
      <c r="AZH163" s="679"/>
      <c r="AZI163" s="679"/>
      <c r="AZJ163" s="679"/>
      <c r="AZK163" s="679"/>
      <c r="AZL163" s="679"/>
      <c r="AZM163" s="679"/>
      <c r="AZN163" s="679"/>
      <c r="AZO163" s="679"/>
      <c r="AZP163" s="679"/>
      <c r="AZQ163" s="679"/>
      <c r="AZR163" s="679"/>
      <c r="AZS163" s="679"/>
      <c r="AZT163" s="679"/>
      <c r="AZU163" s="679"/>
      <c r="AZV163" s="679"/>
      <c r="AZW163" s="679"/>
      <c r="AZX163" s="679"/>
      <c r="AZY163" s="679"/>
      <c r="AZZ163" s="679"/>
      <c r="BAA163" s="679"/>
      <c r="BAB163" s="679"/>
      <c r="BAC163" s="679"/>
      <c r="BAD163" s="679"/>
      <c r="BAE163" s="679"/>
      <c r="BAF163" s="679"/>
      <c r="BAG163" s="679"/>
      <c r="BAH163" s="679"/>
      <c r="BAI163" s="679"/>
      <c r="BAJ163" s="679"/>
      <c r="BAK163" s="679"/>
      <c r="BAL163" s="679"/>
      <c r="BAM163" s="679"/>
      <c r="BAN163" s="679"/>
      <c r="BAO163" s="679"/>
      <c r="BAP163" s="679"/>
      <c r="BAQ163" s="679"/>
      <c r="BAR163" s="679"/>
      <c r="BAS163" s="679"/>
      <c r="BAT163" s="679"/>
      <c r="BAU163" s="679"/>
      <c r="BAV163" s="679"/>
      <c r="BAW163" s="679"/>
      <c r="BAX163" s="679"/>
      <c r="BAY163" s="679"/>
      <c r="BAZ163" s="679"/>
      <c r="BBA163" s="679"/>
      <c r="BBB163" s="679"/>
      <c r="BBC163" s="679"/>
      <c r="BBD163" s="679"/>
      <c r="BBE163" s="679"/>
      <c r="BBF163" s="679"/>
      <c r="BBG163" s="679"/>
      <c r="BBH163" s="679"/>
      <c r="BBI163" s="679"/>
      <c r="BBJ163" s="679"/>
      <c r="BBK163" s="679"/>
      <c r="BBL163" s="679"/>
      <c r="BBM163" s="679"/>
      <c r="BBN163" s="679"/>
      <c r="BBO163" s="679"/>
      <c r="BBP163" s="679"/>
      <c r="BBQ163" s="679"/>
      <c r="BBR163" s="679"/>
      <c r="BBS163" s="679"/>
      <c r="BBT163" s="679"/>
      <c r="BBU163" s="679"/>
      <c r="BBV163" s="679"/>
      <c r="BBW163" s="679"/>
      <c r="BBX163" s="679"/>
      <c r="BBY163" s="679"/>
      <c r="BBZ163" s="679"/>
      <c r="BCA163" s="679"/>
      <c r="BCB163" s="679"/>
      <c r="BCC163" s="679"/>
      <c r="BCD163" s="679"/>
      <c r="BCE163" s="679"/>
      <c r="BCF163" s="679"/>
      <c r="BCG163" s="679"/>
      <c r="BCH163" s="679"/>
      <c r="BCI163" s="679"/>
      <c r="BCJ163" s="679"/>
      <c r="BCK163" s="679"/>
      <c r="BCL163" s="679"/>
      <c r="BCM163" s="679"/>
      <c r="BCN163" s="679"/>
      <c r="BCO163" s="679"/>
      <c r="BCP163" s="679"/>
      <c r="BCQ163" s="679"/>
      <c r="BCR163" s="679"/>
      <c r="BCS163" s="679"/>
      <c r="BCT163" s="679"/>
      <c r="BCU163" s="679"/>
      <c r="BCV163" s="679"/>
      <c r="BCW163" s="679"/>
      <c r="BCX163" s="679"/>
      <c r="BCY163" s="679"/>
      <c r="BCZ163" s="679"/>
      <c r="BDA163" s="679"/>
      <c r="BDB163" s="679"/>
      <c r="BDC163" s="679"/>
      <c r="BDD163" s="679"/>
      <c r="BDE163" s="679"/>
      <c r="BDF163" s="679"/>
      <c r="BDG163" s="679"/>
      <c r="BDH163" s="679"/>
      <c r="BDI163" s="679"/>
      <c r="BDJ163" s="679"/>
      <c r="BDK163" s="679"/>
      <c r="BDL163" s="679"/>
      <c r="BDM163" s="679"/>
      <c r="BDN163" s="679"/>
      <c r="BDO163" s="679"/>
      <c r="BDP163" s="679"/>
      <c r="BDQ163" s="679"/>
      <c r="BDR163" s="679"/>
      <c r="BDS163" s="679"/>
      <c r="BDT163" s="679"/>
      <c r="BDU163" s="679"/>
      <c r="BDV163" s="679"/>
      <c r="BDW163" s="679"/>
      <c r="BDX163" s="679"/>
      <c r="BDY163" s="679"/>
      <c r="BDZ163" s="679"/>
      <c r="BEA163" s="679"/>
      <c r="BEB163" s="679"/>
      <c r="BEC163" s="679"/>
      <c r="BED163" s="679"/>
      <c r="BEE163" s="679"/>
      <c r="BEF163" s="679"/>
      <c r="BEG163" s="679"/>
      <c r="BEH163" s="679"/>
      <c r="BEI163" s="679"/>
      <c r="BEJ163" s="679"/>
      <c r="BEK163" s="679"/>
      <c r="BEL163" s="679"/>
      <c r="BEM163" s="679"/>
      <c r="BEN163" s="679"/>
      <c r="BEO163" s="679"/>
      <c r="BEP163" s="679"/>
      <c r="BEQ163" s="679"/>
      <c r="BER163" s="679"/>
      <c r="BES163" s="679"/>
      <c r="BET163" s="679"/>
      <c r="BEU163" s="679"/>
      <c r="BEV163" s="679"/>
      <c r="BEW163" s="679"/>
      <c r="BEX163" s="679"/>
      <c r="BEY163" s="679"/>
      <c r="BEZ163" s="679"/>
      <c r="BFA163" s="679"/>
      <c r="BFB163" s="679"/>
      <c r="BFC163" s="679"/>
      <c r="BFD163" s="679"/>
      <c r="BFE163" s="679"/>
      <c r="BFF163" s="679"/>
      <c r="BFG163" s="679"/>
      <c r="BFH163" s="679"/>
      <c r="BFI163" s="679"/>
      <c r="BFJ163" s="679"/>
      <c r="BFK163" s="679"/>
      <c r="BFL163" s="679"/>
      <c r="BFM163" s="679"/>
      <c r="BFN163" s="679"/>
      <c r="BFO163" s="679"/>
      <c r="BFP163" s="679"/>
      <c r="BFQ163" s="679"/>
      <c r="BFR163" s="679"/>
      <c r="BFS163" s="679"/>
      <c r="BFT163" s="679"/>
      <c r="BFU163" s="679"/>
      <c r="BFV163" s="679"/>
      <c r="BFW163" s="679"/>
      <c r="BFX163" s="679"/>
      <c r="BFY163" s="679"/>
      <c r="BFZ163" s="679"/>
      <c r="BGA163" s="679"/>
      <c r="BGB163" s="679"/>
      <c r="BGC163" s="679"/>
      <c r="BGD163" s="679"/>
      <c r="BGE163" s="679"/>
      <c r="BGF163" s="679"/>
      <c r="BGG163" s="679"/>
      <c r="BGH163" s="679"/>
      <c r="BGI163" s="679"/>
      <c r="BGJ163" s="679"/>
      <c r="BGK163" s="679"/>
      <c r="BGL163" s="679"/>
      <c r="BGM163" s="679"/>
      <c r="BGN163" s="679"/>
      <c r="BGO163" s="679"/>
      <c r="BGP163" s="679"/>
      <c r="BGQ163" s="679"/>
      <c r="BGR163" s="679"/>
      <c r="BGS163" s="679"/>
      <c r="BGT163" s="679"/>
      <c r="BGU163" s="679"/>
      <c r="BGV163" s="679"/>
      <c r="BGW163" s="679"/>
      <c r="BGX163" s="679"/>
      <c r="BGY163" s="679"/>
      <c r="BGZ163" s="679"/>
      <c r="BHA163" s="679"/>
      <c r="BHB163" s="679"/>
      <c r="BHC163" s="679"/>
      <c r="BHD163" s="679"/>
      <c r="BHE163" s="679"/>
      <c r="BHF163" s="679"/>
      <c r="BHG163" s="679"/>
      <c r="BHH163" s="679"/>
      <c r="BHI163" s="679"/>
      <c r="BHJ163" s="679"/>
      <c r="BHK163" s="679"/>
      <c r="BHL163" s="679"/>
      <c r="BHM163" s="679"/>
      <c r="BHN163" s="679"/>
      <c r="BHO163" s="679"/>
      <c r="BHP163" s="679"/>
      <c r="BHQ163" s="679"/>
      <c r="BHR163" s="679"/>
      <c r="BHS163" s="679"/>
      <c r="BHT163" s="679"/>
      <c r="BHU163" s="679"/>
      <c r="BHV163" s="679"/>
      <c r="BHW163" s="679"/>
      <c r="BHX163" s="679"/>
      <c r="BHY163" s="679"/>
      <c r="BHZ163" s="679"/>
      <c r="BIA163" s="679"/>
      <c r="BIB163" s="679"/>
      <c r="BIC163" s="679"/>
      <c r="BID163" s="679"/>
      <c r="BIE163" s="679"/>
      <c r="BIF163" s="679"/>
      <c r="BIG163" s="679"/>
      <c r="BIH163" s="679"/>
      <c r="BII163" s="679"/>
      <c r="BIJ163" s="679"/>
      <c r="BIK163" s="679"/>
      <c r="BIL163" s="679"/>
      <c r="BIM163" s="679"/>
      <c r="BIN163" s="679"/>
      <c r="BIO163" s="679"/>
      <c r="BIP163" s="679"/>
      <c r="BIQ163" s="679"/>
      <c r="BIR163" s="679"/>
      <c r="BIS163" s="679"/>
      <c r="BIT163" s="679"/>
      <c r="BIU163" s="679"/>
      <c r="BIV163" s="679"/>
      <c r="BIW163" s="679"/>
      <c r="BIX163" s="679"/>
      <c r="BIY163" s="679"/>
      <c r="BIZ163" s="679"/>
      <c r="BJA163" s="679"/>
      <c r="BJB163" s="679"/>
      <c r="BJC163" s="679"/>
      <c r="BJD163" s="679"/>
      <c r="BJE163" s="679"/>
      <c r="BJF163" s="679"/>
      <c r="BJG163" s="679"/>
      <c r="BJH163" s="679"/>
      <c r="BJI163" s="679"/>
      <c r="BJJ163" s="679"/>
      <c r="BJK163" s="679"/>
      <c r="BJL163" s="679"/>
      <c r="BJM163" s="679"/>
      <c r="BJN163" s="679"/>
      <c r="BJO163" s="679"/>
      <c r="BJP163" s="679"/>
      <c r="BJQ163" s="679"/>
      <c r="BJR163" s="679"/>
      <c r="BJS163" s="679"/>
      <c r="BJT163" s="679"/>
      <c r="BJU163" s="679"/>
      <c r="BJV163" s="679"/>
      <c r="BJW163" s="679"/>
      <c r="BJX163" s="679"/>
      <c r="BJY163" s="679"/>
      <c r="BJZ163" s="679"/>
      <c r="BKA163" s="679"/>
      <c r="BKB163" s="679"/>
      <c r="BKC163" s="679"/>
      <c r="BKD163" s="679"/>
      <c r="BKE163" s="679"/>
      <c r="BKF163" s="679"/>
      <c r="BKG163" s="679"/>
      <c r="BKH163" s="679"/>
      <c r="BKI163" s="679"/>
      <c r="BKJ163" s="679"/>
      <c r="BKK163" s="679"/>
      <c r="BKL163" s="679"/>
      <c r="BKM163" s="679"/>
      <c r="BKN163" s="679"/>
      <c r="BKO163" s="679"/>
      <c r="BKP163" s="679"/>
      <c r="BKQ163" s="679"/>
      <c r="BKR163" s="679"/>
      <c r="BKS163" s="679"/>
      <c r="BKT163" s="679"/>
      <c r="BKU163" s="679"/>
      <c r="BKV163" s="679"/>
      <c r="BKW163" s="679"/>
      <c r="BKX163" s="679"/>
      <c r="BKY163" s="679"/>
      <c r="BKZ163" s="679"/>
      <c r="BLA163" s="679"/>
      <c r="BLB163" s="679"/>
      <c r="BLC163" s="679"/>
      <c r="BLD163" s="679"/>
      <c r="BLE163" s="679"/>
      <c r="BLF163" s="679"/>
      <c r="BLG163" s="679"/>
      <c r="BLH163" s="679"/>
      <c r="BLI163" s="679"/>
      <c r="BLJ163" s="679"/>
      <c r="BLK163" s="679"/>
      <c r="BLL163" s="679"/>
      <c r="BLM163" s="679"/>
      <c r="BLN163" s="679"/>
      <c r="BLO163" s="679"/>
      <c r="BLP163" s="679"/>
      <c r="BLQ163" s="679"/>
      <c r="BLR163" s="679"/>
      <c r="BLS163" s="679"/>
      <c r="BLT163" s="679"/>
      <c r="BLU163" s="679"/>
      <c r="BLV163" s="679"/>
      <c r="BLW163" s="679"/>
      <c r="BLX163" s="679"/>
      <c r="BLY163" s="679"/>
      <c r="BLZ163" s="679"/>
      <c r="BMA163" s="679"/>
      <c r="BMB163" s="679"/>
      <c r="BMC163" s="679"/>
      <c r="BMD163" s="679"/>
      <c r="BME163" s="679"/>
      <c r="BMF163" s="679"/>
      <c r="BMG163" s="679"/>
      <c r="BMH163" s="679"/>
      <c r="BMI163" s="679"/>
      <c r="BMJ163" s="679"/>
      <c r="BMK163" s="679"/>
      <c r="BML163" s="679"/>
      <c r="BMM163" s="679"/>
      <c r="BMN163" s="679"/>
      <c r="BMO163" s="679"/>
      <c r="BMP163" s="679"/>
      <c r="BMQ163" s="679"/>
      <c r="BMR163" s="679"/>
      <c r="BMS163" s="679"/>
      <c r="BMT163" s="679"/>
      <c r="BMU163" s="679"/>
      <c r="BMV163" s="679"/>
      <c r="BMW163" s="679"/>
      <c r="BMX163" s="679"/>
      <c r="BMY163" s="679"/>
      <c r="BMZ163" s="679"/>
      <c r="BNA163" s="679"/>
      <c r="BNB163" s="679"/>
      <c r="BNC163" s="679"/>
      <c r="BND163" s="679"/>
      <c r="BNE163" s="679"/>
      <c r="BNF163" s="679"/>
      <c r="BNG163" s="679"/>
      <c r="BNH163" s="679"/>
      <c r="BNI163" s="679"/>
      <c r="BNJ163" s="679"/>
      <c r="BNK163" s="679"/>
      <c r="BNL163" s="679"/>
      <c r="BNM163" s="679"/>
      <c r="BNN163" s="679"/>
      <c r="BNO163" s="679"/>
      <c r="BNP163" s="679"/>
      <c r="BNQ163" s="679"/>
      <c r="BNR163" s="679"/>
      <c r="BNS163" s="679"/>
      <c r="BNT163" s="679"/>
      <c r="BNU163" s="679"/>
      <c r="BNV163" s="679"/>
      <c r="BNW163" s="679"/>
      <c r="BNX163" s="679"/>
      <c r="BNY163" s="679"/>
      <c r="BNZ163" s="679"/>
      <c r="BOA163" s="679"/>
      <c r="BOB163" s="679"/>
      <c r="BOC163" s="679"/>
      <c r="BOD163" s="679"/>
      <c r="BOE163" s="679"/>
      <c r="BOF163" s="679"/>
      <c r="BOG163" s="679"/>
      <c r="BOH163" s="679"/>
      <c r="BOI163" s="679"/>
      <c r="BOJ163" s="679"/>
      <c r="BOK163" s="679"/>
      <c r="BOL163" s="679"/>
      <c r="BOM163" s="679"/>
      <c r="BON163" s="679"/>
      <c r="BOO163" s="679"/>
      <c r="BOP163" s="679"/>
      <c r="BOQ163" s="679"/>
      <c r="BOR163" s="679"/>
      <c r="BOS163" s="679"/>
      <c r="BOT163" s="679"/>
      <c r="BOU163" s="679"/>
      <c r="BOV163" s="679"/>
      <c r="BOW163" s="679"/>
      <c r="BOX163" s="679"/>
      <c r="BOY163" s="679"/>
      <c r="BOZ163" s="679"/>
      <c r="BPA163" s="679"/>
      <c r="BPB163" s="679"/>
      <c r="BPC163" s="679"/>
      <c r="BPD163" s="679"/>
      <c r="BPE163" s="679"/>
      <c r="BPF163" s="679"/>
      <c r="BPG163" s="679"/>
      <c r="BPH163" s="679"/>
      <c r="BPI163" s="679"/>
      <c r="BPJ163" s="679"/>
      <c r="BPK163" s="679"/>
      <c r="BPL163" s="679"/>
      <c r="BPM163" s="679"/>
      <c r="BPN163" s="679"/>
      <c r="BPO163" s="679"/>
      <c r="BPP163" s="679"/>
      <c r="BPQ163" s="679"/>
      <c r="BPR163" s="679"/>
      <c r="BPS163" s="679"/>
      <c r="BPT163" s="679"/>
      <c r="BPU163" s="679"/>
      <c r="BPV163" s="679"/>
      <c r="BPW163" s="679"/>
      <c r="BPX163" s="679"/>
      <c r="BPY163" s="679"/>
      <c r="BPZ163" s="679"/>
      <c r="BQA163" s="679"/>
      <c r="BQB163" s="679"/>
      <c r="BQC163" s="679"/>
      <c r="BQD163" s="679"/>
      <c r="BQE163" s="679"/>
      <c r="BQF163" s="679"/>
      <c r="BQG163" s="679"/>
      <c r="BQH163" s="679"/>
      <c r="BQI163" s="679"/>
      <c r="BQJ163" s="679"/>
      <c r="BQK163" s="679"/>
      <c r="BQL163" s="679"/>
      <c r="BQM163" s="679"/>
      <c r="BQN163" s="679"/>
      <c r="BQO163" s="679"/>
      <c r="BQP163" s="679"/>
      <c r="BQQ163" s="679"/>
      <c r="BQR163" s="679"/>
      <c r="BQS163" s="679"/>
      <c r="BQT163" s="679"/>
      <c r="BQU163" s="679"/>
      <c r="BQV163" s="679"/>
      <c r="BQW163" s="679"/>
      <c r="BQX163" s="679"/>
      <c r="BQY163" s="679"/>
      <c r="BQZ163" s="679"/>
      <c r="BRA163" s="679"/>
      <c r="BRB163" s="679"/>
      <c r="BRC163" s="679"/>
      <c r="BRD163" s="679"/>
      <c r="BRE163" s="679"/>
      <c r="BRF163" s="679"/>
      <c r="BRG163" s="679"/>
      <c r="BRH163" s="679"/>
      <c r="BRI163" s="679"/>
      <c r="BRJ163" s="679"/>
      <c r="BRK163" s="679"/>
      <c r="BRL163" s="679"/>
      <c r="BRM163" s="679"/>
      <c r="BRN163" s="679"/>
      <c r="BRO163" s="679"/>
      <c r="BRP163" s="679"/>
      <c r="BRQ163" s="679"/>
      <c r="BRR163" s="679"/>
      <c r="BRS163" s="679"/>
      <c r="BRT163" s="679"/>
      <c r="BRU163" s="679"/>
      <c r="BRV163" s="679"/>
      <c r="BRW163" s="679"/>
      <c r="BRX163" s="679"/>
      <c r="BRY163" s="679"/>
      <c r="BRZ163" s="679"/>
      <c r="BSA163" s="679"/>
      <c r="BSB163" s="679"/>
      <c r="BSC163" s="679"/>
      <c r="BSD163" s="679"/>
      <c r="BSE163" s="679"/>
      <c r="BSF163" s="679"/>
      <c r="BSG163" s="679"/>
      <c r="BSH163" s="679"/>
      <c r="BSI163" s="679"/>
      <c r="BSJ163" s="679"/>
      <c r="BSK163" s="679"/>
      <c r="BSL163" s="679"/>
      <c r="BSM163" s="679"/>
      <c r="BSN163" s="679"/>
      <c r="BSO163" s="679"/>
      <c r="BSP163" s="679"/>
      <c r="BSQ163" s="679"/>
      <c r="BSR163" s="679"/>
      <c r="BSS163" s="679"/>
      <c r="BST163" s="679"/>
      <c r="BSU163" s="679"/>
      <c r="BSV163" s="679"/>
      <c r="BSW163" s="679"/>
      <c r="BSX163" s="679"/>
      <c r="BSY163" s="679"/>
      <c r="BSZ163" s="679"/>
      <c r="BTA163" s="679"/>
      <c r="BTB163" s="679"/>
      <c r="BTC163" s="679"/>
      <c r="BTD163" s="679"/>
      <c r="BTE163" s="679"/>
      <c r="BTF163" s="679"/>
      <c r="BTG163" s="679"/>
      <c r="BTH163" s="679"/>
      <c r="BTI163" s="679"/>
      <c r="BTJ163" s="679"/>
      <c r="BTK163" s="679"/>
      <c r="BTL163" s="679"/>
      <c r="BTM163" s="679"/>
      <c r="BTN163" s="679"/>
      <c r="BTO163" s="679"/>
      <c r="BTP163" s="679"/>
      <c r="BTQ163" s="679"/>
      <c r="BTR163" s="679"/>
      <c r="BTS163" s="679"/>
      <c r="BTT163" s="679"/>
      <c r="BTU163" s="679"/>
      <c r="BTV163" s="679"/>
      <c r="BTW163" s="679"/>
      <c r="BTX163" s="679"/>
      <c r="BTY163" s="679"/>
      <c r="BTZ163" s="679"/>
      <c r="BUA163" s="679"/>
      <c r="BUB163" s="679"/>
      <c r="BUC163" s="679"/>
      <c r="BUD163" s="679"/>
      <c r="BUE163" s="679"/>
      <c r="BUF163" s="679"/>
      <c r="BUG163" s="679"/>
      <c r="BUH163" s="679"/>
      <c r="BUI163" s="679"/>
      <c r="BUJ163" s="679"/>
      <c r="BUK163" s="679"/>
      <c r="BUL163" s="679"/>
      <c r="BUM163" s="679"/>
      <c r="BUN163" s="679"/>
      <c r="BUO163" s="679"/>
      <c r="BUP163" s="679"/>
      <c r="BUQ163" s="679"/>
      <c r="BUR163" s="679"/>
      <c r="BUS163" s="679"/>
      <c r="BUT163" s="679"/>
      <c r="BUU163" s="679"/>
      <c r="BUV163" s="679"/>
      <c r="BUW163" s="679"/>
      <c r="BUX163" s="679"/>
      <c r="BUY163" s="679"/>
      <c r="BUZ163" s="679"/>
      <c r="BVA163" s="679"/>
      <c r="BVB163" s="679"/>
      <c r="BVC163" s="679"/>
      <c r="BVD163" s="679"/>
      <c r="BVE163" s="679"/>
      <c r="BVF163" s="679"/>
      <c r="BVG163" s="679"/>
      <c r="BVH163" s="679"/>
      <c r="BVI163" s="679"/>
      <c r="BVJ163" s="679"/>
      <c r="BVK163" s="679"/>
      <c r="BVL163" s="679"/>
      <c r="BVM163" s="679"/>
      <c r="BVN163" s="679"/>
      <c r="BVO163" s="679"/>
      <c r="BVP163" s="679"/>
      <c r="BVQ163" s="679"/>
      <c r="BVR163" s="679"/>
      <c r="BVS163" s="679"/>
      <c r="BVT163" s="679"/>
      <c r="BVU163" s="679"/>
      <c r="BVV163" s="679"/>
      <c r="BVW163" s="679"/>
      <c r="BVX163" s="679"/>
      <c r="BVY163" s="679"/>
      <c r="BVZ163" s="679"/>
      <c r="BWA163" s="679"/>
      <c r="BWB163" s="679"/>
      <c r="BWC163" s="679"/>
      <c r="BWD163" s="679"/>
      <c r="BWE163" s="679"/>
      <c r="BWF163" s="679"/>
      <c r="BWG163" s="679"/>
      <c r="BWH163" s="679"/>
      <c r="BWI163" s="679"/>
      <c r="BWJ163" s="679"/>
      <c r="BWK163" s="679"/>
      <c r="BWL163" s="679"/>
      <c r="BWM163" s="679"/>
      <c r="BWN163" s="679"/>
      <c r="BWO163" s="679"/>
      <c r="BWP163" s="679"/>
      <c r="BWQ163" s="679"/>
      <c r="BWR163" s="679"/>
      <c r="BWS163" s="679"/>
      <c r="BWT163" s="679"/>
      <c r="BWU163" s="679"/>
      <c r="BWV163" s="679"/>
      <c r="BWW163" s="679"/>
      <c r="BWX163" s="679"/>
      <c r="BWY163" s="679"/>
      <c r="BWZ163" s="679"/>
      <c r="BXA163" s="679"/>
      <c r="BXB163" s="679"/>
      <c r="BXC163" s="679"/>
      <c r="BXD163" s="679"/>
      <c r="BXE163" s="679"/>
      <c r="BXF163" s="679"/>
      <c r="BXG163" s="679"/>
      <c r="BXH163" s="679"/>
      <c r="BXI163" s="679"/>
      <c r="BXJ163" s="679"/>
      <c r="BXK163" s="679"/>
      <c r="BXL163" s="679"/>
      <c r="BXM163" s="679"/>
      <c r="BXN163" s="679"/>
      <c r="BXO163" s="679"/>
      <c r="BXP163" s="679"/>
      <c r="BXQ163" s="679"/>
      <c r="BXR163" s="679"/>
      <c r="BXS163" s="679"/>
      <c r="BXT163" s="679"/>
      <c r="BXU163" s="679"/>
      <c r="BXV163" s="679"/>
      <c r="BXW163" s="679"/>
      <c r="BXX163" s="679"/>
      <c r="BXY163" s="679"/>
      <c r="BXZ163" s="679"/>
      <c r="BYA163" s="679"/>
      <c r="BYB163" s="679"/>
      <c r="BYC163" s="679"/>
      <c r="BYD163" s="679"/>
      <c r="BYE163" s="679"/>
      <c r="BYF163" s="679"/>
      <c r="BYG163" s="679"/>
      <c r="BYH163" s="679"/>
      <c r="BYI163" s="679"/>
      <c r="BYJ163" s="679"/>
      <c r="BYK163" s="679"/>
      <c r="BYL163" s="679"/>
      <c r="BYM163" s="679"/>
      <c r="BYN163" s="679"/>
      <c r="BYO163" s="679"/>
      <c r="BYP163" s="679"/>
      <c r="BYQ163" s="679"/>
      <c r="BYR163" s="679"/>
      <c r="BYS163" s="679"/>
      <c r="BYT163" s="679"/>
      <c r="BYU163" s="679"/>
      <c r="BYV163" s="679"/>
      <c r="BYW163" s="679"/>
      <c r="BYX163" s="679"/>
      <c r="BYY163" s="679"/>
      <c r="BYZ163" s="679"/>
      <c r="BZA163" s="679"/>
      <c r="BZB163" s="679"/>
      <c r="BZC163" s="679"/>
      <c r="BZD163" s="679"/>
      <c r="BZE163" s="679"/>
      <c r="BZF163" s="679"/>
      <c r="BZG163" s="679"/>
      <c r="BZH163" s="679"/>
      <c r="BZI163" s="679"/>
      <c r="BZJ163" s="679"/>
      <c r="BZK163" s="679"/>
      <c r="BZL163" s="679"/>
      <c r="BZM163" s="679"/>
      <c r="BZN163" s="679"/>
      <c r="BZO163" s="679"/>
      <c r="BZP163" s="679"/>
      <c r="BZQ163" s="679"/>
      <c r="BZR163" s="679"/>
      <c r="BZS163" s="679"/>
      <c r="BZT163" s="679"/>
      <c r="BZU163" s="679"/>
      <c r="BZV163" s="679"/>
      <c r="BZW163" s="679"/>
      <c r="BZX163" s="679"/>
      <c r="BZY163" s="679"/>
      <c r="BZZ163" s="679"/>
      <c r="CAA163" s="679"/>
      <c r="CAB163" s="679"/>
      <c r="CAC163" s="679"/>
      <c r="CAD163" s="679"/>
      <c r="CAE163" s="679"/>
      <c r="CAF163" s="679"/>
      <c r="CAG163" s="679"/>
      <c r="CAH163" s="679"/>
      <c r="CAI163" s="679"/>
      <c r="CAJ163" s="679"/>
      <c r="CAK163" s="679"/>
      <c r="CAL163" s="679"/>
      <c r="CAM163" s="679"/>
      <c r="CAN163" s="679"/>
      <c r="CAO163" s="679"/>
      <c r="CAP163" s="679"/>
      <c r="CAQ163" s="679"/>
      <c r="CAR163" s="679"/>
      <c r="CAS163" s="679"/>
      <c r="CAT163" s="679"/>
      <c r="CAU163" s="679"/>
      <c r="CAV163" s="679"/>
      <c r="CAW163" s="679"/>
      <c r="CAX163" s="679"/>
      <c r="CAY163" s="679"/>
      <c r="CAZ163" s="679"/>
      <c r="CBA163" s="679"/>
      <c r="CBB163" s="679"/>
      <c r="CBC163" s="679"/>
      <c r="CBD163" s="679"/>
      <c r="CBE163" s="679"/>
      <c r="CBF163" s="679"/>
      <c r="CBG163" s="679"/>
      <c r="CBH163" s="679"/>
      <c r="CBI163" s="679"/>
      <c r="CBJ163" s="679"/>
      <c r="CBK163" s="679"/>
      <c r="CBL163" s="679"/>
      <c r="CBM163" s="679"/>
      <c r="CBN163" s="679"/>
      <c r="CBO163" s="679"/>
      <c r="CBP163" s="679"/>
      <c r="CBQ163" s="679"/>
      <c r="CBR163" s="679"/>
      <c r="CBS163" s="679"/>
      <c r="CBT163" s="679"/>
      <c r="CBU163" s="679"/>
      <c r="CBV163" s="679"/>
      <c r="CBW163" s="679"/>
      <c r="CBX163" s="679"/>
      <c r="CBY163" s="679"/>
      <c r="CBZ163" s="679"/>
      <c r="CCA163" s="679"/>
      <c r="CCB163" s="679"/>
      <c r="CCC163" s="679"/>
      <c r="CCD163" s="679"/>
      <c r="CCE163" s="679"/>
      <c r="CCF163" s="679"/>
      <c r="CCG163" s="679"/>
      <c r="CCH163" s="679"/>
      <c r="CCI163" s="679"/>
      <c r="CCJ163" s="679"/>
      <c r="CCK163" s="679"/>
      <c r="CCL163" s="679"/>
      <c r="CCM163" s="679"/>
      <c r="CCN163" s="679"/>
      <c r="CCO163" s="679"/>
      <c r="CCP163" s="679"/>
      <c r="CCQ163" s="679"/>
      <c r="CCR163" s="679"/>
      <c r="CCS163" s="679"/>
      <c r="CCT163" s="679"/>
      <c r="CCU163" s="679"/>
      <c r="CCV163" s="679"/>
      <c r="CCW163" s="679"/>
      <c r="CCX163" s="679"/>
      <c r="CCY163" s="679"/>
      <c r="CCZ163" s="679"/>
      <c r="CDA163" s="679"/>
      <c r="CDB163" s="679"/>
      <c r="CDC163" s="679"/>
      <c r="CDD163" s="679"/>
      <c r="CDE163" s="679"/>
      <c r="CDF163" s="679"/>
      <c r="CDG163" s="679"/>
      <c r="CDH163" s="679"/>
      <c r="CDI163" s="679"/>
      <c r="CDJ163" s="679"/>
      <c r="CDK163" s="679"/>
      <c r="CDL163" s="679"/>
      <c r="CDM163" s="679"/>
      <c r="CDN163" s="679"/>
      <c r="CDO163" s="679"/>
      <c r="CDP163" s="679"/>
      <c r="CDQ163" s="679"/>
      <c r="CDR163" s="679"/>
      <c r="CDS163" s="679"/>
      <c r="CDT163" s="679"/>
      <c r="CDU163" s="679"/>
      <c r="CDV163" s="679"/>
      <c r="CDW163" s="679"/>
      <c r="CDX163" s="679"/>
      <c r="CDY163" s="679"/>
      <c r="CDZ163" s="679"/>
      <c r="CEA163" s="679"/>
      <c r="CEB163" s="679"/>
      <c r="CEC163" s="679"/>
      <c r="CED163" s="679"/>
      <c r="CEE163" s="679"/>
      <c r="CEF163" s="679"/>
      <c r="CEG163" s="679"/>
      <c r="CEH163" s="679"/>
      <c r="CEI163" s="679"/>
      <c r="CEJ163" s="679"/>
      <c r="CEK163" s="679"/>
      <c r="CEL163" s="679"/>
      <c r="CEM163" s="679"/>
      <c r="CEN163" s="679"/>
      <c r="CEO163" s="679"/>
      <c r="CEP163" s="679"/>
      <c r="CEQ163" s="679"/>
      <c r="CER163" s="679"/>
      <c r="CES163" s="679"/>
      <c r="CET163" s="679"/>
      <c r="CEU163" s="679"/>
      <c r="CEV163" s="679"/>
      <c r="CEW163" s="679"/>
      <c r="CEX163" s="679"/>
      <c r="CEY163" s="679"/>
      <c r="CEZ163" s="679"/>
      <c r="CFA163" s="679"/>
      <c r="CFB163" s="679"/>
      <c r="CFC163" s="679"/>
      <c r="CFD163" s="679"/>
      <c r="CFE163" s="679"/>
      <c r="CFF163" s="679"/>
      <c r="CFG163" s="679"/>
      <c r="CFH163" s="679"/>
      <c r="CFI163" s="679"/>
      <c r="CFJ163" s="679"/>
      <c r="CFK163" s="679"/>
      <c r="CFL163" s="679"/>
      <c r="CFM163" s="679"/>
      <c r="CFN163" s="679"/>
      <c r="CFO163" s="679"/>
      <c r="CFP163" s="679"/>
      <c r="CFQ163" s="679"/>
      <c r="CFR163" s="679"/>
      <c r="CFS163" s="679"/>
      <c r="CFT163" s="679"/>
      <c r="CFU163" s="679"/>
      <c r="CFV163" s="679"/>
      <c r="CFW163" s="679"/>
      <c r="CFX163" s="679"/>
      <c r="CFY163" s="679"/>
      <c r="CFZ163" s="679"/>
      <c r="CGA163" s="679"/>
      <c r="CGB163" s="679"/>
      <c r="CGC163" s="679"/>
      <c r="CGD163" s="679"/>
      <c r="CGE163" s="679"/>
      <c r="CGF163" s="679"/>
      <c r="CGG163" s="679"/>
      <c r="CGH163" s="679"/>
      <c r="CGI163" s="679"/>
      <c r="CGJ163" s="679"/>
      <c r="CGK163" s="679"/>
      <c r="CGL163" s="679"/>
      <c r="CGM163" s="679"/>
      <c r="CGN163" s="679"/>
      <c r="CGO163" s="679"/>
      <c r="CGP163" s="679"/>
      <c r="CGQ163" s="679"/>
      <c r="CGR163" s="679"/>
      <c r="CGS163" s="679"/>
      <c r="CGT163" s="679"/>
      <c r="CGU163" s="679"/>
      <c r="CGV163" s="679"/>
      <c r="CGW163" s="679"/>
      <c r="CGX163" s="679"/>
      <c r="CGY163" s="679"/>
      <c r="CGZ163" s="679"/>
      <c r="CHA163" s="679"/>
      <c r="CHB163" s="679"/>
      <c r="CHC163" s="679"/>
      <c r="CHD163" s="679"/>
      <c r="CHE163" s="679"/>
      <c r="CHF163" s="679"/>
      <c r="CHG163" s="679"/>
      <c r="CHH163" s="679"/>
      <c r="CHI163" s="679"/>
      <c r="CHJ163" s="679"/>
      <c r="CHK163" s="679"/>
      <c r="CHL163" s="679"/>
      <c r="CHM163" s="679"/>
      <c r="CHN163" s="679"/>
      <c r="CHO163" s="679"/>
      <c r="CHP163" s="679"/>
      <c r="CHQ163" s="679"/>
      <c r="CHR163" s="679"/>
      <c r="CHS163" s="679"/>
      <c r="CHT163" s="679"/>
      <c r="CHU163" s="679"/>
      <c r="CHV163" s="679"/>
      <c r="CHW163" s="679"/>
      <c r="CHX163" s="679"/>
      <c r="CHY163" s="679"/>
      <c r="CHZ163" s="679"/>
      <c r="CIA163" s="679"/>
      <c r="CIB163" s="679"/>
      <c r="CIC163" s="679"/>
      <c r="CID163" s="679"/>
      <c r="CIE163" s="679"/>
      <c r="CIF163" s="679"/>
      <c r="CIG163" s="679"/>
      <c r="CIH163" s="679"/>
      <c r="CII163" s="679"/>
      <c r="CIJ163" s="679"/>
      <c r="CIK163" s="679"/>
      <c r="CIL163" s="679"/>
      <c r="CIM163" s="679"/>
      <c r="CIN163" s="679"/>
      <c r="CIO163" s="679"/>
      <c r="CIP163" s="679"/>
      <c r="CIQ163" s="679"/>
      <c r="CIR163" s="679"/>
      <c r="CIS163" s="679"/>
      <c r="CIT163" s="679"/>
      <c r="CIU163" s="679"/>
      <c r="CIV163" s="679"/>
      <c r="CIW163" s="679"/>
      <c r="CIX163" s="679"/>
      <c r="CIY163" s="679"/>
      <c r="CIZ163" s="679"/>
      <c r="CJA163" s="679"/>
      <c r="CJB163" s="679"/>
      <c r="CJC163" s="679"/>
      <c r="CJD163" s="679"/>
      <c r="CJE163" s="679"/>
      <c r="CJF163" s="679"/>
      <c r="CJG163" s="679"/>
      <c r="CJH163" s="679"/>
      <c r="CJI163" s="679"/>
      <c r="CJJ163" s="679"/>
      <c r="CJK163" s="679"/>
      <c r="CJL163" s="679"/>
      <c r="CJM163" s="679"/>
      <c r="CJN163" s="679"/>
      <c r="CJO163" s="679"/>
      <c r="CJP163" s="679"/>
      <c r="CJQ163" s="679"/>
      <c r="CJR163" s="679"/>
      <c r="CJS163" s="679"/>
      <c r="CJT163" s="679"/>
      <c r="CJU163" s="679"/>
      <c r="CJV163" s="679"/>
      <c r="CJW163" s="679"/>
      <c r="CJX163" s="679"/>
      <c r="CJY163" s="679"/>
      <c r="CJZ163" s="679"/>
      <c r="CKA163" s="679"/>
      <c r="CKB163" s="679"/>
      <c r="CKC163" s="679"/>
      <c r="CKD163" s="679"/>
      <c r="CKE163" s="679"/>
      <c r="CKF163" s="679"/>
      <c r="CKG163" s="679"/>
      <c r="CKH163" s="679"/>
      <c r="CKI163" s="679"/>
      <c r="CKJ163" s="679"/>
      <c r="CKK163" s="679"/>
      <c r="CKL163" s="679"/>
      <c r="CKM163" s="679"/>
      <c r="CKN163" s="679"/>
      <c r="CKO163" s="679"/>
      <c r="CKP163" s="679"/>
      <c r="CKQ163" s="679"/>
      <c r="CKR163" s="679"/>
      <c r="CKS163" s="679"/>
      <c r="CKT163" s="679"/>
      <c r="CKU163" s="679"/>
      <c r="CKV163" s="679"/>
      <c r="CKW163" s="679"/>
      <c r="CKX163" s="679"/>
      <c r="CKY163" s="679"/>
      <c r="CKZ163" s="679"/>
      <c r="CLA163" s="679"/>
      <c r="CLB163" s="679"/>
      <c r="CLC163" s="679"/>
      <c r="CLD163" s="679"/>
      <c r="CLE163" s="679"/>
      <c r="CLF163" s="679"/>
      <c r="CLG163" s="679"/>
      <c r="CLH163" s="679"/>
      <c r="CLI163" s="679"/>
      <c r="CLJ163" s="679"/>
      <c r="CLK163" s="679"/>
      <c r="CLL163" s="679"/>
      <c r="CLM163" s="679"/>
      <c r="CLN163" s="679"/>
      <c r="CLO163" s="679"/>
      <c r="CLP163" s="679"/>
      <c r="CLQ163" s="679"/>
      <c r="CLR163" s="679"/>
      <c r="CLS163" s="679"/>
      <c r="CLT163" s="679"/>
      <c r="CLU163" s="679"/>
      <c r="CLV163" s="679"/>
      <c r="CLW163" s="679"/>
      <c r="CLX163" s="679"/>
      <c r="CLY163" s="679"/>
      <c r="CLZ163" s="679"/>
      <c r="CMA163" s="679"/>
      <c r="CMB163" s="679"/>
      <c r="CMC163" s="679"/>
      <c r="CMD163" s="679"/>
      <c r="CME163" s="679"/>
      <c r="CMF163" s="679"/>
      <c r="CMG163" s="679"/>
      <c r="CMH163" s="679"/>
      <c r="CMI163" s="679"/>
      <c r="CMJ163" s="679"/>
      <c r="CMK163" s="679"/>
      <c r="CML163" s="679"/>
      <c r="CMM163" s="679"/>
      <c r="CMN163" s="679"/>
      <c r="CMO163" s="679"/>
      <c r="CMP163" s="679"/>
      <c r="CMQ163" s="679"/>
      <c r="CMR163" s="679"/>
      <c r="CMS163" s="679"/>
      <c r="CMT163" s="679"/>
      <c r="CMU163" s="679"/>
      <c r="CMV163" s="679"/>
      <c r="CMW163" s="679"/>
      <c r="CMX163" s="679"/>
      <c r="CMY163" s="679"/>
      <c r="CMZ163" s="679"/>
      <c r="CNA163" s="679"/>
      <c r="CNB163" s="679"/>
      <c r="CNC163" s="679"/>
      <c r="CND163" s="679"/>
      <c r="CNE163" s="679"/>
      <c r="CNF163" s="679"/>
      <c r="CNG163" s="679"/>
      <c r="CNH163" s="679"/>
      <c r="CNI163" s="679"/>
      <c r="CNJ163" s="679"/>
      <c r="CNK163" s="679"/>
      <c r="CNL163" s="679"/>
      <c r="CNM163" s="679"/>
      <c r="CNN163" s="679"/>
      <c r="CNO163" s="679"/>
      <c r="CNP163" s="679"/>
      <c r="CNQ163" s="679"/>
      <c r="CNR163" s="679"/>
      <c r="CNS163" s="679"/>
      <c r="CNT163" s="679"/>
      <c r="CNU163" s="679"/>
      <c r="CNV163" s="679"/>
      <c r="CNW163" s="679"/>
      <c r="CNX163" s="679"/>
      <c r="CNY163" s="679"/>
      <c r="CNZ163" s="679"/>
      <c r="COA163" s="679"/>
      <c r="COB163" s="679"/>
      <c r="COC163" s="679"/>
      <c r="COD163" s="679"/>
      <c r="COE163" s="679"/>
      <c r="COF163" s="679"/>
      <c r="COG163" s="679"/>
      <c r="COH163" s="679"/>
      <c r="COI163" s="679"/>
      <c r="COJ163" s="679"/>
      <c r="COK163" s="679"/>
      <c r="COL163" s="679"/>
      <c r="COM163" s="679"/>
      <c r="CON163" s="679"/>
      <c r="COO163" s="679"/>
      <c r="COP163" s="679"/>
      <c r="COQ163" s="679"/>
      <c r="COR163" s="679"/>
      <c r="COS163" s="679"/>
      <c r="COT163" s="679"/>
      <c r="COU163" s="679"/>
      <c r="COV163" s="679"/>
      <c r="COW163" s="679"/>
      <c r="COX163" s="679"/>
      <c r="COY163" s="679"/>
      <c r="COZ163" s="679"/>
      <c r="CPA163" s="679"/>
      <c r="CPB163" s="679"/>
      <c r="CPC163" s="679"/>
      <c r="CPD163" s="679"/>
      <c r="CPE163" s="679"/>
      <c r="CPF163" s="679"/>
      <c r="CPG163" s="679"/>
      <c r="CPH163" s="679"/>
      <c r="CPI163" s="679"/>
      <c r="CPJ163" s="679"/>
      <c r="CPK163" s="679"/>
      <c r="CPL163" s="679"/>
      <c r="CPM163" s="679"/>
      <c r="CPN163" s="679"/>
      <c r="CPO163" s="679"/>
      <c r="CPP163" s="679"/>
      <c r="CPQ163" s="679"/>
      <c r="CPR163" s="679"/>
      <c r="CPS163" s="679"/>
      <c r="CPT163" s="679"/>
      <c r="CPU163" s="679"/>
      <c r="CPV163" s="679"/>
      <c r="CPW163" s="679"/>
      <c r="CPX163" s="679"/>
      <c r="CPY163" s="679"/>
      <c r="CPZ163" s="679"/>
      <c r="CQA163" s="679"/>
      <c r="CQB163" s="679"/>
      <c r="CQC163" s="679"/>
      <c r="CQD163" s="679"/>
      <c r="CQE163" s="679"/>
      <c r="CQF163" s="679"/>
      <c r="CQG163" s="679"/>
      <c r="CQH163" s="679"/>
      <c r="CQI163" s="679"/>
      <c r="CQJ163" s="679"/>
      <c r="CQK163" s="679"/>
      <c r="CQL163" s="679"/>
      <c r="CQM163" s="679"/>
      <c r="CQN163" s="679"/>
      <c r="CQO163" s="679"/>
      <c r="CQP163" s="679"/>
      <c r="CQQ163" s="679"/>
      <c r="CQR163" s="679"/>
      <c r="CQS163" s="679"/>
      <c r="CQT163" s="679"/>
      <c r="CQU163" s="679"/>
      <c r="CQV163" s="679"/>
      <c r="CQW163" s="679"/>
      <c r="CQX163" s="679"/>
      <c r="CQY163" s="679"/>
      <c r="CQZ163" s="679"/>
      <c r="CRA163" s="679"/>
      <c r="CRB163" s="679"/>
      <c r="CRC163" s="679"/>
      <c r="CRD163" s="679"/>
      <c r="CRE163" s="679"/>
      <c r="CRF163" s="679"/>
      <c r="CRG163" s="679"/>
      <c r="CRH163" s="679"/>
      <c r="CRI163" s="679"/>
      <c r="CRJ163" s="679"/>
      <c r="CRK163" s="679"/>
      <c r="CRL163" s="679"/>
      <c r="CRM163" s="679"/>
      <c r="CRN163" s="679"/>
      <c r="CRO163" s="679"/>
      <c r="CRP163" s="679"/>
      <c r="CRQ163" s="679"/>
      <c r="CRR163" s="679"/>
      <c r="CRS163" s="679"/>
      <c r="CRT163" s="679"/>
      <c r="CRU163" s="679"/>
      <c r="CRV163" s="679"/>
      <c r="CRW163" s="679"/>
      <c r="CRX163" s="679"/>
      <c r="CRY163" s="679"/>
      <c r="CRZ163" s="679"/>
      <c r="CSA163" s="679"/>
      <c r="CSB163" s="679"/>
      <c r="CSC163" s="679"/>
      <c r="CSD163" s="679"/>
      <c r="CSE163" s="679"/>
      <c r="CSF163" s="679"/>
      <c r="CSG163" s="679"/>
      <c r="CSH163" s="679"/>
      <c r="CSI163" s="679"/>
      <c r="CSJ163" s="679"/>
      <c r="CSK163" s="679"/>
      <c r="CSL163" s="679"/>
      <c r="CSM163" s="679"/>
      <c r="CSN163" s="679"/>
      <c r="CSO163" s="679"/>
      <c r="CSP163" s="679"/>
      <c r="CSQ163" s="679"/>
      <c r="CSR163" s="679"/>
      <c r="CSS163" s="679"/>
      <c r="CST163" s="679"/>
      <c r="CSU163" s="679"/>
      <c r="CSV163" s="679"/>
      <c r="CSW163" s="679"/>
      <c r="CSX163" s="679"/>
      <c r="CSY163" s="679"/>
      <c r="CSZ163" s="679"/>
      <c r="CTA163" s="679"/>
      <c r="CTB163" s="679"/>
      <c r="CTC163" s="679"/>
      <c r="CTD163" s="679"/>
      <c r="CTE163" s="679"/>
      <c r="CTF163" s="679"/>
      <c r="CTG163" s="679"/>
      <c r="CTH163" s="679"/>
      <c r="CTI163" s="679"/>
      <c r="CTJ163" s="679"/>
      <c r="CTK163" s="679"/>
      <c r="CTL163" s="679"/>
      <c r="CTM163" s="679"/>
      <c r="CTN163" s="679"/>
      <c r="CTO163" s="679"/>
      <c r="CTP163" s="679"/>
      <c r="CTQ163" s="679"/>
      <c r="CTR163" s="679"/>
      <c r="CTS163" s="679"/>
      <c r="CTT163" s="679"/>
      <c r="CTU163" s="679"/>
      <c r="CTV163" s="679"/>
      <c r="CTW163" s="679"/>
      <c r="CTX163" s="679"/>
      <c r="CTY163" s="679"/>
      <c r="CTZ163" s="679"/>
      <c r="CUA163" s="679"/>
      <c r="CUB163" s="679"/>
      <c r="CUC163" s="679"/>
      <c r="CUD163" s="679"/>
      <c r="CUE163" s="679"/>
      <c r="CUF163" s="679"/>
      <c r="CUG163" s="679"/>
      <c r="CUH163" s="679"/>
      <c r="CUI163" s="679"/>
      <c r="CUJ163" s="679"/>
      <c r="CUK163" s="679"/>
      <c r="CUL163" s="679"/>
      <c r="CUM163" s="679"/>
      <c r="CUN163" s="679"/>
      <c r="CUO163" s="679"/>
      <c r="CUP163" s="679"/>
      <c r="CUQ163" s="679"/>
      <c r="CUR163" s="679"/>
      <c r="CUS163" s="679"/>
      <c r="CUT163" s="679"/>
      <c r="CUU163" s="679"/>
      <c r="CUV163" s="679"/>
      <c r="CUW163" s="679"/>
      <c r="CUX163" s="679"/>
      <c r="CUY163" s="679"/>
      <c r="CUZ163" s="679"/>
      <c r="CVA163" s="679"/>
      <c r="CVB163" s="679"/>
      <c r="CVC163" s="679"/>
      <c r="CVD163" s="679"/>
      <c r="CVE163" s="679"/>
      <c r="CVF163" s="679"/>
      <c r="CVG163" s="679"/>
      <c r="CVH163" s="679"/>
      <c r="CVI163" s="679"/>
      <c r="CVJ163" s="679"/>
      <c r="CVK163" s="679"/>
      <c r="CVL163" s="679"/>
      <c r="CVM163" s="679"/>
      <c r="CVN163" s="679"/>
      <c r="CVO163" s="679"/>
      <c r="CVP163" s="679"/>
      <c r="CVQ163" s="679"/>
      <c r="CVR163" s="679"/>
      <c r="CVS163" s="679"/>
      <c r="CVT163" s="679"/>
      <c r="CVU163" s="679"/>
      <c r="CVV163" s="679"/>
      <c r="CVW163" s="679"/>
      <c r="CVX163" s="679"/>
      <c r="CVY163" s="679"/>
      <c r="CVZ163" s="679"/>
      <c r="CWA163" s="679"/>
      <c r="CWB163" s="679"/>
      <c r="CWC163" s="679"/>
      <c r="CWD163" s="679"/>
      <c r="CWE163" s="679"/>
      <c r="CWF163" s="679"/>
      <c r="CWG163" s="679"/>
      <c r="CWH163" s="679"/>
      <c r="CWI163" s="679"/>
      <c r="CWJ163" s="679"/>
      <c r="CWK163" s="679"/>
      <c r="CWL163" s="679"/>
      <c r="CWM163" s="679"/>
      <c r="CWN163" s="679"/>
      <c r="CWO163" s="679"/>
      <c r="CWP163" s="679"/>
      <c r="CWQ163" s="679"/>
      <c r="CWR163" s="679"/>
      <c r="CWS163" s="679"/>
      <c r="CWT163" s="679"/>
      <c r="CWU163" s="679"/>
      <c r="CWV163" s="679"/>
      <c r="CWW163" s="679"/>
      <c r="CWX163" s="679"/>
      <c r="CWY163" s="679"/>
      <c r="CWZ163" s="679"/>
      <c r="CXA163" s="679"/>
      <c r="CXB163" s="679"/>
      <c r="CXC163" s="679"/>
      <c r="CXD163" s="679"/>
      <c r="CXE163" s="679"/>
      <c r="CXF163" s="679"/>
      <c r="CXG163" s="679"/>
      <c r="CXH163" s="679"/>
      <c r="CXI163" s="679"/>
      <c r="CXJ163" s="679"/>
      <c r="CXK163" s="679"/>
      <c r="CXL163" s="679"/>
      <c r="CXM163" s="679"/>
      <c r="CXN163" s="679"/>
      <c r="CXO163" s="679"/>
      <c r="CXP163" s="679"/>
      <c r="CXQ163" s="679"/>
      <c r="CXR163" s="679"/>
      <c r="CXS163" s="679"/>
      <c r="CXT163" s="679"/>
      <c r="CXU163" s="679"/>
      <c r="CXV163" s="679"/>
      <c r="CXW163" s="679"/>
      <c r="CXX163" s="679"/>
      <c r="CXY163" s="679"/>
      <c r="CXZ163" s="679"/>
      <c r="CYA163" s="679"/>
      <c r="CYB163" s="679"/>
      <c r="CYC163" s="679"/>
      <c r="CYD163" s="679"/>
      <c r="CYE163" s="679"/>
      <c r="CYF163" s="679"/>
      <c r="CYG163" s="679"/>
      <c r="CYH163" s="679"/>
      <c r="CYI163" s="679"/>
      <c r="CYJ163" s="679"/>
      <c r="CYK163" s="679"/>
      <c r="CYL163" s="679"/>
      <c r="CYM163" s="679"/>
      <c r="CYN163" s="679"/>
      <c r="CYO163" s="679"/>
      <c r="CYP163" s="679"/>
      <c r="CYQ163" s="679"/>
      <c r="CYR163" s="679"/>
      <c r="CYS163" s="679"/>
      <c r="CYT163" s="679"/>
      <c r="CYU163" s="679"/>
      <c r="CYV163" s="679"/>
      <c r="CYW163" s="679"/>
      <c r="CYX163" s="679"/>
      <c r="CYY163" s="679"/>
      <c r="CYZ163" s="679"/>
      <c r="CZA163" s="679"/>
      <c r="CZB163" s="679"/>
      <c r="CZC163" s="679"/>
      <c r="CZD163" s="679"/>
      <c r="CZE163" s="679"/>
      <c r="CZF163" s="679"/>
      <c r="CZG163" s="679"/>
      <c r="CZH163" s="679"/>
      <c r="CZI163" s="679"/>
      <c r="CZJ163" s="679"/>
      <c r="CZK163" s="679"/>
      <c r="CZL163" s="679"/>
      <c r="CZM163" s="679"/>
      <c r="CZN163" s="679"/>
      <c r="CZO163" s="679"/>
      <c r="CZP163" s="679"/>
      <c r="CZQ163" s="679"/>
      <c r="CZR163" s="679"/>
      <c r="CZS163" s="679"/>
      <c r="CZT163" s="679"/>
      <c r="CZU163" s="679"/>
      <c r="CZV163" s="679"/>
      <c r="CZW163" s="679"/>
      <c r="CZX163" s="679"/>
      <c r="CZY163" s="679"/>
      <c r="CZZ163" s="679"/>
      <c r="DAA163" s="679"/>
      <c r="DAB163" s="679"/>
      <c r="DAC163" s="679"/>
      <c r="DAD163" s="679"/>
      <c r="DAE163" s="679"/>
      <c r="DAF163" s="679"/>
      <c r="DAG163" s="679"/>
      <c r="DAH163" s="679"/>
      <c r="DAI163" s="679"/>
      <c r="DAJ163" s="679"/>
      <c r="DAK163" s="679"/>
      <c r="DAL163" s="679"/>
      <c r="DAM163" s="679"/>
      <c r="DAN163" s="679"/>
      <c r="DAO163" s="679"/>
      <c r="DAP163" s="679"/>
      <c r="DAQ163" s="679"/>
      <c r="DAR163" s="679"/>
      <c r="DAS163" s="679"/>
      <c r="DAT163" s="679"/>
      <c r="DAU163" s="679"/>
      <c r="DAV163" s="679"/>
      <c r="DAW163" s="679"/>
      <c r="DAX163" s="679"/>
      <c r="DAY163" s="679"/>
      <c r="DAZ163" s="679"/>
      <c r="DBA163" s="679"/>
      <c r="DBB163" s="679"/>
      <c r="DBC163" s="679"/>
      <c r="DBD163" s="679"/>
      <c r="DBE163" s="679"/>
      <c r="DBF163" s="679"/>
      <c r="DBG163" s="679"/>
      <c r="DBH163" s="679"/>
      <c r="DBI163" s="679"/>
      <c r="DBJ163" s="679"/>
      <c r="DBK163" s="679"/>
      <c r="DBL163" s="679"/>
      <c r="DBM163" s="679"/>
      <c r="DBN163" s="679"/>
      <c r="DBO163" s="679"/>
      <c r="DBP163" s="679"/>
      <c r="DBQ163" s="679"/>
      <c r="DBR163" s="679"/>
      <c r="DBS163" s="679"/>
      <c r="DBT163" s="679"/>
      <c r="DBU163" s="679"/>
      <c r="DBV163" s="679"/>
      <c r="DBW163" s="679"/>
      <c r="DBX163" s="679"/>
      <c r="DBY163" s="679"/>
      <c r="DBZ163" s="679"/>
      <c r="DCA163" s="679"/>
      <c r="DCB163" s="679"/>
      <c r="DCC163" s="679"/>
      <c r="DCD163" s="679"/>
      <c r="DCE163" s="679"/>
      <c r="DCF163" s="679"/>
      <c r="DCG163" s="679"/>
      <c r="DCH163" s="679"/>
      <c r="DCI163" s="679"/>
      <c r="DCJ163" s="679"/>
      <c r="DCK163" s="679"/>
      <c r="DCL163" s="679"/>
      <c r="DCM163" s="679"/>
      <c r="DCN163" s="679"/>
      <c r="DCO163" s="679"/>
      <c r="DCP163" s="679"/>
      <c r="DCQ163" s="679"/>
      <c r="DCR163" s="679"/>
      <c r="DCS163" s="679"/>
      <c r="DCT163" s="679"/>
      <c r="DCU163" s="679"/>
      <c r="DCV163" s="679"/>
      <c r="DCW163" s="679"/>
      <c r="DCX163" s="679"/>
      <c r="DCY163" s="679"/>
      <c r="DCZ163" s="679"/>
      <c r="DDA163" s="679"/>
      <c r="DDB163" s="679"/>
      <c r="DDC163" s="679"/>
      <c r="DDD163" s="679"/>
      <c r="DDE163" s="679"/>
      <c r="DDF163" s="679"/>
      <c r="DDG163" s="679"/>
      <c r="DDH163" s="679"/>
      <c r="DDI163" s="679"/>
      <c r="DDJ163" s="679"/>
      <c r="DDK163" s="679"/>
      <c r="DDL163" s="679"/>
      <c r="DDM163" s="679"/>
      <c r="DDN163" s="679"/>
      <c r="DDO163" s="679"/>
      <c r="DDP163" s="679"/>
      <c r="DDQ163" s="679"/>
      <c r="DDR163" s="679"/>
      <c r="DDS163" s="679"/>
      <c r="DDT163" s="679"/>
      <c r="DDU163" s="679"/>
      <c r="DDV163" s="679"/>
      <c r="DDW163" s="679"/>
      <c r="DDX163" s="679"/>
      <c r="DDY163" s="679"/>
      <c r="DDZ163" s="679"/>
      <c r="DEA163" s="679"/>
      <c r="DEB163" s="679"/>
      <c r="DEC163" s="679"/>
      <c r="DED163" s="679"/>
      <c r="DEE163" s="679"/>
      <c r="DEF163" s="679"/>
      <c r="DEG163" s="679"/>
      <c r="DEH163" s="679"/>
      <c r="DEI163" s="679"/>
      <c r="DEJ163" s="679"/>
      <c r="DEK163" s="679"/>
      <c r="DEL163" s="679"/>
      <c r="DEM163" s="679"/>
      <c r="DEN163" s="679"/>
      <c r="DEO163" s="679"/>
      <c r="DEP163" s="679"/>
      <c r="DEQ163" s="679"/>
      <c r="DER163" s="679"/>
      <c r="DES163" s="679"/>
      <c r="DET163" s="679"/>
      <c r="DEU163" s="679"/>
      <c r="DEV163" s="679"/>
      <c r="DEW163" s="679"/>
      <c r="DEX163" s="679"/>
      <c r="DEY163" s="679"/>
      <c r="DEZ163" s="679"/>
      <c r="DFA163" s="679"/>
      <c r="DFB163" s="679"/>
      <c r="DFC163" s="679"/>
      <c r="DFD163" s="679"/>
      <c r="DFE163" s="679"/>
      <c r="DFF163" s="679"/>
      <c r="DFG163" s="679"/>
      <c r="DFH163" s="679"/>
      <c r="DFI163" s="679"/>
      <c r="DFJ163" s="679"/>
      <c r="DFK163" s="679"/>
      <c r="DFL163" s="679"/>
      <c r="DFM163" s="679"/>
      <c r="DFN163" s="679"/>
      <c r="DFO163" s="679"/>
      <c r="DFP163" s="679"/>
      <c r="DFQ163" s="679"/>
      <c r="DFR163" s="679"/>
      <c r="DFS163" s="679"/>
      <c r="DFT163" s="679"/>
      <c r="DFU163" s="679"/>
      <c r="DFV163" s="679"/>
      <c r="DFW163" s="679"/>
      <c r="DFX163" s="679"/>
      <c r="DFY163" s="679"/>
      <c r="DFZ163" s="679"/>
      <c r="DGA163" s="679"/>
      <c r="DGB163" s="679"/>
      <c r="DGC163" s="679"/>
      <c r="DGD163" s="679"/>
      <c r="DGE163" s="679"/>
      <c r="DGF163" s="679"/>
      <c r="DGG163" s="679"/>
      <c r="DGH163" s="679"/>
      <c r="DGI163" s="679"/>
      <c r="DGJ163" s="679"/>
      <c r="DGK163" s="679"/>
      <c r="DGL163" s="679"/>
      <c r="DGM163" s="679"/>
      <c r="DGN163" s="679"/>
      <c r="DGO163" s="679"/>
      <c r="DGP163" s="679"/>
      <c r="DGQ163" s="679"/>
      <c r="DGR163" s="679"/>
      <c r="DGS163" s="679"/>
      <c r="DGT163" s="679"/>
      <c r="DGU163" s="679"/>
      <c r="DGV163" s="679"/>
      <c r="DGW163" s="679"/>
      <c r="DGX163" s="679"/>
      <c r="DGY163" s="679"/>
      <c r="DGZ163" s="679"/>
      <c r="DHA163" s="679"/>
      <c r="DHB163" s="679"/>
      <c r="DHC163" s="679"/>
      <c r="DHD163" s="679"/>
      <c r="DHE163" s="679"/>
      <c r="DHF163" s="679"/>
      <c r="DHG163" s="679"/>
      <c r="DHH163" s="679"/>
      <c r="DHI163" s="679"/>
      <c r="DHJ163" s="679"/>
      <c r="DHK163" s="679"/>
      <c r="DHL163" s="679"/>
      <c r="DHM163" s="679"/>
      <c r="DHN163" s="679"/>
      <c r="DHO163" s="679"/>
      <c r="DHP163" s="679"/>
      <c r="DHQ163" s="679"/>
      <c r="DHR163" s="679"/>
      <c r="DHS163" s="679"/>
      <c r="DHT163" s="679"/>
      <c r="DHU163" s="679"/>
      <c r="DHV163" s="679"/>
      <c r="DHW163" s="679"/>
      <c r="DHX163" s="679"/>
      <c r="DHY163" s="679"/>
      <c r="DHZ163" s="679"/>
      <c r="DIA163" s="679"/>
      <c r="DIB163" s="679"/>
      <c r="DIC163" s="679"/>
      <c r="DID163" s="679"/>
      <c r="DIE163" s="679"/>
      <c r="DIF163" s="679"/>
      <c r="DIG163" s="679"/>
      <c r="DIH163" s="679"/>
      <c r="DII163" s="679"/>
      <c r="DIJ163" s="679"/>
      <c r="DIK163" s="679"/>
      <c r="DIL163" s="679"/>
      <c r="DIM163" s="679"/>
      <c r="DIN163" s="679"/>
      <c r="DIO163" s="679"/>
      <c r="DIP163" s="679"/>
      <c r="DIQ163" s="679"/>
      <c r="DIR163" s="679"/>
      <c r="DIS163" s="679"/>
      <c r="DIT163" s="679"/>
      <c r="DIU163" s="679"/>
      <c r="DIV163" s="679"/>
      <c r="DIW163" s="679"/>
      <c r="DIX163" s="679"/>
      <c r="DIY163" s="679"/>
      <c r="DIZ163" s="679"/>
      <c r="DJA163" s="679"/>
      <c r="DJB163" s="679"/>
      <c r="DJC163" s="679"/>
      <c r="DJD163" s="679"/>
      <c r="DJE163" s="679"/>
      <c r="DJF163" s="679"/>
      <c r="DJG163" s="679"/>
      <c r="DJH163" s="679"/>
      <c r="DJI163" s="679"/>
      <c r="DJJ163" s="679"/>
      <c r="DJK163" s="679"/>
      <c r="DJL163" s="679"/>
      <c r="DJM163" s="679"/>
      <c r="DJN163" s="679"/>
      <c r="DJO163" s="679"/>
      <c r="DJP163" s="679"/>
      <c r="DJQ163" s="679"/>
      <c r="DJR163" s="679"/>
      <c r="DJS163" s="679"/>
      <c r="DJT163" s="679"/>
      <c r="DJU163" s="679"/>
      <c r="DJV163" s="679"/>
      <c r="DJW163" s="679"/>
      <c r="DJX163" s="679"/>
      <c r="DJY163" s="679"/>
      <c r="DJZ163" s="679"/>
      <c r="DKA163" s="679"/>
      <c r="DKB163" s="679"/>
      <c r="DKC163" s="679"/>
      <c r="DKD163" s="679"/>
      <c r="DKE163" s="679"/>
      <c r="DKF163" s="679"/>
      <c r="DKG163" s="679"/>
      <c r="DKH163" s="679"/>
      <c r="DKI163" s="679"/>
      <c r="DKJ163" s="679"/>
      <c r="DKK163" s="679"/>
      <c r="DKL163" s="679"/>
      <c r="DKM163" s="679"/>
      <c r="DKN163" s="679"/>
      <c r="DKO163" s="679"/>
      <c r="DKP163" s="679"/>
      <c r="DKQ163" s="679"/>
      <c r="DKR163" s="679"/>
      <c r="DKS163" s="679"/>
      <c r="DKT163" s="679"/>
      <c r="DKU163" s="679"/>
      <c r="DKV163" s="679"/>
      <c r="DKW163" s="679"/>
      <c r="DKX163" s="679"/>
      <c r="DKY163" s="679"/>
      <c r="DKZ163" s="679"/>
      <c r="DLA163" s="679"/>
      <c r="DLB163" s="679"/>
      <c r="DLC163" s="679"/>
      <c r="DLD163" s="679"/>
      <c r="DLE163" s="679"/>
      <c r="DLF163" s="679"/>
      <c r="DLG163" s="679"/>
      <c r="DLH163" s="679"/>
      <c r="DLI163" s="679"/>
      <c r="DLJ163" s="679"/>
      <c r="DLK163" s="679"/>
      <c r="DLL163" s="679"/>
      <c r="DLM163" s="679"/>
      <c r="DLN163" s="679"/>
      <c r="DLO163" s="679"/>
      <c r="DLP163" s="679"/>
      <c r="DLQ163" s="679"/>
      <c r="DLR163" s="679"/>
      <c r="DLS163" s="679"/>
      <c r="DLT163" s="679"/>
      <c r="DLU163" s="679"/>
      <c r="DLV163" s="679"/>
      <c r="DLW163" s="679"/>
      <c r="DLX163" s="679"/>
      <c r="DLY163" s="679"/>
      <c r="DLZ163" s="679"/>
      <c r="DMA163" s="679"/>
      <c r="DMB163" s="679"/>
      <c r="DMC163" s="679"/>
      <c r="DMD163" s="679"/>
      <c r="DME163" s="679"/>
      <c r="DMF163" s="679"/>
      <c r="DMG163" s="679"/>
      <c r="DMH163" s="679"/>
      <c r="DMI163" s="679"/>
      <c r="DMJ163" s="679"/>
      <c r="DMK163" s="679"/>
      <c r="DML163" s="679"/>
      <c r="DMM163" s="679"/>
      <c r="DMN163" s="679"/>
      <c r="DMO163" s="679"/>
      <c r="DMP163" s="679"/>
      <c r="DMQ163" s="679"/>
      <c r="DMR163" s="679"/>
      <c r="DMS163" s="679"/>
      <c r="DMT163" s="679"/>
      <c r="DMU163" s="679"/>
      <c r="DMV163" s="679"/>
      <c r="DMW163" s="679"/>
      <c r="DMX163" s="679"/>
      <c r="DMY163" s="679"/>
      <c r="DMZ163" s="679"/>
      <c r="DNA163" s="679"/>
      <c r="DNB163" s="679"/>
      <c r="DNC163" s="679"/>
      <c r="DND163" s="679"/>
      <c r="DNE163" s="679"/>
      <c r="DNF163" s="679"/>
      <c r="DNG163" s="679"/>
      <c r="DNH163" s="679"/>
      <c r="DNI163" s="679"/>
      <c r="DNJ163" s="679"/>
      <c r="DNK163" s="679"/>
      <c r="DNL163" s="679"/>
      <c r="DNM163" s="679"/>
      <c r="DNN163" s="679"/>
      <c r="DNO163" s="679"/>
      <c r="DNP163" s="679"/>
      <c r="DNQ163" s="679"/>
      <c r="DNR163" s="679"/>
      <c r="DNS163" s="679"/>
      <c r="DNT163" s="679"/>
      <c r="DNU163" s="679"/>
      <c r="DNV163" s="679"/>
      <c r="DNW163" s="679"/>
      <c r="DNX163" s="679"/>
      <c r="DNY163" s="679"/>
      <c r="DNZ163" s="679"/>
      <c r="DOA163" s="679"/>
      <c r="DOB163" s="679"/>
      <c r="DOC163" s="679"/>
      <c r="DOD163" s="679"/>
      <c r="DOE163" s="679"/>
      <c r="DOF163" s="679"/>
      <c r="DOG163" s="679"/>
      <c r="DOH163" s="679"/>
      <c r="DOI163" s="679"/>
      <c r="DOJ163" s="679"/>
      <c r="DOK163" s="679"/>
      <c r="DOL163" s="679"/>
      <c r="DOM163" s="679"/>
      <c r="DON163" s="679"/>
      <c r="DOO163" s="679"/>
      <c r="DOP163" s="679"/>
      <c r="DOQ163" s="679"/>
      <c r="DOR163" s="679"/>
      <c r="DOS163" s="679"/>
      <c r="DOT163" s="679"/>
      <c r="DOU163" s="679"/>
      <c r="DOV163" s="679"/>
      <c r="DOW163" s="679"/>
      <c r="DOX163" s="679"/>
      <c r="DOY163" s="679"/>
      <c r="DOZ163" s="679"/>
      <c r="DPA163" s="679"/>
      <c r="DPB163" s="679"/>
      <c r="DPC163" s="679"/>
      <c r="DPD163" s="679"/>
      <c r="DPE163" s="679"/>
      <c r="DPF163" s="679"/>
      <c r="DPG163" s="679"/>
      <c r="DPH163" s="679"/>
      <c r="DPI163" s="679"/>
      <c r="DPJ163" s="679"/>
      <c r="DPK163" s="679"/>
      <c r="DPL163" s="679"/>
      <c r="DPM163" s="679"/>
      <c r="DPN163" s="679"/>
      <c r="DPO163" s="679"/>
      <c r="DPP163" s="679"/>
      <c r="DPQ163" s="679"/>
      <c r="DPR163" s="679"/>
      <c r="DPS163" s="679"/>
      <c r="DPT163" s="679"/>
      <c r="DPU163" s="679"/>
      <c r="DPV163" s="679"/>
      <c r="DPW163" s="679"/>
      <c r="DPX163" s="679"/>
      <c r="DPY163" s="679"/>
      <c r="DPZ163" s="679"/>
      <c r="DQA163" s="679"/>
      <c r="DQB163" s="679"/>
      <c r="DQC163" s="679"/>
      <c r="DQD163" s="679"/>
      <c r="DQE163" s="679"/>
      <c r="DQF163" s="679"/>
      <c r="DQG163" s="679"/>
      <c r="DQH163" s="679"/>
      <c r="DQI163" s="679"/>
      <c r="DQJ163" s="679"/>
      <c r="DQK163" s="679"/>
      <c r="DQL163" s="679"/>
      <c r="DQM163" s="679"/>
      <c r="DQN163" s="679"/>
      <c r="DQO163" s="679"/>
      <c r="DQP163" s="679"/>
      <c r="DQQ163" s="679"/>
      <c r="DQR163" s="679"/>
      <c r="DQS163" s="679"/>
      <c r="DQT163" s="679"/>
      <c r="DQU163" s="679"/>
      <c r="DQV163" s="679"/>
      <c r="DQW163" s="679"/>
      <c r="DQX163" s="679"/>
      <c r="DQY163" s="679"/>
      <c r="DQZ163" s="679"/>
      <c r="DRA163" s="679"/>
      <c r="DRB163" s="679"/>
      <c r="DRC163" s="679"/>
      <c r="DRD163" s="679"/>
      <c r="DRE163" s="679"/>
      <c r="DRF163" s="679"/>
      <c r="DRG163" s="679"/>
      <c r="DRH163" s="679"/>
      <c r="DRI163" s="679"/>
      <c r="DRJ163" s="679"/>
      <c r="DRK163" s="679"/>
      <c r="DRL163" s="679"/>
      <c r="DRM163" s="679"/>
      <c r="DRN163" s="679"/>
      <c r="DRO163" s="679"/>
      <c r="DRP163" s="679"/>
      <c r="DRQ163" s="679"/>
      <c r="DRR163" s="679"/>
      <c r="DRS163" s="679"/>
      <c r="DRT163" s="679"/>
      <c r="DRU163" s="679"/>
      <c r="DRV163" s="679"/>
      <c r="DRW163" s="679"/>
      <c r="DRX163" s="679"/>
      <c r="DRY163" s="679"/>
      <c r="DRZ163" s="679"/>
      <c r="DSA163" s="679"/>
      <c r="DSB163" s="679"/>
      <c r="DSC163" s="679"/>
      <c r="DSD163" s="679"/>
      <c r="DSE163" s="679"/>
      <c r="DSF163" s="679"/>
      <c r="DSG163" s="679"/>
      <c r="DSH163" s="679"/>
      <c r="DSI163" s="679"/>
      <c r="DSJ163" s="679"/>
      <c r="DSK163" s="679"/>
      <c r="DSL163" s="679"/>
      <c r="DSM163" s="679"/>
      <c r="DSN163" s="679"/>
      <c r="DSO163" s="679"/>
      <c r="DSP163" s="679"/>
      <c r="DSQ163" s="679"/>
      <c r="DSR163" s="679"/>
      <c r="DSS163" s="679"/>
      <c r="DST163" s="679"/>
      <c r="DSU163" s="679"/>
      <c r="DSV163" s="679"/>
      <c r="DSW163" s="679"/>
      <c r="DSX163" s="679"/>
      <c r="DSY163" s="679"/>
      <c r="DSZ163" s="679"/>
      <c r="DTA163" s="679"/>
      <c r="DTB163" s="679"/>
      <c r="DTC163" s="679"/>
      <c r="DTD163" s="679"/>
      <c r="DTE163" s="679"/>
      <c r="DTF163" s="679"/>
      <c r="DTG163" s="679"/>
      <c r="DTH163" s="679"/>
      <c r="DTI163" s="679"/>
      <c r="DTJ163" s="679"/>
      <c r="DTK163" s="679"/>
      <c r="DTL163" s="679"/>
      <c r="DTM163" s="679"/>
      <c r="DTN163" s="679"/>
      <c r="DTO163" s="679"/>
      <c r="DTP163" s="679"/>
      <c r="DTQ163" s="679"/>
      <c r="DTR163" s="679"/>
      <c r="DTS163" s="679"/>
      <c r="DTT163" s="679"/>
      <c r="DTU163" s="679"/>
      <c r="DTV163" s="679"/>
      <c r="DTW163" s="679"/>
      <c r="DTX163" s="679"/>
      <c r="DTY163" s="679"/>
      <c r="DTZ163" s="679"/>
      <c r="DUA163" s="679"/>
      <c r="DUB163" s="679"/>
      <c r="DUC163" s="679"/>
      <c r="DUD163" s="679"/>
      <c r="DUE163" s="679"/>
      <c r="DUF163" s="679"/>
      <c r="DUG163" s="679"/>
      <c r="DUH163" s="679"/>
      <c r="DUI163" s="679"/>
      <c r="DUJ163" s="679"/>
      <c r="DUK163" s="679"/>
      <c r="DUL163" s="679"/>
      <c r="DUM163" s="679"/>
      <c r="DUN163" s="679"/>
      <c r="DUO163" s="679"/>
      <c r="DUP163" s="679"/>
      <c r="DUQ163" s="679"/>
      <c r="DUR163" s="679"/>
      <c r="DUS163" s="679"/>
      <c r="DUT163" s="679"/>
      <c r="DUU163" s="679"/>
      <c r="DUV163" s="679"/>
      <c r="DUW163" s="679"/>
      <c r="DUX163" s="679"/>
      <c r="DUY163" s="679"/>
      <c r="DUZ163" s="679"/>
      <c r="DVA163" s="679"/>
      <c r="DVB163" s="679"/>
      <c r="DVC163" s="679"/>
      <c r="DVD163" s="679"/>
      <c r="DVE163" s="679"/>
      <c r="DVF163" s="679"/>
      <c r="DVG163" s="679"/>
      <c r="DVH163" s="679"/>
      <c r="DVI163" s="679"/>
      <c r="DVJ163" s="679"/>
      <c r="DVK163" s="679"/>
      <c r="DVL163" s="679"/>
      <c r="DVM163" s="679"/>
      <c r="DVN163" s="679"/>
      <c r="DVO163" s="679"/>
      <c r="DVP163" s="679"/>
      <c r="DVQ163" s="679"/>
      <c r="DVR163" s="679"/>
      <c r="DVS163" s="679"/>
      <c r="DVT163" s="679"/>
      <c r="DVU163" s="679"/>
      <c r="DVV163" s="679"/>
      <c r="DVW163" s="679"/>
      <c r="DVX163" s="679"/>
      <c r="DVY163" s="679"/>
      <c r="DVZ163" s="679"/>
      <c r="DWA163" s="679"/>
      <c r="DWB163" s="679"/>
      <c r="DWC163" s="679"/>
      <c r="DWD163" s="679"/>
      <c r="DWE163" s="679"/>
      <c r="DWF163" s="679"/>
      <c r="DWG163" s="679"/>
      <c r="DWH163" s="679"/>
      <c r="DWI163" s="679"/>
      <c r="DWJ163" s="679"/>
      <c r="DWK163" s="679"/>
      <c r="DWL163" s="679"/>
      <c r="DWM163" s="679"/>
      <c r="DWN163" s="679"/>
      <c r="DWO163" s="679"/>
      <c r="DWP163" s="679"/>
      <c r="DWQ163" s="679"/>
      <c r="DWR163" s="679"/>
      <c r="DWS163" s="679"/>
      <c r="DWT163" s="679"/>
      <c r="DWU163" s="679"/>
      <c r="DWV163" s="679"/>
      <c r="DWW163" s="679"/>
      <c r="DWX163" s="679"/>
      <c r="DWY163" s="679"/>
      <c r="DWZ163" s="679"/>
      <c r="DXA163" s="679"/>
      <c r="DXB163" s="679"/>
      <c r="DXC163" s="679"/>
      <c r="DXD163" s="679"/>
      <c r="DXE163" s="679"/>
      <c r="DXF163" s="679"/>
      <c r="DXG163" s="679"/>
      <c r="DXH163" s="679"/>
      <c r="DXI163" s="679"/>
      <c r="DXJ163" s="679"/>
      <c r="DXK163" s="679"/>
      <c r="DXL163" s="679"/>
      <c r="DXM163" s="679"/>
      <c r="DXN163" s="679"/>
      <c r="DXO163" s="679"/>
      <c r="DXP163" s="679"/>
      <c r="DXQ163" s="679"/>
      <c r="DXR163" s="679"/>
      <c r="DXS163" s="679"/>
      <c r="DXT163" s="679"/>
      <c r="DXU163" s="679"/>
      <c r="DXV163" s="679"/>
      <c r="DXW163" s="679"/>
      <c r="DXX163" s="679"/>
      <c r="DXY163" s="679"/>
      <c r="DXZ163" s="679"/>
      <c r="DYA163" s="679"/>
      <c r="DYB163" s="679"/>
      <c r="DYC163" s="679"/>
      <c r="DYD163" s="679"/>
      <c r="DYE163" s="679"/>
      <c r="DYF163" s="679"/>
      <c r="DYG163" s="679"/>
      <c r="DYH163" s="679"/>
      <c r="DYI163" s="679"/>
      <c r="DYJ163" s="679"/>
      <c r="DYK163" s="679"/>
      <c r="DYL163" s="679"/>
      <c r="DYM163" s="679"/>
      <c r="DYN163" s="679"/>
      <c r="DYO163" s="679"/>
      <c r="DYP163" s="679"/>
      <c r="DYQ163" s="679"/>
      <c r="DYR163" s="679"/>
      <c r="DYS163" s="679"/>
      <c r="DYT163" s="679"/>
      <c r="DYU163" s="679"/>
      <c r="DYV163" s="679"/>
      <c r="DYW163" s="679"/>
      <c r="DYX163" s="679"/>
      <c r="DYY163" s="679"/>
      <c r="DYZ163" s="679"/>
      <c r="DZA163" s="679"/>
      <c r="DZB163" s="679"/>
      <c r="DZC163" s="679"/>
      <c r="DZD163" s="679"/>
      <c r="DZE163" s="679"/>
      <c r="DZF163" s="679"/>
      <c r="DZG163" s="679"/>
      <c r="DZH163" s="679"/>
      <c r="DZI163" s="679"/>
      <c r="DZJ163" s="679"/>
      <c r="DZK163" s="679"/>
      <c r="DZL163" s="679"/>
      <c r="DZM163" s="679"/>
      <c r="DZN163" s="679"/>
      <c r="DZO163" s="679"/>
      <c r="DZP163" s="679"/>
      <c r="DZQ163" s="679"/>
      <c r="DZR163" s="679"/>
      <c r="DZS163" s="679"/>
      <c r="DZT163" s="679"/>
      <c r="DZU163" s="679"/>
      <c r="DZV163" s="679"/>
      <c r="DZW163" s="679"/>
      <c r="DZX163" s="679"/>
      <c r="DZY163" s="679"/>
      <c r="DZZ163" s="679"/>
      <c r="EAA163" s="679"/>
      <c r="EAB163" s="679"/>
      <c r="EAC163" s="679"/>
      <c r="EAD163" s="679"/>
      <c r="EAE163" s="679"/>
      <c r="EAF163" s="679"/>
      <c r="EAG163" s="679"/>
      <c r="EAH163" s="679"/>
      <c r="EAI163" s="679"/>
      <c r="EAJ163" s="679"/>
      <c r="EAK163" s="679"/>
      <c r="EAL163" s="679"/>
      <c r="EAM163" s="679"/>
      <c r="EAN163" s="679"/>
      <c r="EAO163" s="679"/>
      <c r="EAP163" s="679"/>
      <c r="EAQ163" s="679"/>
      <c r="EAR163" s="679"/>
      <c r="EAS163" s="679"/>
      <c r="EAT163" s="679"/>
      <c r="EAU163" s="679"/>
      <c r="EAV163" s="679"/>
      <c r="EAW163" s="679"/>
      <c r="EAX163" s="679"/>
      <c r="EAY163" s="679"/>
      <c r="EAZ163" s="679"/>
      <c r="EBA163" s="679"/>
      <c r="EBB163" s="679"/>
      <c r="EBC163" s="679"/>
      <c r="EBD163" s="679"/>
      <c r="EBE163" s="679"/>
      <c r="EBF163" s="679"/>
      <c r="EBG163" s="679"/>
      <c r="EBH163" s="679"/>
      <c r="EBI163" s="679"/>
      <c r="EBJ163" s="679"/>
      <c r="EBK163" s="679"/>
      <c r="EBL163" s="679"/>
      <c r="EBM163" s="679"/>
      <c r="EBN163" s="679"/>
      <c r="EBO163" s="679"/>
      <c r="EBP163" s="679"/>
      <c r="EBQ163" s="679"/>
      <c r="EBR163" s="679"/>
      <c r="EBS163" s="679"/>
      <c r="EBT163" s="679"/>
      <c r="EBU163" s="679"/>
      <c r="EBV163" s="679"/>
      <c r="EBW163" s="679"/>
      <c r="EBX163" s="679"/>
      <c r="EBY163" s="679"/>
      <c r="EBZ163" s="679"/>
      <c r="ECA163" s="679"/>
      <c r="ECB163" s="679"/>
      <c r="ECC163" s="679"/>
      <c r="ECD163" s="679"/>
      <c r="ECE163" s="679"/>
      <c r="ECF163" s="679"/>
      <c r="ECG163" s="679"/>
      <c r="ECH163" s="679"/>
      <c r="ECI163" s="679"/>
      <c r="ECJ163" s="679"/>
      <c r="ECK163" s="679"/>
      <c r="ECL163" s="679"/>
      <c r="ECM163" s="679"/>
      <c r="ECN163" s="679"/>
      <c r="ECO163" s="679"/>
      <c r="ECP163" s="679"/>
      <c r="ECQ163" s="679"/>
      <c r="ECR163" s="679"/>
      <c r="ECS163" s="679"/>
      <c r="ECT163" s="679"/>
      <c r="ECU163" s="679"/>
      <c r="ECV163" s="679"/>
      <c r="ECW163" s="679"/>
      <c r="ECX163" s="679"/>
      <c r="ECY163" s="679"/>
      <c r="ECZ163" s="679"/>
      <c r="EDA163" s="679"/>
      <c r="EDB163" s="679"/>
      <c r="EDC163" s="679"/>
      <c r="EDD163" s="679"/>
      <c r="EDE163" s="679"/>
      <c r="EDF163" s="679"/>
      <c r="EDG163" s="679"/>
      <c r="EDH163" s="679"/>
      <c r="EDI163" s="679"/>
      <c r="EDJ163" s="679"/>
      <c r="EDK163" s="679"/>
      <c r="EDL163" s="679"/>
      <c r="EDM163" s="679"/>
      <c r="EDN163" s="679"/>
      <c r="EDO163" s="679"/>
      <c r="EDP163" s="679"/>
      <c r="EDQ163" s="679"/>
      <c r="EDR163" s="679"/>
      <c r="EDS163" s="679"/>
      <c r="EDT163" s="679"/>
      <c r="EDU163" s="679"/>
      <c r="EDV163" s="679"/>
      <c r="EDW163" s="679"/>
      <c r="EDX163" s="679"/>
      <c r="EDY163" s="679"/>
      <c r="EDZ163" s="679"/>
      <c r="EEA163" s="679"/>
      <c r="EEB163" s="679"/>
      <c r="EEC163" s="679"/>
      <c r="EED163" s="679"/>
      <c r="EEE163" s="679"/>
      <c r="EEF163" s="679"/>
      <c r="EEG163" s="679"/>
      <c r="EEH163" s="679"/>
      <c r="EEI163" s="679"/>
      <c r="EEJ163" s="679"/>
      <c r="EEK163" s="679"/>
      <c r="EEL163" s="679"/>
      <c r="EEM163" s="679"/>
      <c r="EEN163" s="679"/>
      <c r="EEO163" s="679"/>
      <c r="EEP163" s="679"/>
      <c r="EEQ163" s="679"/>
      <c r="EER163" s="679"/>
      <c r="EES163" s="679"/>
      <c r="EET163" s="679"/>
      <c r="EEU163" s="679"/>
      <c r="EEV163" s="679"/>
      <c r="EEW163" s="679"/>
      <c r="EEX163" s="679"/>
      <c r="EEY163" s="679"/>
      <c r="EEZ163" s="679"/>
      <c r="EFA163" s="679"/>
      <c r="EFB163" s="679"/>
      <c r="EFC163" s="679"/>
      <c r="EFD163" s="679"/>
      <c r="EFE163" s="679"/>
      <c r="EFF163" s="679"/>
      <c r="EFG163" s="679"/>
      <c r="EFH163" s="679"/>
      <c r="EFI163" s="679"/>
      <c r="EFJ163" s="679"/>
      <c r="EFK163" s="679"/>
      <c r="EFL163" s="679"/>
      <c r="EFM163" s="679"/>
      <c r="EFN163" s="679"/>
      <c r="EFO163" s="679"/>
      <c r="EFP163" s="679"/>
      <c r="EFQ163" s="679"/>
      <c r="EFR163" s="679"/>
      <c r="EFS163" s="679"/>
      <c r="EFT163" s="679"/>
      <c r="EFU163" s="679"/>
      <c r="EFV163" s="679"/>
      <c r="EFW163" s="679"/>
      <c r="EFX163" s="679"/>
      <c r="EFY163" s="679"/>
      <c r="EFZ163" s="679"/>
      <c r="EGA163" s="679"/>
      <c r="EGB163" s="679"/>
      <c r="EGC163" s="679"/>
      <c r="EGD163" s="679"/>
      <c r="EGE163" s="679"/>
      <c r="EGF163" s="679"/>
      <c r="EGG163" s="679"/>
      <c r="EGH163" s="679"/>
      <c r="EGI163" s="679"/>
      <c r="EGJ163" s="679"/>
      <c r="EGK163" s="679"/>
      <c r="EGL163" s="679"/>
      <c r="EGM163" s="679"/>
      <c r="EGN163" s="679"/>
      <c r="EGO163" s="679"/>
      <c r="EGP163" s="679"/>
      <c r="EGQ163" s="679"/>
      <c r="EGR163" s="679"/>
      <c r="EGS163" s="679"/>
      <c r="EGT163" s="679"/>
      <c r="EGU163" s="679"/>
      <c r="EGV163" s="679"/>
      <c r="EGW163" s="679"/>
      <c r="EGX163" s="679"/>
      <c r="EGY163" s="679"/>
      <c r="EGZ163" s="679"/>
      <c r="EHA163" s="679"/>
      <c r="EHB163" s="679"/>
      <c r="EHC163" s="679"/>
      <c r="EHD163" s="679"/>
      <c r="EHE163" s="679"/>
      <c r="EHF163" s="679"/>
      <c r="EHG163" s="679"/>
      <c r="EHH163" s="679"/>
      <c r="EHI163" s="679"/>
      <c r="EHJ163" s="679"/>
      <c r="EHK163" s="679"/>
      <c r="EHL163" s="679"/>
      <c r="EHM163" s="679"/>
      <c r="EHN163" s="679"/>
      <c r="EHO163" s="679"/>
      <c r="EHP163" s="679"/>
      <c r="EHQ163" s="679"/>
      <c r="EHR163" s="679"/>
      <c r="EHS163" s="679"/>
      <c r="EHT163" s="679"/>
      <c r="EHU163" s="679"/>
      <c r="EHV163" s="679"/>
      <c r="EHW163" s="679"/>
      <c r="EHX163" s="679"/>
      <c r="EHY163" s="679"/>
      <c r="EHZ163" s="679"/>
      <c r="EIA163" s="679"/>
      <c r="EIB163" s="679"/>
      <c r="EIC163" s="679"/>
      <c r="EID163" s="679"/>
      <c r="EIE163" s="679"/>
      <c r="EIF163" s="679"/>
      <c r="EIG163" s="679"/>
      <c r="EIH163" s="679"/>
      <c r="EII163" s="679"/>
      <c r="EIJ163" s="679"/>
      <c r="EIK163" s="679"/>
      <c r="EIL163" s="679"/>
      <c r="EIM163" s="679"/>
      <c r="EIN163" s="679"/>
      <c r="EIO163" s="679"/>
      <c r="EIP163" s="679"/>
      <c r="EIQ163" s="679"/>
      <c r="EIR163" s="679"/>
      <c r="EIS163" s="679"/>
      <c r="EIT163" s="679"/>
      <c r="EIU163" s="679"/>
      <c r="EIV163" s="679"/>
      <c r="EIW163" s="679"/>
      <c r="EIX163" s="679"/>
      <c r="EIY163" s="679"/>
      <c r="EIZ163" s="679"/>
      <c r="EJA163" s="679"/>
      <c r="EJB163" s="679"/>
      <c r="EJC163" s="679"/>
      <c r="EJD163" s="679"/>
      <c r="EJE163" s="679"/>
      <c r="EJF163" s="679"/>
      <c r="EJG163" s="679"/>
      <c r="EJH163" s="679"/>
      <c r="EJI163" s="679"/>
      <c r="EJJ163" s="679"/>
      <c r="EJK163" s="679"/>
      <c r="EJL163" s="679"/>
      <c r="EJM163" s="679"/>
      <c r="EJN163" s="679"/>
      <c r="EJO163" s="679"/>
      <c r="EJP163" s="679"/>
      <c r="EJQ163" s="679"/>
      <c r="EJR163" s="679"/>
      <c r="EJS163" s="679"/>
      <c r="EJT163" s="679"/>
      <c r="EJU163" s="679"/>
      <c r="EJV163" s="679"/>
      <c r="EJW163" s="679"/>
      <c r="EJX163" s="679"/>
      <c r="EJY163" s="679"/>
      <c r="EJZ163" s="679"/>
      <c r="EKA163" s="679"/>
      <c r="EKB163" s="679"/>
      <c r="EKC163" s="679"/>
      <c r="EKD163" s="679"/>
      <c r="EKE163" s="679"/>
      <c r="EKF163" s="679"/>
      <c r="EKG163" s="679"/>
      <c r="EKH163" s="679"/>
      <c r="EKI163" s="679"/>
      <c r="EKJ163" s="679"/>
      <c r="EKK163" s="679"/>
      <c r="EKL163" s="679"/>
      <c r="EKM163" s="679"/>
      <c r="EKN163" s="679"/>
      <c r="EKO163" s="679"/>
      <c r="EKP163" s="679"/>
      <c r="EKQ163" s="679"/>
      <c r="EKR163" s="679"/>
      <c r="EKS163" s="679"/>
      <c r="EKT163" s="679"/>
      <c r="EKU163" s="679"/>
      <c r="EKV163" s="679"/>
      <c r="EKW163" s="679"/>
      <c r="EKX163" s="679"/>
      <c r="EKY163" s="679"/>
      <c r="EKZ163" s="679"/>
      <c r="ELA163" s="679"/>
      <c r="ELB163" s="679"/>
      <c r="ELC163" s="679"/>
      <c r="ELD163" s="679"/>
      <c r="ELE163" s="679"/>
      <c r="ELF163" s="679"/>
      <c r="ELG163" s="679"/>
      <c r="ELH163" s="679"/>
      <c r="ELI163" s="679"/>
      <c r="ELJ163" s="679"/>
      <c r="ELK163" s="679"/>
      <c r="ELL163" s="679"/>
      <c r="ELM163" s="679"/>
      <c r="ELN163" s="679"/>
      <c r="ELO163" s="679"/>
      <c r="ELP163" s="679"/>
      <c r="ELQ163" s="679"/>
      <c r="ELR163" s="679"/>
      <c r="ELS163" s="679"/>
      <c r="ELT163" s="679"/>
      <c r="ELU163" s="679"/>
      <c r="ELV163" s="679"/>
      <c r="ELW163" s="679"/>
      <c r="ELX163" s="679"/>
      <c r="ELY163" s="679"/>
      <c r="ELZ163" s="679"/>
      <c r="EMA163" s="679"/>
      <c r="EMB163" s="679"/>
      <c r="EMC163" s="679"/>
      <c r="EMD163" s="679"/>
      <c r="EME163" s="679"/>
      <c r="EMF163" s="679"/>
      <c r="EMG163" s="679"/>
      <c r="EMH163" s="679"/>
      <c r="EMI163" s="679"/>
      <c r="EMJ163" s="679"/>
      <c r="EMK163" s="679"/>
      <c r="EML163" s="679"/>
      <c r="EMM163" s="679"/>
      <c r="EMN163" s="679"/>
      <c r="EMO163" s="679"/>
      <c r="EMP163" s="679"/>
      <c r="EMQ163" s="679"/>
      <c r="EMR163" s="679"/>
      <c r="EMS163" s="679"/>
      <c r="EMT163" s="679"/>
      <c r="EMU163" s="679"/>
      <c r="EMV163" s="679"/>
      <c r="EMW163" s="679"/>
      <c r="EMX163" s="679"/>
      <c r="EMY163" s="679"/>
      <c r="EMZ163" s="679"/>
      <c r="ENA163" s="679"/>
      <c r="ENB163" s="679"/>
      <c r="ENC163" s="679"/>
      <c r="END163" s="679"/>
      <c r="ENE163" s="679"/>
      <c r="ENF163" s="679"/>
      <c r="ENG163" s="679"/>
      <c r="ENH163" s="679"/>
      <c r="ENI163" s="679"/>
      <c r="ENJ163" s="679"/>
      <c r="ENK163" s="679"/>
      <c r="ENL163" s="679"/>
      <c r="ENM163" s="679"/>
      <c r="ENN163" s="679"/>
      <c r="ENO163" s="679"/>
      <c r="ENP163" s="679"/>
      <c r="ENQ163" s="679"/>
      <c r="ENR163" s="679"/>
      <c r="ENS163" s="679"/>
      <c r="ENT163" s="679"/>
      <c r="ENU163" s="679"/>
      <c r="ENV163" s="679"/>
      <c r="ENW163" s="679"/>
      <c r="ENX163" s="679"/>
      <c r="ENY163" s="679"/>
      <c r="ENZ163" s="679"/>
      <c r="EOA163" s="679"/>
      <c r="EOB163" s="679"/>
      <c r="EOC163" s="679"/>
      <c r="EOD163" s="679"/>
      <c r="EOE163" s="679"/>
      <c r="EOF163" s="679"/>
      <c r="EOG163" s="679"/>
      <c r="EOH163" s="679"/>
      <c r="EOI163" s="679"/>
      <c r="EOJ163" s="679"/>
      <c r="EOK163" s="679"/>
      <c r="EOL163" s="679"/>
      <c r="EOM163" s="679"/>
      <c r="EON163" s="679"/>
      <c r="EOO163" s="679"/>
      <c r="EOP163" s="679"/>
      <c r="EOQ163" s="679"/>
      <c r="EOR163" s="679"/>
      <c r="EOS163" s="679"/>
      <c r="EOT163" s="679"/>
      <c r="EOU163" s="679"/>
      <c r="EOV163" s="679"/>
      <c r="EOW163" s="679"/>
      <c r="EOX163" s="679"/>
      <c r="EOY163" s="679"/>
      <c r="EOZ163" s="679"/>
      <c r="EPA163" s="679"/>
      <c r="EPB163" s="679"/>
      <c r="EPC163" s="679"/>
      <c r="EPD163" s="679"/>
      <c r="EPE163" s="679"/>
      <c r="EPF163" s="679"/>
      <c r="EPG163" s="679"/>
      <c r="EPH163" s="679"/>
      <c r="EPI163" s="679"/>
      <c r="EPJ163" s="679"/>
      <c r="EPK163" s="679"/>
      <c r="EPL163" s="679"/>
      <c r="EPM163" s="679"/>
      <c r="EPN163" s="679"/>
      <c r="EPO163" s="679"/>
      <c r="EPP163" s="679"/>
      <c r="EPQ163" s="679"/>
      <c r="EPR163" s="679"/>
      <c r="EPS163" s="679"/>
      <c r="EPT163" s="679"/>
      <c r="EPU163" s="679"/>
      <c r="EPV163" s="679"/>
      <c r="EPW163" s="679"/>
      <c r="EPX163" s="679"/>
      <c r="EPY163" s="679"/>
      <c r="EPZ163" s="679"/>
      <c r="EQA163" s="679"/>
      <c r="EQB163" s="679"/>
      <c r="EQC163" s="679"/>
      <c r="EQD163" s="679"/>
      <c r="EQE163" s="679"/>
      <c r="EQF163" s="679"/>
      <c r="EQG163" s="679"/>
      <c r="EQH163" s="679"/>
      <c r="EQI163" s="679"/>
      <c r="EQJ163" s="679"/>
      <c r="EQK163" s="679"/>
      <c r="EQL163" s="679"/>
      <c r="EQM163" s="679"/>
      <c r="EQN163" s="679"/>
      <c r="EQO163" s="679"/>
      <c r="EQP163" s="679"/>
      <c r="EQQ163" s="679"/>
      <c r="EQR163" s="679"/>
      <c r="EQS163" s="679"/>
      <c r="EQT163" s="679"/>
      <c r="EQU163" s="679"/>
      <c r="EQV163" s="679"/>
      <c r="EQW163" s="679"/>
      <c r="EQX163" s="679"/>
      <c r="EQY163" s="679"/>
      <c r="EQZ163" s="679"/>
      <c r="ERA163" s="679"/>
      <c r="ERB163" s="679"/>
      <c r="ERC163" s="679"/>
      <c r="ERD163" s="679"/>
      <c r="ERE163" s="679"/>
      <c r="ERF163" s="679"/>
      <c r="ERG163" s="679"/>
      <c r="ERH163" s="679"/>
      <c r="ERI163" s="679"/>
      <c r="ERJ163" s="679"/>
      <c r="ERK163" s="679"/>
      <c r="ERL163" s="679"/>
      <c r="ERM163" s="679"/>
      <c r="ERN163" s="679"/>
      <c r="ERO163" s="679"/>
      <c r="ERP163" s="679"/>
      <c r="ERQ163" s="679"/>
      <c r="ERR163" s="679"/>
      <c r="ERS163" s="679"/>
      <c r="ERT163" s="679"/>
      <c r="ERU163" s="679"/>
      <c r="ERV163" s="679"/>
      <c r="ERW163" s="679"/>
      <c r="ERX163" s="679"/>
      <c r="ERY163" s="679"/>
      <c r="ERZ163" s="679"/>
      <c r="ESA163" s="679"/>
      <c r="ESB163" s="679"/>
      <c r="ESC163" s="679"/>
      <c r="ESD163" s="679"/>
      <c r="ESE163" s="679"/>
      <c r="ESF163" s="679"/>
      <c r="ESG163" s="679"/>
      <c r="ESH163" s="679"/>
      <c r="ESI163" s="679"/>
      <c r="ESJ163" s="679"/>
      <c r="ESK163" s="679"/>
      <c r="ESL163" s="679"/>
      <c r="ESM163" s="679"/>
      <c r="ESN163" s="679"/>
      <c r="ESO163" s="679"/>
      <c r="ESP163" s="679"/>
      <c r="ESQ163" s="679"/>
      <c r="ESR163" s="679"/>
      <c r="ESS163" s="679"/>
      <c r="EST163" s="679"/>
      <c r="ESU163" s="679"/>
      <c r="ESV163" s="679"/>
      <c r="ESW163" s="679"/>
      <c r="ESX163" s="679"/>
      <c r="ESY163" s="679"/>
      <c r="ESZ163" s="679"/>
      <c r="ETA163" s="679"/>
      <c r="ETB163" s="679"/>
      <c r="ETC163" s="679"/>
      <c r="ETD163" s="679"/>
      <c r="ETE163" s="679"/>
      <c r="ETF163" s="679"/>
      <c r="ETG163" s="679"/>
      <c r="ETH163" s="679"/>
      <c r="ETI163" s="679"/>
      <c r="ETJ163" s="679"/>
      <c r="ETK163" s="679"/>
      <c r="ETL163" s="679"/>
      <c r="ETM163" s="679"/>
      <c r="ETN163" s="679"/>
      <c r="ETO163" s="679"/>
      <c r="ETP163" s="679"/>
      <c r="ETQ163" s="679"/>
      <c r="ETR163" s="679"/>
      <c r="ETS163" s="679"/>
      <c r="ETT163" s="679"/>
      <c r="ETU163" s="679"/>
      <c r="ETV163" s="679"/>
      <c r="ETW163" s="679"/>
      <c r="ETX163" s="679"/>
      <c r="ETY163" s="679"/>
      <c r="ETZ163" s="679"/>
      <c r="EUA163" s="679"/>
      <c r="EUB163" s="679"/>
      <c r="EUC163" s="679"/>
      <c r="EUD163" s="679"/>
      <c r="EUE163" s="679"/>
      <c r="EUF163" s="679"/>
      <c r="EUG163" s="679"/>
      <c r="EUH163" s="679"/>
      <c r="EUI163" s="679"/>
      <c r="EUJ163" s="679"/>
      <c r="EUK163" s="679"/>
      <c r="EUL163" s="679"/>
      <c r="EUM163" s="679"/>
      <c r="EUN163" s="679"/>
      <c r="EUO163" s="679"/>
      <c r="EUP163" s="679"/>
      <c r="EUQ163" s="679"/>
      <c r="EUR163" s="679"/>
      <c r="EUS163" s="679"/>
      <c r="EUT163" s="679"/>
      <c r="EUU163" s="679"/>
      <c r="EUV163" s="679"/>
      <c r="EUW163" s="679"/>
      <c r="EUX163" s="679"/>
      <c r="EUY163" s="679"/>
      <c r="EUZ163" s="679"/>
      <c r="EVA163" s="679"/>
      <c r="EVB163" s="679"/>
      <c r="EVC163" s="679"/>
      <c r="EVD163" s="679"/>
      <c r="EVE163" s="679"/>
      <c r="EVF163" s="679"/>
      <c r="EVG163" s="679"/>
      <c r="EVH163" s="679"/>
      <c r="EVI163" s="679"/>
      <c r="EVJ163" s="679"/>
      <c r="EVK163" s="679"/>
      <c r="EVL163" s="679"/>
      <c r="EVM163" s="679"/>
      <c r="EVN163" s="679"/>
      <c r="EVO163" s="679"/>
      <c r="EVP163" s="679"/>
      <c r="EVQ163" s="679"/>
      <c r="EVR163" s="679"/>
      <c r="EVS163" s="679"/>
      <c r="EVT163" s="679"/>
      <c r="EVU163" s="679"/>
      <c r="EVV163" s="679"/>
      <c r="EVW163" s="679"/>
      <c r="EVX163" s="679"/>
      <c r="EVY163" s="679"/>
      <c r="EVZ163" s="679"/>
      <c r="EWA163" s="679"/>
      <c r="EWB163" s="679"/>
      <c r="EWC163" s="679"/>
      <c r="EWD163" s="679"/>
      <c r="EWE163" s="679"/>
      <c r="EWF163" s="679"/>
      <c r="EWG163" s="679"/>
      <c r="EWH163" s="679"/>
      <c r="EWI163" s="679"/>
      <c r="EWJ163" s="679"/>
      <c r="EWK163" s="679"/>
      <c r="EWL163" s="679"/>
      <c r="EWM163" s="679"/>
      <c r="EWN163" s="679"/>
      <c r="EWO163" s="679"/>
      <c r="EWP163" s="679"/>
      <c r="EWQ163" s="679"/>
      <c r="EWR163" s="679"/>
      <c r="EWS163" s="679"/>
      <c r="EWT163" s="679"/>
      <c r="EWU163" s="679"/>
      <c r="EWV163" s="679"/>
      <c r="EWW163" s="679"/>
      <c r="EWX163" s="679"/>
      <c r="EWY163" s="679"/>
      <c r="EWZ163" s="679"/>
      <c r="EXA163" s="679"/>
      <c r="EXB163" s="679"/>
      <c r="EXC163" s="679"/>
      <c r="EXD163" s="679"/>
      <c r="EXE163" s="679"/>
      <c r="EXF163" s="679"/>
      <c r="EXG163" s="679"/>
      <c r="EXH163" s="679"/>
      <c r="EXI163" s="679"/>
      <c r="EXJ163" s="679"/>
      <c r="EXK163" s="679"/>
      <c r="EXL163" s="679"/>
      <c r="EXM163" s="679"/>
      <c r="EXN163" s="679"/>
      <c r="EXO163" s="679"/>
      <c r="EXP163" s="679"/>
      <c r="EXQ163" s="679"/>
      <c r="EXR163" s="679"/>
      <c r="EXS163" s="679"/>
      <c r="EXT163" s="679"/>
      <c r="EXU163" s="679"/>
      <c r="EXV163" s="679"/>
      <c r="EXW163" s="679"/>
      <c r="EXX163" s="679"/>
      <c r="EXY163" s="679"/>
      <c r="EXZ163" s="679"/>
      <c r="EYA163" s="679"/>
      <c r="EYB163" s="679"/>
      <c r="EYC163" s="679"/>
      <c r="EYD163" s="679"/>
      <c r="EYE163" s="679"/>
      <c r="EYF163" s="679"/>
      <c r="EYG163" s="679"/>
      <c r="EYH163" s="679"/>
      <c r="EYI163" s="679"/>
      <c r="EYJ163" s="679"/>
      <c r="EYK163" s="679"/>
      <c r="EYL163" s="679"/>
      <c r="EYM163" s="679"/>
      <c r="EYN163" s="679"/>
      <c r="EYO163" s="679"/>
      <c r="EYP163" s="679"/>
      <c r="EYQ163" s="679"/>
      <c r="EYR163" s="679"/>
      <c r="EYS163" s="679"/>
      <c r="EYT163" s="679"/>
      <c r="EYU163" s="679"/>
      <c r="EYV163" s="679"/>
      <c r="EYW163" s="679"/>
      <c r="EYX163" s="679"/>
      <c r="EYY163" s="679"/>
      <c r="EYZ163" s="679"/>
      <c r="EZA163" s="679"/>
      <c r="EZB163" s="679"/>
      <c r="EZC163" s="679"/>
      <c r="EZD163" s="679"/>
      <c r="EZE163" s="679"/>
      <c r="EZF163" s="679"/>
      <c r="EZG163" s="679"/>
      <c r="EZH163" s="679"/>
      <c r="EZI163" s="679"/>
      <c r="EZJ163" s="679"/>
      <c r="EZK163" s="679"/>
      <c r="EZL163" s="679"/>
      <c r="EZM163" s="679"/>
      <c r="EZN163" s="679"/>
      <c r="EZO163" s="679"/>
      <c r="EZP163" s="679"/>
      <c r="EZQ163" s="679"/>
      <c r="EZR163" s="679"/>
      <c r="EZS163" s="679"/>
      <c r="EZT163" s="679"/>
      <c r="EZU163" s="679"/>
      <c r="EZV163" s="679"/>
      <c r="EZW163" s="679"/>
      <c r="EZX163" s="679"/>
      <c r="EZY163" s="679"/>
      <c r="EZZ163" s="679"/>
      <c r="FAA163" s="679"/>
      <c r="FAB163" s="679"/>
      <c r="FAC163" s="679"/>
      <c r="FAD163" s="679"/>
      <c r="FAE163" s="679"/>
      <c r="FAF163" s="679"/>
      <c r="FAG163" s="679"/>
      <c r="FAH163" s="679"/>
      <c r="FAI163" s="679"/>
      <c r="FAJ163" s="679"/>
      <c r="FAK163" s="679"/>
      <c r="FAL163" s="679"/>
      <c r="FAM163" s="679"/>
      <c r="FAN163" s="679"/>
      <c r="FAO163" s="679"/>
      <c r="FAP163" s="679"/>
      <c r="FAQ163" s="679"/>
      <c r="FAR163" s="679"/>
      <c r="FAS163" s="679"/>
      <c r="FAT163" s="679"/>
      <c r="FAU163" s="679"/>
      <c r="FAV163" s="679"/>
      <c r="FAW163" s="679"/>
      <c r="FAX163" s="679"/>
      <c r="FAY163" s="679"/>
      <c r="FAZ163" s="679"/>
      <c r="FBA163" s="679"/>
      <c r="FBB163" s="679"/>
      <c r="FBC163" s="679"/>
      <c r="FBD163" s="679"/>
      <c r="FBE163" s="679"/>
      <c r="FBF163" s="679"/>
      <c r="FBG163" s="679"/>
      <c r="FBH163" s="679"/>
      <c r="FBI163" s="679"/>
      <c r="FBJ163" s="679"/>
      <c r="FBK163" s="679"/>
      <c r="FBL163" s="679"/>
      <c r="FBM163" s="679"/>
      <c r="FBN163" s="679"/>
      <c r="FBO163" s="679"/>
      <c r="FBP163" s="679"/>
      <c r="FBQ163" s="679"/>
      <c r="FBR163" s="679"/>
      <c r="FBS163" s="679"/>
      <c r="FBT163" s="679"/>
      <c r="FBU163" s="679"/>
      <c r="FBV163" s="679"/>
      <c r="FBW163" s="679"/>
      <c r="FBX163" s="679"/>
      <c r="FBY163" s="679"/>
      <c r="FBZ163" s="679"/>
      <c r="FCA163" s="679"/>
      <c r="FCB163" s="679"/>
      <c r="FCC163" s="679"/>
      <c r="FCD163" s="679"/>
      <c r="FCE163" s="679"/>
      <c r="FCF163" s="679"/>
      <c r="FCG163" s="679"/>
      <c r="FCH163" s="679"/>
      <c r="FCI163" s="679"/>
      <c r="FCJ163" s="679"/>
      <c r="FCK163" s="679"/>
      <c r="FCL163" s="679"/>
      <c r="FCM163" s="679"/>
      <c r="FCN163" s="679"/>
      <c r="FCO163" s="679"/>
      <c r="FCP163" s="679"/>
      <c r="FCQ163" s="679"/>
      <c r="FCR163" s="679"/>
      <c r="FCS163" s="679"/>
      <c r="FCT163" s="679"/>
      <c r="FCU163" s="679"/>
      <c r="FCV163" s="679"/>
      <c r="FCW163" s="679"/>
      <c r="FCX163" s="679"/>
      <c r="FCY163" s="679"/>
      <c r="FCZ163" s="679"/>
      <c r="FDA163" s="679"/>
      <c r="FDB163" s="679"/>
      <c r="FDC163" s="679"/>
      <c r="FDD163" s="679"/>
      <c r="FDE163" s="679"/>
      <c r="FDF163" s="679"/>
      <c r="FDG163" s="679"/>
      <c r="FDH163" s="679"/>
      <c r="FDI163" s="679"/>
      <c r="FDJ163" s="679"/>
      <c r="FDK163" s="679"/>
      <c r="FDL163" s="679"/>
      <c r="FDM163" s="679"/>
      <c r="FDN163" s="679"/>
      <c r="FDO163" s="679"/>
      <c r="FDP163" s="679"/>
      <c r="FDQ163" s="679"/>
      <c r="FDR163" s="679"/>
      <c r="FDS163" s="679"/>
      <c r="FDT163" s="679"/>
      <c r="FDU163" s="679"/>
      <c r="FDV163" s="679"/>
      <c r="FDW163" s="679"/>
      <c r="FDX163" s="679"/>
      <c r="FDY163" s="679"/>
      <c r="FDZ163" s="679"/>
      <c r="FEA163" s="679"/>
      <c r="FEB163" s="679"/>
      <c r="FEC163" s="679"/>
      <c r="FED163" s="679"/>
      <c r="FEE163" s="679"/>
      <c r="FEF163" s="679"/>
      <c r="FEG163" s="679"/>
      <c r="FEH163" s="679"/>
      <c r="FEI163" s="679"/>
      <c r="FEJ163" s="679"/>
      <c r="FEK163" s="679"/>
      <c r="FEL163" s="679"/>
      <c r="FEM163" s="679"/>
      <c r="FEN163" s="679"/>
      <c r="FEO163" s="679"/>
      <c r="FEP163" s="679"/>
      <c r="FEQ163" s="679"/>
      <c r="FER163" s="679"/>
      <c r="FES163" s="679"/>
      <c r="FET163" s="679"/>
      <c r="FEU163" s="679"/>
      <c r="FEV163" s="679"/>
      <c r="FEW163" s="679"/>
      <c r="FEX163" s="679"/>
      <c r="FEY163" s="679"/>
      <c r="FEZ163" s="679"/>
      <c r="FFA163" s="679"/>
      <c r="FFB163" s="679"/>
      <c r="FFC163" s="679"/>
      <c r="FFD163" s="679"/>
      <c r="FFE163" s="679"/>
      <c r="FFF163" s="679"/>
      <c r="FFG163" s="679"/>
      <c r="FFH163" s="679"/>
      <c r="FFI163" s="679"/>
      <c r="FFJ163" s="679"/>
      <c r="FFK163" s="679"/>
      <c r="FFL163" s="679"/>
      <c r="FFM163" s="679"/>
      <c r="FFN163" s="679"/>
      <c r="FFO163" s="679"/>
      <c r="FFP163" s="679"/>
      <c r="FFQ163" s="679"/>
      <c r="FFR163" s="679"/>
      <c r="FFS163" s="679"/>
      <c r="FFT163" s="679"/>
      <c r="FFU163" s="679"/>
      <c r="FFV163" s="679"/>
      <c r="FFW163" s="679"/>
      <c r="FFX163" s="679"/>
      <c r="FFY163" s="679"/>
      <c r="FFZ163" s="679"/>
      <c r="FGA163" s="679"/>
      <c r="FGB163" s="679"/>
      <c r="FGC163" s="679"/>
      <c r="FGD163" s="679"/>
      <c r="FGE163" s="679"/>
      <c r="FGF163" s="679"/>
      <c r="FGG163" s="679"/>
      <c r="FGH163" s="679"/>
      <c r="FGI163" s="679"/>
      <c r="FGJ163" s="679"/>
      <c r="FGK163" s="679"/>
      <c r="FGL163" s="679"/>
      <c r="FGM163" s="679"/>
      <c r="FGN163" s="679"/>
      <c r="FGO163" s="679"/>
      <c r="FGP163" s="679"/>
      <c r="FGQ163" s="679"/>
      <c r="FGR163" s="679"/>
      <c r="FGS163" s="679"/>
      <c r="FGT163" s="679"/>
      <c r="FGU163" s="679"/>
      <c r="FGV163" s="679"/>
      <c r="FGW163" s="679"/>
      <c r="FGX163" s="679"/>
      <c r="FGY163" s="679"/>
      <c r="FGZ163" s="679"/>
      <c r="FHA163" s="679"/>
      <c r="FHB163" s="679"/>
      <c r="FHC163" s="679"/>
      <c r="FHD163" s="679"/>
      <c r="FHE163" s="679"/>
      <c r="FHF163" s="679"/>
      <c r="FHG163" s="679"/>
      <c r="FHH163" s="679"/>
      <c r="FHI163" s="679"/>
      <c r="FHJ163" s="679"/>
      <c r="FHK163" s="679"/>
      <c r="FHL163" s="679"/>
      <c r="FHM163" s="679"/>
      <c r="FHN163" s="679"/>
      <c r="FHO163" s="679"/>
      <c r="FHP163" s="679"/>
      <c r="FHQ163" s="679"/>
      <c r="FHR163" s="679"/>
      <c r="FHS163" s="679"/>
      <c r="FHT163" s="679"/>
      <c r="FHU163" s="679"/>
      <c r="FHV163" s="679"/>
      <c r="FHW163" s="679"/>
      <c r="FHX163" s="679"/>
      <c r="FHY163" s="679"/>
      <c r="FHZ163" s="679"/>
      <c r="FIA163" s="679"/>
      <c r="FIB163" s="679"/>
      <c r="FIC163" s="679"/>
      <c r="FID163" s="679"/>
      <c r="FIE163" s="679"/>
      <c r="FIF163" s="679"/>
      <c r="FIG163" s="679"/>
      <c r="FIH163" s="679"/>
      <c r="FII163" s="679"/>
      <c r="FIJ163" s="679"/>
      <c r="FIK163" s="679"/>
      <c r="FIL163" s="679"/>
      <c r="FIM163" s="679"/>
      <c r="FIN163" s="679"/>
      <c r="FIO163" s="679"/>
      <c r="FIP163" s="679"/>
      <c r="FIQ163" s="679"/>
      <c r="FIR163" s="679"/>
      <c r="FIS163" s="679"/>
      <c r="FIT163" s="679"/>
      <c r="FIU163" s="679"/>
      <c r="FIV163" s="679"/>
      <c r="FIW163" s="679"/>
      <c r="FIX163" s="679"/>
      <c r="FIY163" s="679"/>
      <c r="FIZ163" s="679"/>
      <c r="FJA163" s="679"/>
      <c r="FJB163" s="679"/>
      <c r="FJC163" s="679"/>
      <c r="FJD163" s="679"/>
      <c r="FJE163" s="679"/>
      <c r="FJF163" s="679"/>
      <c r="FJG163" s="679"/>
      <c r="FJH163" s="679"/>
      <c r="FJI163" s="679"/>
      <c r="FJJ163" s="679"/>
      <c r="FJK163" s="679"/>
      <c r="FJL163" s="679"/>
      <c r="FJM163" s="679"/>
      <c r="FJN163" s="679"/>
      <c r="FJO163" s="679"/>
      <c r="FJP163" s="679"/>
      <c r="FJQ163" s="679"/>
      <c r="FJR163" s="679"/>
      <c r="FJS163" s="679"/>
      <c r="FJT163" s="679"/>
      <c r="FJU163" s="679"/>
      <c r="FJV163" s="679"/>
      <c r="FJW163" s="679"/>
      <c r="FJX163" s="679"/>
      <c r="FJY163" s="679"/>
      <c r="FJZ163" s="679"/>
      <c r="FKA163" s="679"/>
      <c r="FKB163" s="679"/>
      <c r="FKC163" s="679"/>
      <c r="FKD163" s="679"/>
      <c r="FKE163" s="679"/>
      <c r="FKF163" s="679"/>
      <c r="FKG163" s="679"/>
      <c r="FKH163" s="679"/>
      <c r="FKI163" s="679"/>
      <c r="FKJ163" s="679"/>
      <c r="FKK163" s="679"/>
      <c r="FKL163" s="679"/>
      <c r="FKM163" s="679"/>
      <c r="FKN163" s="679"/>
      <c r="FKO163" s="679"/>
      <c r="FKP163" s="679"/>
      <c r="FKQ163" s="679"/>
      <c r="FKR163" s="679"/>
      <c r="FKS163" s="679"/>
      <c r="FKT163" s="679"/>
      <c r="FKU163" s="679"/>
      <c r="FKV163" s="679"/>
      <c r="FKW163" s="679"/>
      <c r="FKX163" s="679"/>
      <c r="FKY163" s="679"/>
      <c r="FKZ163" s="679"/>
      <c r="FLA163" s="679"/>
      <c r="FLB163" s="679"/>
      <c r="FLC163" s="679"/>
      <c r="FLD163" s="679"/>
      <c r="FLE163" s="679"/>
      <c r="FLF163" s="679"/>
      <c r="FLG163" s="679"/>
      <c r="FLH163" s="679"/>
      <c r="FLI163" s="679"/>
      <c r="FLJ163" s="679"/>
      <c r="FLK163" s="679"/>
      <c r="FLL163" s="679"/>
      <c r="FLM163" s="679"/>
      <c r="FLN163" s="679"/>
      <c r="FLO163" s="679"/>
      <c r="FLP163" s="679"/>
      <c r="FLQ163" s="679"/>
      <c r="FLR163" s="679"/>
      <c r="FLS163" s="679"/>
      <c r="FLT163" s="679"/>
      <c r="FLU163" s="679"/>
      <c r="FLV163" s="679"/>
      <c r="FLW163" s="679"/>
      <c r="FLX163" s="679"/>
      <c r="FLY163" s="679"/>
      <c r="FLZ163" s="679"/>
      <c r="FMA163" s="679"/>
      <c r="FMB163" s="679"/>
      <c r="FMC163" s="679"/>
      <c r="FMD163" s="679"/>
      <c r="FME163" s="679"/>
      <c r="FMF163" s="679"/>
      <c r="FMG163" s="679"/>
      <c r="FMH163" s="679"/>
      <c r="FMI163" s="679"/>
      <c r="FMJ163" s="679"/>
      <c r="FMK163" s="679"/>
      <c r="FML163" s="679"/>
      <c r="FMM163" s="679"/>
      <c r="FMN163" s="679"/>
      <c r="FMO163" s="679"/>
      <c r="FMP163" s="679"/>
      <c r="FMQ163" s="679"/>
      <c r="FMR163" s="679"/>
      <c r="FMS163" s="679"/>
      <c r="FMT163" s="679"/>
      <c r="FMU163" s="679"/>
      <c r="FMV163" s="679"/>
      <c r="FMW163" s="679"/>
      <c r="FMX163" s="679"/>
      <c r="FMY163" s="679"/>
      <c r="FMZ163" s="679"/>
      <c r="FNA163" s="679"/>
      <c r="FNB163" s="679"/>
      <c r="FNC163" s="679"/>
      <c r="FND163" s="679"/>
      <c r="FNE163" s="679"/>
      <c r="FNF163" s="679"/>
      <c r="FNG163" s="679"/>
      <c r="FNH163" s="679"/>
      <c r="FNI163" s="679"/>
      <c r="FNJ163" s="679"/>
      <c r="FNK163" s="679"/>
      <c r="FNL163" s="679"/>
      <c r="FNM163" s="679"/>
      <c r="FNN163" s="679"/>
      <c r="FNO163" s="679"/>
      <c r="FNP163" s="679"/>
      <c r="FNQ163" s="679"/>
      <c r="FNR163" s="679"/>
      <c r="FNS163" s="679"/>
      <c r="FNT163" s="679"/>
      <c r="FNU163" s="679"/>
      <c r="FNV163" s="679"/>
      <c r="FNW163" s="679"/>
      <c r="FNX163" s="679"/>
      <c r="FNY163" s="679"/>
      <c r="FNZ163" s="679"/>
      <c r="FOA163" s="679"/>
      <c r="FOB163" s="679"/>
      <c r="FOC163" s="679"/>
      <c r="FOD163" s="679"/>
      <c r="FOE163" s="679"/>
      <c r="FOF163" s="679"/>
      <c r="FOG163" s="679"/>
      <c r="FOH163" s="679"/>
      <c r="FOI163" s="679"/>
      <c r="FOJ163" s="679"/>
      <c r="FOK163" s="679"/>
      <c r="FOL163" s="679"/>
      <c r="FOM163" s="679"/>
      <c r="FON163" s="679"/>
      <c r="FOO163" s="679"/>
      <c r="FOP163" s="679"/>
      <c r="FOQ163" s="679"/>
      <c r="FOR163" s="679"/>
      <c r="FOS163" s="679"/>
      <c r="FOT163" s="679"/>
      <c r="FOU163" s="679"/>
      <c r="FOV163" s="679"/>
      <c r="FOW163" s="679"/>
      <c r="FOX163" s="679"/>
      <c r="FOY163" s="679"/>
      <c r="FOZ163" s="679"/>
      <c r="FPA163" s="679"/>
      <c r="FPB163" s="679"/>
      <c r="FPC163" s="679"/>
      <c r="FPD163" s="679"/>
      <c r="FPE163" s="679"/>
      <c r="FPF163" s="679"/>
      <c r="FPG163" s="679"/>
      <c r="FPH163" s="679"/>
      <c r="FPI163" s="679"/>
      <c r="FPJ163" s="679"/>
      <c r="FPK163" s="679"/>
      <c r="FPL163" s="679"/>
      <c r="FPM163" s="679"/>
      <c r="FPN163" s="679"/>
      <c r="FPO163" s="679"/>
      <c r="FPP163" s="679"/>
      <c r="FPQ163" s="679"/>
      <c r="FPR163" s="679"/>
      <c r="FPS163" s="679"/>
      <c r="FPT163" s="679"/>
      <c r="FPU163" s="679"/>
      <c r="FPV163" s="679"/>
      <c r="FPW163" s="679"/>
      <c r="FPX163" s="679"/>
      <c r="FPY163" s="679"/>
      <c r="FPZ163" s="679"/>
      <c r="FQA163" s="679"/>
      <c r="FQB163" s="679"/>
      <c r="FQC163" s="679"/>
      <c r="FQD163" s="679"/>
      <c r="FQE163" s="679"/>
      <c r="FQF163" s="679"/>
      <c r="FQG163" s="679"/>
      <c r="FQH163" s="679"/>
      <c r="FQI163" s="679"/>
      <c r="FQJ163" s="679"/>
      <c r="FQK163" s="679"/>
      <c r="FQL163" s="679"/>
      <c r="FQM163" s="679"/>
      <c r="FQN163" s="679"/>
      <c r="FQO163" s="679"/>
      <c r="FQP163" s="679"/>
      <c r="FQQ163" s="679"/>
      <c r="FQR163" s="679"/>
      <c r="FQS163" s="679"/>
      <c r="FQT163" s="679"/>
      <c r="FQU163" s="679"/>
      <c r="FQV163" s="679"/>
      <c r="FQW163" s="679"/>
      <c r="FQX163" s="679"/>
      <c r="FQY163" s="679"/>
      <c r="FQZ163" s="679"/>
      <c r="FRA163" s="679"/>
      <c r="FRB163" s="679"/>
      <c r="FRC163" s="679"/>
      <c r="FRD163" s="679"/>
      <c r="FRE163" s="679"/>
      <c r="FRF163" s="679"/>
      <c r="FRG163" s="679"/>
      <c r="FRH163" s="679"/>
      <c r="FRI163" s="679"/>
      <c r="FRJ163" s="679"/>
      <c r="FRK163" s="679"/>
      <c r="FRL163" s="679"/>
      <c r="FRM163" s="679"/>
      <c r="FRN163" s="679"/>
      <c r="FRO163" s="679"/>
      <c r="FRP163" s="679"/>
      <c r="FRQ163" s="679"/>
      <c r="FRR163" s="679"/>
      <c r="FRS163" s="679"/>
      <c r="FRT163" s="679"/>
      <c r="FRU163" s="679"/>
      <c r="FRV163" s="679"/>
      <c r="FRW163" s="679"/>
      <c r="FRX163" s="679"/>
      <c r="FRY163" s="679"/>
      <c r="FRZ163" s="679"/>
      <c r="FSA163" s="679"/>
      <c r="FSB163" s="679"/>
      <c r="FSC163" s="679"/>
      <c r="FSD163" s="679"/>
      <c r="FSE163" s="679"/>
      <c r="FSF163" s="679"/>
      <c r="FSG163" s="679"/>
      <c r="FSH163" s="679"/>
      <c r="FSI163" s="679"/>
      <c r="FSJ163" s="679"/>
      <c r="FSK163" s="679"/>
      <c r="FSL163" s="679"/>
      <c r="FSM163" s="679"/>
      <c r="FSN163" s="679"/>
      <c r="FSO163" s="679"/>
      <c r="FSP163" s="679"/>
      <c r="FSQ163" s="679"/>
      <c r="FSR163" s="679"/>
      <c r="FSS163" s="679"/>
      <c r="FST163" s="679"/>
      <c r="FSU163" s="679"/>
      <c r="FSV163" s="679"/>
      <c r="FSW163" s="679"/>
      <c r="FSX163" s="679"/>
      <c r="FSY163" s="679"/>
      <c r="FSZ163" s="679"/>
      <c r="FTA163" s="679"/>
      <c r="FTB163" s="679"/>
      <c r="FTC163" s="679"/>
      <c r="FTD163" s="679"/>
      <c r="FTE163" s="679"/>
      <c r="FTF163" s="679"/>
      <c r="FTG163" s="679"/>
      <c r="FTH163" s="679"/>
      <c r="FTI163" s="679"/>
      <c r="FTJ163" s="679"/>
      <c r="FTK163" s="679"/>
      <c r="FTL163" s="679"/>
      <c r="FTM163" s="679"/>
      <c r="FTN163" s="679"/>
      <c r="FTO163" s="679"/>
      <c r="FTP163" s="679"/>
      <c r="FTQ163" s="679"/>
      <c r="FTR163" s="679"/>
      <c r="FTS163" s="679"/>
      <c r="FTT163" s="679"/>
      <c r="FTU163" s="679"/>
      <c r="FTV163" s="679"/>
      <c r="FTW163" s="679"/>
      <c r="FTX163" s="679"/>
      <c r="FTY163" s="679"/>
      <c r="FTZ163" s="679"/>
      <c r="FUA163" s="679"/>
      <c r="FUB163" s="679"/>
      <c r="FUC163" s="679"/>
      <c r="FUD163" s="679"/>
      <c r="FUE163" s="679"/>
      <c r="FUF163" s="679"/>
      <c r="FUG163" s="679"/>
      <c r="FUH163" s="679"/>
      <c r="FUI163" s="679"/>
      <c r="FUJ163" s="679"/>
      <c r="FUK163" s="679"/>
      <c r="FUL163" s="679"/>
      <c r="FUM163" s="679"/>
      <c r="FUN163" s="679"/>
      <c r="FUO163" s="679"/>
      <c r="FUP163" s="679"/>
      <c r="FUQ163" s="679"/>
      <c r="FUR163" s="679"/>
      <c r="FUS163" s="679"/>
      <c r="FUT163" s="679"/>
      <c r="FUU163" s="679"/>
      <c r="FUV163" s="679"/>
      <c r="FUW163" s="679"/>
      <c r="FUX163" s="679"/>
      <c r="FUY163" s="679"/>
      <c r="FUZ163" s="679"/>
      <c r="FVA163" s="679"/>
      <c r="FVB163" s="679"/>
      <c r="FVC163" s="679"/>
      <c r="FVD163" s="679"/>
      <c r="FVE163" s="679"/>
      <c r="FVF163" s="679"/>
      <c r="FVG163" s="679"/>
      <c r="FVH163" s="679"/>
      <c r="FVI163" s="679"/>
      <c r="FVJ163" s="679"/>
      <c r="FVK163" s="679"/>
      <c r="FVL163" s="679"/>
      <c r="FVM163" s="679"/>
      <c r="FVN163" s="679"/>
      <c r="FVO163" s="679"/>
      <c r="FVP163" s="679"/>
      <c r="FVQ163" s="679"/>
      <c r="FVR163" s="679"/>
      <c r="FVS163" s="679"/>
      <c r="FVT163" s="679"/>
      <c r="FVU163" s="679"/>
      <c r="FVV163" s="679"/>
      <c r="FVW163" s="679"/>
      <c r="FVX163" s="679"/>
      <c r="FVY163" s="679"/>
      <c r="FVZ163" s="679"/>
      <c r="FWA163" s="679"/>
      <c r="FWB163" s="679"/>
      <c r="FWC163" s="679"/>
      <c r="FWD163" s="679"/>
      <c r="FWE163" s="679"/>
      <c r="FWF163" s="679"/>
      <c r="FWG163" s="679"/>
      <c r="FWH163" s="679"/>
      <c r="FWI163" s="679"/>
      <c r="FWJ163" s="679"/>
      <c r="FWK163" s="679"/>
      <c r="FWL163" s="679"/>
      <c r="FWM163" s="679"/>
      <c r="FWN163" s="679"/>
      <c r="FWO163" s="679"/>
      <c r="FWP163" s="679"/>
      <c r="FWQ163" s="679"/>
      <c r="FWR163" s="679"/>
      <c r="FWS163" s="679"/>
      <c r="FWT163" s="679"/>
      <c r="FWU163" s="679"/>
      <c r="FWV163" s="679"/>
      <c r="FWW163" s="679"/>
      <c r="FWX163" s="679"/>
      <c r="FWY163" s="679"/>
      <c r="FWZ163" s="679"/>
      <c r="FXA163" s="679"/>
      <c r="FXB163" s="679"/>
      <c r="FXC163" s="679"/>
      <c r="FXD163" s="679"/>
      <c r="FXE163" s="679"/>
      <c r="FXF163" s="679"/>
      <c r="FXG163" s="679"/>
      <c r="FXH163" s="679"/>
      <c r="FXI163" s="679"/>
      <c r="FXJ163" s="679"/>
      <c r="FXK163" s="679"/>
      <c r="FXL163" s="679"/>
      <c r="FXM163" s="679"/>
      <c r="FXN163" s="679"/>
      <c r="FXO163" s="679"/>
      <c r="FXP163" s="679"/>
      <c r="FXQ163" s="679"/>
      <c r="FXR163" s="679"/>
      <c r="FXS163" s="679"/>
      <c r="FXT163" s="679"/>
      <c r="FXU163" s="679"/>
      <c r="FXV163" s="679"/>
      <c r="FXW163" s="679"/>
      <c r="FXX163" s="679"/>
      <c r="FXY163" s="679"/>
      <c r="FXZ163" s="679"/>
      <c r="FYA163" s="679"/>
      <c r="FYB163" s="679"/>
      <c r="FYC163" s="679"/>
      <c r="FYD163" s="679"/>
      <c r="FYE163" s="679"/>
      <c r="FYF163" s="679"/>
      <c r="FYG163" s="679"/>
      <c r="FYH163" s="679"/>
      <c r="FYI163" s="679"/>
      <c r="FYJ163" s="679"/>
      <c r="FYK163" s="679"/>
      <c r="FYL163" s="679"/>
      <c r="FYM163" s="679"/>
      <c r="FYN163" s="679"/>
      <c r="FYO163" s="679"/>
      <c r="FYP163" s="679"/>
      <c r="FYQ163" s="679"/>
      <c r="FYR163" s="679"/>
      <c r="FYS163" s="679"/>
      <c r="FYT163" s="679"/>
      <c r="FYU163" s="679"/>
      <c r="FYV163" s="679"/>
      <c r="FYW163" s="679"/>
      <c r="FYX163" s="679"/>
      <c r="FYY163" s="679"/>
      <c r="FYZ163" s="679"/>
      <c r="FZA163" s="679"/>
      <c r="FZB163" s="679"/>
      <c r="FZC163" s="679"/>
      <c r="FZD163" s="679"/>
      <c r="FZE163" s="679"/>
      <c r="FZF163" s="679"/>
      <c r="FZG163" s="679"/>
      <c r="FZH163" s="679"/>
      <c r="FZI163" s="679"/>
      <c r="FZJ163" s="679"/>
      <c r="FZK163" s="679"/>
      <c r="FZL163" s="679"/>
      <c r="FZM163" s="679"/>
      <c r="FZN163" s="679"/>
      <c r="FZO163" s="679"/>
      <c r="FZP163" s="679"/>
      <c r="FZQ163" s="679"/>
      <c r="FZR163" s="679"/>
      <c r="FZS163" s="679"/>
      <c r="FZT163" s="679"/>
      <c r="FZU163" s="679"/>
      <c r="FZV163" s="679"/>
      <c r="FZW163" s="679"/>
      <c r="FZX163" s="679"/>
      <c r="FZY163" s="679"/>
      <c r="FZZ163" s="679"/>
      <c r="GAA163" s="679"/>
      <c r="GAB163" s="679"/>
      <c r="GAC163" s="679"/>
      <c r="GAD163" s="679"/>
      <c r="GAE163" s="679"/>
      <c r="GAF163" s="679"/>
      <c r="GAG163" s="679"/>
      <c r="GAH163" s="679"/>
      <c r="GAI163" s="679"/>
      <c r="GAJ163" s="679"/>
      <c r="GAK163" s="679"/>
      <c r="GAL163" s="679"/>
      <c r="GAM163" s="679"/>
      <c r="GAN163" s="679"/>
      <c r="GAO163" s="679"/>
      <c r="GAP163" s="679"/>
      <c r="GAQ163" s="679"/>
      <c r="GAR163" s="679"/>
      <c r="GAS163" s="679"/>
      <c r="GAT163" s="679"/>
      <c r="GAU163" s="679"/>
      <c r="GAV163" s="679"/>
      <c r="GAW163" s="679"/>
      <c r="GAX163" s="679"/>
      <c r="GAY163" s="679"/>
      <c r="GAZ163" s="679"/>
      <c r="GBA163" s="679"/>
      <c r="GBB163" s="679"/>
      <c r="GBC163" s="679"/>
      <c r="GBD163" s="679"/>
      <c r="GBE163" s="679"/>
      <c r="GBF163" s="679"/>
      <c r="GBG163" s="679"/>
      <c r="GBH163" s="679"/>
      <c r="GBI163" s="679"/>
      <c r="GBJ163" s="679"/>
      <c r="GBK163" s="679"/>
      <c r="GBL163" s="679"/>
      <c r="GBM163" s="679"/>
      <c r="GBN163" s="679"/>
      <c r="GBO163" s="679"/>
      <c r="GBP163" s="679"/>
      <c r="GBQ163" s="679"/>
      <c r="GBR163" s="679"/>
      <c r="GBS163" s="679"/>
      <c r="GBT163" s="679"/>
      <c r="GBU163" s="679"/>
      <c r="GBV163" s="679"/>
      <c r="GBW163" s="679"/>
      <c r="GBX163" s="679"/>
      <c r="GBY163" s="679"/>
      <c r="GBZ163" s="679"/>
      <c r="GCA163" s="679"/>
      <c r="GCB163" s="679"/>
      <c r="GCC163" s="679"/>
      <c r="GCD163" s="679"/>
      <c r="GCE163" s="679"/>
      <c r="GCF163" s="679"/>
      <c r="GCG163" s="679"/>
      <c r="GCH163" s="679"/>
      <c r="GCI163" s="679"/>
      <c r="GCJ163" s="679"/>
      <c r="GCK163" s="679"/>
      <c r="GCL163" s="679"/>
      <c r="GCM163" s="679"/>
      <c r="GCN163" s="679"/>
      <c r="GCO163" s="679"/>
      <c r="GCP163" s="679"/>
      <c r="GCQ163" s="679"/>
      <c r="GCR163" s="679"/>
      <c r="GCS163" s="679"/>
      <c r="GCT163" s="679"/>
      <c r="GCU163" s="679"/>
      <c r="GCV163" s="679"/>
      <c r="GCW163" s="679"/>
      <c r="GCX163" s="679"/>
      <c r="GCY163" s="679"/>
      <c r="GCZ163" s="679"/>
      <c r="GDA163" s="679"/>
      <c r="GDB163" s="679"/>
      <c r="GDC163" s="679"/>
      <c r="GDD163" s="679"/>
      <c r="GDE163" s="679"/>
      <c r="GDF163" s="679"/>
      <c r="GDG163" s="679"/>
      <c r="GDH163" s="679"/>
      <c r="GDI163" s="679"/>
      <c r="GDJ163" s="679"/>
      <c r="GDK163" s="679"/>
      <c r="GDL163" s="679"/>
      <c r="GDM163" s="679"/>
      <c r="GDN163" s="679"/>
      <c r="GDO163" s="679"/>
      <c r="GDP163" s="679"/>
      <c r="GDQ163" s="679"/>
      <c r="GDR163" s="679"/>
      <c r="GDS163" s="679"/>
      <c r="GDT163" s="679"/>
      <c r="GDU163" s="679"/>
      <c r="GDV163" s="679"/>
      <c r="GDW163" s="679"/>
      <c r="GDX163" s="679"/>
      <c r="GDY163" s="679"/>
      <c r="GDZ163" s="679"/>
      <c r="GEA163" s="679"/>
      <c r="GEB163" s="679"/>
      <c r="GEC163" s="679"/>
      <c r="GED163" s="679"/>
      <c r="GEE163" s="679"/>
      <c r="GEF163" s="679"/>
      <c r="GEG163" s="679"/>
      <c r="GEH163" s="679"/>
      <c r="GEI163" s="679"/>
      <c r="GEJ163" s="679"/>
      <c r="GEK163" s="679"/>
      <c r="GEL163" s="679"/>
      <c r="GEM163" s="679"/>
      <c r="GEN163" s="679"/>
      <c r="GEO163" s="679"/>
      <c r="GEP163" s="679"/>
      <c r="GEQ163" s="679"/>
      <c r="GER163" s="679"/>
      <c r="GES163" s="679"/>
      <c r="GET163" s="679"/>
      <c r="GEU163" s="679"/>
      <c r="GEV163" s="679"/>
      <c r="GEW163" s="679"/>
      <c r="GEX163" s="679"/>
      <c r="GEY163" s="679"/>
      <c r="GEZ163" s="679"/>
      <c r="GFA163" s="679"/>
      <c r="GFB163" s="679"/>
      <c r="GFC163" s="679"/>
      <c r="GFD163" s="679"/>
      <c r="GFE163" s="679"/>
      <c r="GFF163" s="679"/>
      <c r="GFG163" s="679"/>
      <c r="GFH163" s="679"/>
      <c r="GFI163" s="679"/>
      <c r="GFJ163" s="679"/>
      <c r="GFK163" s="679"/>
      <c r="GFL163" s="679"/>
      <c r="GFM163" s="679"/>
      <c r="GFN163" s="679"/>
      <c r="GFO163" s="679"/>
      <c r="GFP163" s="679"/>
      <c r="GFQ163" s="679"/>
      <c r="GFR163" s="679"/>
      <c r="GFS163" s="679"/>
      <c r="GFT163" s="679"/>
      <c r="GFU163" s="679"/>
      <c r="GFV163" s="679"/>
      <c r="GFW163" s="679"/>
      <c r="GFX163" s="679"/>
      <c r="GFY163" s="679"/>
      <c r="GFZ163" s="679"/>
      <c r="GGA163" s="679"/>
      <c r="GGB163" s="679"/>
      <c r="GGC163" s="679"/>
      <c r="GGD163" s="679"/>
      <c r="GGE163" s="679"/>
      <c r="GGF163" s="679"/>
      <c r="GGG163" s="679"/>
      <c r="GGH163" s="679"/>
      <c r="GGI163" s="679"/>
      <c r="GGJ163" s="679"/>
      <c r="GGK163" s="679"/>
      <c r="GGL163" s="679"/>
      <c r="GGM163" s="679"/>
      <c r="GGN163" s="679"/>
      <c r="GGO163" s="679"/>
      <c r="GGP163" s="679"/>
      <c r="GGQ163" s="679"/>
      <c r="GGR163" s="679"/>
      <c r="GGS163" s="679"/>
      <c r="GGT163" s="679"/>
      <c r="GGU163" s="679"/>
      <c r="GGV163" s="679"/>
      <c r="GGW163" s="679"/>
      <c r="GGX163" s="679"/>
      <c r="GGY163" s="679"/>
      <c r="GGZ163" s="679"/>
      <c r="GHA163" s="679"/>
      <c r="GHB163" s="679"/>
      <c r="GHC163" s="679"/>
      <c r="GHD163" s="679"/>
      <c r="GHE163" s="679"/>
      <c r="GHF163" s="679"/>
      <c r="GHG163" s="679"/>
      <c r="GHH163" s="679"/>
      <c r="GHI163" s="679"/>
      <c r="GHJ163" s="679"/>
      <c r="GHK163" s="679"/>
      <c r="GHL163" s="679"/>
      <c r="GHM163" s="679"/>
      <c r="GHN163" s="679"/>
      <c r="GHO163" s="679"/>
      <c r="GHP163" s="679"/>
      <c r="GHQ163" s="679"/>
      <c r="GHR163" s="679"/>
      <c r="GHS163" s="679"/>
      <c r="GHT163" s="679"/>
      <c r="GHU163" s="679"/>
      <c r="GHV163" s="679"/>
      <c r="GHW163" s="679"/>
      <c r="GHX163" s="679"/>
      <c r="GHY163" s="679"/>
      <c r="GHZ163" s="679"/>
      <c r="GIA163" s="679"/>
      <c r="GIB163" s="679"/>
      <c r="GIC163" s="679"/>
      <c r="GID163" s="679"/>
      <c r="GIE163" s="679"/>
      <c r="GIF163" s="679"/>
      <c r="GIG163" s="679"/>
      <c r="GIH163" s="679"/>
      <c r="GII163" s="679"/>
      <c r="GIJ163" s="679"/>
      <c r="GIK163" s="679"/>
      <c r="GIL163" s="679"/>
      <c r="GIM163" s="679"/>
      <c r="GIN163" s="679"/>
      <c r="GIO163" s="679"/>
      <c r="GIP163" s="679"/>
      <c r="GIQ163" s="679"/>
      <c r="GIR163" s="679"/>
      <c r="GIS163" s="679"/>
      <c r="GIT163" s="679"/>
      <c r="GIU163" s="679"/>
      <c r="GIV163" s="679"/>
      <c r="GIW163" s="679"/>
      <c r="GIX163" s="679"/>
      <c r="GIY163" s="679"/>
      <c r="GIZ163" s="679"/>
      <c r="GJA163" s="679"/>
      <c r="GJB163" s="679"/>
      <c r="GJC163" s="679"/>
      <c r="GJD163" s="679"/>
      <c r="GJE163" s="679"/>
      <c r="GJF163" s="679"/>
      <c r="GJG163" s="679"/>
      <c r="GJH163" s="679"/>
      <c r="GJI163" s="679"/>
      <c r="GJJ163" s="679"/>
      <c r="GJK163" s="679"/>
      <c r="GJL163" s="679"/>
      <c r="GJM163" s="679"/>
      <c r="GJN163" s="679"/>
      <c r="GJO163" s="679"/>
      <c r="GJP163" s="679"/>
      <c r="GJQ163" s="679"/>
      <c r="GJR163" s="679"/>
      <c r="GJS163" s="679"/>
      <c r="GJT163" s="679"/>
      <c r="GJU163" s="679"/>
      <c r="GJV163" s="679"/>
      <c r="GJW163" s="679"/>
      <c r="GJX163" s="679"/>
      <c r="GJY163" s="679"/>
      <c r="GJZ163" s="679"/>
      <c r="GKA163" s="679"/>
      <c r="GKB163" s="679"/>
      <c r="GKC163" s="679"/>
      <c r="GKD163" s="679"/>
      <c r="GKE163" s="679"/>
      <c r="GKF163" s="679"/>
      <c r="GKG163" s="679"/>
      <c r="GKH163" s="679"/>
      <c r="GKI163" s="679"/>
      <c r="GKJ163" s="679"/>
      <c r="GKK163" s="679"/>
      <c r="GKL163" s="679"/>
      <c r="GKM163" s="679"/>
      <c r="GKN163" s="679"/>
      <c r="GKO163" s="679"/>
      <c r="GKP163" s="679"/>
      <c r="GKQ163" s="679"/>
      <c r="GKR163" s="679"/>
      <c r="GKS163" s="679"/>
      <c r="GKT163" s="679"/>
      <c r="GKU163" s="679"/>
      <c r="GKV163" s="679"/>
      <c r="GKW163" s="679"/>
      <c r="GKX163" s="679"/>
      <c r="GKY163" s="679"/>
      <c r="GKZ163" s="679"/>
      <c r="GLA163" s="679"/>
      <c r="GLB163" s="679"/>
      <c r="GLC163" s="679"/>
      <c r="GLD163" s="679"/>
      <c r="GLE163" s="679"/>
      <c r="GLF163" s="679"/>
      <c r="GLG163" s="679"/>
      <c r="GLH163" s="679"/>
      <c r="GLI163" s="679"/>
      <c r="GLJ163" s="679"/>
      <c r="GLK163" s="679"/>
      <c r="GLL163" s="679"/>
      <c r="GLM163" s="679"/>
      <c r="GLN163" s="679"/>
      <c r="GLO163" s="679"/>
      <c r="GLP163" s="679"/>
      <c r="GLQ163" s="679"/>
      <c r="GLR163" s="679"/>
      <c r="GLS163" s="679"/>
      <c r="GLT163" s="679"/>
      <c r="GLU163" s="679"/>
      <c r="GLV163" s="679"/>
      <c r="GLW163" s="679"/>
      <c r="GLX163" s="679"/>
      <c r="GLY163" s="679"/>
      <c r="GLZ163" s="679"/>
      <c r="GMA163" s="679"/>
      <c r="GMB163" s="679"/>
      <c r="GMC163" s="679"/>
      <c r="GMD163" s="679"/>
      <c r="GME163" s="679"/>
      <c r="GMF163" s="679"/>
      <c r="GMG163" s="679"/>
      <c r="GMH163" s="679"/>
      <c r="GMI163" s="679"/>
      <c r="GMJ163" s="679"/>
      <c r="GMK163" s="679"/>
      <c r="GML163" s="679"/>
      <c r="GMM163" s="679"/>
      <c r="GMN163" s="679"/>
      <c r="GMO163" s="679"/>
      <c r="GMP163" s="679"/>
      <c r="GMQ163" s="679"/>
      <c r="GMR163" s="679"/>
      <c r="GMS163" s="679"/>
      <c r="GMT163" s="679"/>
      <c r="GMU163" s="679"/>
      <c r="GMV163" s="679"/>
      <c r="GMW163" s="679"/>
      <c r="GMX163" s="679"/>
      <c r="GMY163" s="679"/>
      <c r="GMZ163" s="679"/>
      <c r="GNA163" s="679"/>
      <c r="GNB163" s="679"/>
      <c r="GNC163" s="679"/>
      <c r="GND163" s="679"/>
      <c r="GNE163" s="679"/>
      <c r="GNF163" s="679"/>
      <c r="GNG163" s="679"/>
      <c r="GNH163" s="679"/>
      <c r="GNI163" s="679"/>
      <c r="GNJ163" s="679"/>
      <c r="GNK163" s="679"/>
      <c r="GNL163" s="679"/>
      <c r="GNM163" s="679"/>
      <c r="GNN163" s="679"/>
      <c r="GNO163" s="679"/>
      <c r="GNP163" s="679"/>
      <c r="GNQ163" s="679"/>
      <c r="GNR163" s="679"/>
      <c r="GNS163" s="679"/>
      <c r="GNT163" s="679"/>
      <c r="GNU163" s="679"/>
      <c r="GNV163" s="679"/>
      <c r="GNW163" s="679"/>
      <c r="GNX163" s="679"/>
      <c r="GNY163" s="679"/>
      <c r="GNZ163" s="679"/>
      <c r="GOA163" s="679"/>
      <c r="GOB163" s="679"/>
      <c r="GOC163" s="679"/>
      <c r="GOD163" s="679"/>
      <c r="GOE163" s="679"/>
      <c r="GOF163" s="679"/>
      <c r="GOG163" s="679"/>
      <c r="GOH163" s="679"/>
      <c r="GOI163" s="679"/>
      <c r="GOJ163" s="679"/>
      <c r="GOK163" s="679"/>
      <c r="GOL163" s="679"/>
      <c r="GOM163" s="679"/>
      <c r="GON163" s="679"/>
      <c r="GOO163" s="679"/>
      <c r="GOP163" s="679"/>
      <c r="GOQ163" s="679"/>
      <c r="GOR163" s="679"/>
      <c r="GOS163" s="679"/>
      <c r="GOT163" s="679"/>
      <c r="GOU163" s="679"/>
      <c r="GOV163" s="679"/>
      <c r="GOW163" s="679"/>
      <c r="GOX163" s="679"/>
      <c r="GOY163" s="679"/>
      <c r="GOZ163" s="679"/>
      <c r="GPA163" s="679"/>
      <c r="GPB163" s="679"/>
      <c r="GPC163" s="679"/>
      <c r="GPD163" s="679"/>
      <c r="GPE163" s="679"/>
      <c r="GPF163" s="679"/>
      <c r="GPG163" s="679"/>
      <c r="GPH163" s="679"/>
      <c r="GPI163" s="679"/>
      <c r="GPJ163" s="679"/>
      <c r="GPK163" s="679"/>
      <c r="GPL163" s="679"/>
      <c r="GPM163" s="679"/>
      <c r="GPN163" s="679"/>
      <c r="GPO163" s="679"/>
      <c r="GPP163" s="679"/>
      <c r="GPQ163" s="679"/>
      <c r="GPR163" s="679"/>
      <c r="GPS163" s="679"/>
      <c r="GPT163" s="679"/>
      <c r="GPU163" s="679"/>
      <c r="GPV163" s="679"/>
      <c r="GPW163" s="679"/>
      <c r="GPX163" s="679"/>
      <c r="GPY163" s="679"/>
      <c r="GPZ163" s="679"/>
      <c r="GQA163" s="679"/>
      <c r="GQB163" s="679"/>
      <c r="GQC163" s="679"/>
      <c r="GQD163" s="679"/>
      <c r="GQE163" s="679"/>
      <c r="GQF163" s="679"/>
      <c r="GQG163" s="679"/>
      <c r="GQH163" s="679"/>
      <c r="GQI163" s="679"/>
      <c r="GQJ163" s="679"/>
      <c r="GQK163" s="679"/>
      <c r="GQL163" s="679"/>
      <c r="GQM163" s="679"/>
      <c r="GQN163" s="679"/>
      <c r="GQO163" s="679"/>
      <c r="GQP163" s="679"/>
      <c r="GQQ163" s="679"/>
      <c r="GQR163" s="679"/>
      <c r="GQS163" s="679"/>
      <c r="GQT163" s="679"/>
      <c r="GQU163" s="679"/>
      <c r="GQV163" s="679"/>
      <c r="GQW163" s="679"/>
      <c r="GQX163" s="679"/>
      <c r="GQY163" s="679"/>
      <c r="GQZ163" s="679"/>
      <c r="GRA163" s="679"/>
      <c r="GRB163" s="679"/>
      <c r="GRC163" s="679"/>
      <c r="GRD163" s="679"/>
      <c r="GRE163" s="679"/>
      <c r="GRF163" s="679"/>
      <c r="GRG163" s="679"/>
      <c r="GRH163" s="679"/>
      <c r="GRI163" s="679"/>
      <c r="GRJ163" s="679"/>
      <c r="GRK163" s="679"/>
      <c r="GRL163" s="679"/>
      <c r="GRM163" s="679"/>
      <c r="GRN163" s="679"/>
      <c r="GRO163" s="679"/>
      <c r="GRP163" s="679"/>
      <c r="GRQ163" s="679"/>
      <c r="GRR163" s="679"/>
      <c r="GRS163" s="679"/>
      <c r="GRT163" s="679"/>
      <c r="GRU163" s="679"/>
      <c r="GRV163" s="679"/>
      <c r="GRW163" s="679"/>
      <c r="GRX163" s="679"/>
      <c r="GRY163" s="679"/>
      <c r="GRZ163" s="679"/>
      <c r="GSA163" s="679"/>
      <c r="GSB163" s="679"/>
      <c r="GSC163" s="679"/>
      <c r="GSD163" s="679"/>
      <c r="GSE163" s="679"/>
      <c r="GSF163" s="679"/>
      <c r="GSG163" s="679"/>
      <c r="GSH163" s="679"/>
      <c r="GSI163" s="679"/>
      <c r="GSJ163" s="679"/>
      <c r="GSK163" s="679"/>
      <c r="GSL163" s="679"/>
      <c r="GSM163" s="679"/>
      <c r="GSN163" s="679"/>
      <c r="GSO163" s="679"/>
      <c r="GSP163" s="679"/>
      <c r="GSQ163" s="679"/>
      <c r="GSR163" s="679"/>
      <c r="GSS163" s="679"/>
      <c r="GST163" s="679"/>
      <c r="GSU163" s="679"/>
      <c r="GSV163" s="679"/>
      <c r="GSW163" s="679"/>
      <c r="GSX163" s="679"/>
      <c r="GSY163" s="679"/>
      <c r="GSZ163" s="679"/>
      <c r="GTA163" s="679"/>
      <c r="GTB163" s="679"/>
      <c r="GTC163" s="679"/>
      <c r="GTD163" s="679"/>
      <c r="GTE163" s="679"/>
      <c r="GTF163" s="679"/>
      <c r="GTG163" s="679"/>
      <c r="GTH163" s="679"/>
      <c r="GTI163" s="679"/>
      <c r="GTJ163" s="679"/>
      <c r="GTK163" s="679"/>
      <c r="GTL163" s="679"/>
      <c r="GTM163" s="679"/>
      <c r="GTN163" s="679"/>
      <c r="GTO163" s="679"/>
      <c r="GTP163" s="679"/>
      <c r="GTQ163" s="679"/>
      <c r="GTR163" s="679"/>
      <c r="GTS163" s="679"/>
      <c r="GTT163" s="679"/>
      <c r="GTU163" s="679"/>
      <c r="GTV163" s="679"/>
      <c r="GTW163" s="679"/>
      <c r="GTX163" s="679"/>
      <c r="GTY163" s="679"/>
      <c r="GTZ163" s="679"/>
      <c r="GUA163" s="679"/>
      <c r="GUB163" s="679"/>
      <c r="GUC163" s="679"/>
      <c r="GUD163" s="679"/>
      <c r="GUE163" s="679"/>
      <c r="GUF163" s="679"/>
      <c r="GUG163" s="679"/>
      <c r="GUH163" s="679"/>
      <c r="GUI163" s="679"/>
      <c r="GUJ163" s="679"/>
      <c r="GUK163" s="679"/>
      <c r="GUL163" s="679"/>
      <c r="GUM163" s="679"/>
      <c r="GUN163" s="679"/>
      <c r="GUO163" s="679"/>
      <c r="GUP163" s="679"/>
      <c r="GUQ163" s="679"/>
      <c r="GUR163" s="679"/>
      <c r="GUS163" s="679"/>
      <c r="GUT163" s="679"/>
      <c r="GUU163" s="679"/>
      <c r="GUV163" s="679"/>
      <c r="GUW163" s="679"/>
      <c r="GUX163" s="679"/>
      <c r="GUY163" s="679"/>
      <c r="GUZ163" s="679"/>
      <c r="GVA163" s="679"/>
      <c r="GVB163" s="679"/>
      <c r="GVC163" s="679"/>
      <c r="GVD163" s="679"/>
      <c r="GVE163" s="679"/>
      <c r="GVF163" s="679"/>
      <c r="GVG163" s="679"/>
      <c r="GVH163" s="679"/>
      <c r="GVI163" s="679"/>
      <c r="GVJ163" s="679"/>
      <c r="GVK163" s="679"/>
      <c r="GVL163" s="679"/>
      <c r="GVM163" s="679"/>
      <c r="GVN163" s="679"/>
      <c r="GVO163" s="679"/>
      <c r="GVP163" s="679"/>
      <c r="GVQ163" s="679"/>
      <c r="GVR163" s="679"/>
      <c r="GVS163" s="679"/>
      <c r="GVT163" s="679"/>
      <c r="GVU163" s="679"/>
      <c r="GVV163" s="679"/>
      <c r="GVW163" s="679"/>
      <c r="GVX163" s="679"/>
      <c r="GVY163" s="679"/>
      <c r="GVZ163" s="679"/>
      <c r="GWA163" s="679"/>
      <c r="GWB163" s="679"/>
      <c r="GWC163" s="679"/>
      <c r="GWD163" s="679"/>
      <c r="GWE163" s="679"/>
      <c r="GWF163" s="679"/>
      <c r="GWG163" s="679"/>
      <c r="GWH163" s="679"/>
      <c r="GWI163" s="679"/>
      <c r="GWJ163" s="679"/>
      <c r="GWK163" s="679"/>
      <c r="GWL163" s="679"/>
      <c r="GWM163" s="679"/>
      <c r="GWN163" s="679"/>
      <c r="GWO163" s="679"/>
      <c r="GWP163" s="679"/>
      <c r="GWQ163" s="679"/>
      <c r="GWR163" s="679"/>
      <c r="GWS163" s="679"/>
      <c r="GWT163" s="679"/>
      <c r="GWU163" s="679"/>
      <c r="GWV163" s="679"/>
      <c r="GWW163" s="679"/>
      <c r="GWX163" s="679"/>
      <c r="GWY163" s="679"/>
      <c r="GWZ163" s="679"/>
      <c r="GXA163" s="679"/>
      <c r="GXB163" s="679"/>
      <c r="GXC163" s="679"/>
      <c r="GXD163" s="679"/>
      <c r="GXE163" s="679"/>
      <c r="GXF163" s="679"/>
      <c r="GXG163" s="679"/>
      <c r="GXH163" s="679"/>
      <c r="GXI163" s="679"/>
      <c r="GXJ163" s="679"/>
      <c r="GXK163" s="679"/>
      <c r="GXL163" s="679"/>
      <c r="GXM163" s="679"/>
      <c r="GXN163" s="679"/>
      <c r="GXO163" s="679"/>
      <c r="GXP163" s="679"/>
      <c r="GXQ163" s="679"/>
      <c r="GXR163" s="679"/>
      <c r="GXS163" s="679"/>
      <c r="GXT163" s="679"/>
      <c r="GXU163" s="679"/>
      <c r="GXV163" s="679"/>
      <c r="GXW163" s="679"/>
      <c r="GXX163" s="679"/>
      <c r="GXY163" s="679"/>
      <c r="GXZ163" s="679"/>
      <c r="GYA163" s="679"/>
      <c r="GYB163" s="679"/>
      <c r="GYC163" s="679"/>
      <c r="GYD163" s="679"/>
      <c r="GYE163" s="679"/>
      <c r="GYF163" s="679"/>
      <c r="GYG163" s="679"/>
      <c r="GYH163" s="679"/>
      <c r="GYI163" s="679"/>
      <c r="GYJ163" s="679"/>
      <c r="GYK163" s="679"/>
      <c r="GYL163" s="679"/>
      <c r="GYM163" s="679"/>
      <c r="GYN163" s="679"/>
      <c r="GYO163" s="679"/>
      <c r="GYP163" s="679"/>
      <c r="GYQ163" s="679"/>
      <c r="GYR163" s="679"/>
      <c r="GYS163" s="679"/>
      <c r="GYT163" s="679"/>
      <c r="GYU163" s="679"/>
      <c r="GYV163" s="679"/>
      <c r="GYW163" s="679"/>
      <c r="GYX163" s="679"/>
      <c r="GYY163" s="679"/>
      <c r="GYZ163" s="679"/>
      <c r="GZA163" s="679"/>
      <c r="GZB163" s="679"/>
      <c r="GZC163" s="679"/>
      <c r="GZD163" s="679"/>
      <c r="GZE163" s="679"/>
      <c r="GZF163" s="679"/>
      <c r="GZG163" s="679"/>
      <c r="GZH163" s="679"/>
      <c r="GZI163" s="679"/>
      <c r="GZJ163" s="679"/>
      <c r="GZK163" s="679"/>
      <c r="GZL163" s="679"/>
      <c r="GZM163" s="679"/>
      <c r="GZN163" s="679"/>
      <c r="GZO163" s="679"/>
      <c r="GZP163" s="679"/>
      <c r="GZQ163" s="679"/>
      <c r="GZR163" s="679"/>
      <c r="GZS163" s="679"/>
      <c r="GZT163" s="679"/>
      <c r="GZU163" s="679"/>
      <c r="GZV163" s="679"/>
      <c r="GZW163" s="679"/>
      <c r="GZX163" s="679"/>
      <c r="GZY163" s="679"/>
      <c r="GZZ163" s="679"/>
      <c r="HAA163" s="679"/>
      <c r="HAB163" s="679"/>
      <c r="HAC163" s="679"/>
      <c r="HAD163" s="679"/>
      <c r="HAE163" s="679"/>
      <c r="HAF163" s="679"/>
      <c r="HAG163" s="679"/>
      <c r="HAH163" s="679"/>
      <c r="HAI163" s="679"/>
      <c r="HAJ163" s="679"/>
      <c r="HAK163" s="679"/>
      <c r="HAL163" s="679"/>
      <c r="HAM163" s="679"/>
      <c r="HAN163" s="679"/>
      <c r="HAO163" s="679"/>
      <c r="HAP163" s="679"/>
      <c r="HAQ163" s="679"/>
      <c r="HAR163" s="679"/>
      <c r="HAS163" s="679"/>
      <c r="HAT163" s="679"/>
      <c r="HAU163" s="679"/>
      <c r="HAV163" s="679"/>
      <c r="HAW163" s="679"/>
      <c r="HAX163" s="679"/>
      <c r="HAY163" s="679"/>
      <c r="HAZ163" s="679"/>
      <c r="HBA163" s="679"/>
      <c r="HBB163" s="679"/>
      <c r="HBC163" s="679"/>
      <c r="HBD163" s="679"/>
      <c r="HBE163" s="679"/>
      <c r="HBF163" s="679"/>
      <c r="HBG163" s="679"/>
      <c r="HBH163" s="679"/>
      <c r="HBI163" s="679"/>
      <c r="HBJ163" s="679"/>
      <c r="HBK163" s="679"/>
      <c r="HBL163" s="679"/>
      <c r="HBM163" s="679"/>
      <c r="HBN163" s="679"/>
      <c r="HBO163" s="679"/>
      <c r="HBP163" s="679"/>
      <c r="HBQ163" s="679"/>
      <c r="HBR163" s="679"/>
      <c r="HBS163" s="679"/>
      <c r="HBT163" s="679"/>
      <c r="HBU163" s="679"/>
      <c r="HBV163" s="679"/>
      <c r="HBW163" s="679"/>
      <c r="HBX163" s="679"/>
      <c r="HBY163" s="679"/>
      <c r="HBZ163" s="679"/>
      <c r="HCA163" s="679"/>
      <c r="HCB163" s="679"/>
      <c r="HCC163" s="679"/>
      <c r="HCD163" s="679"/>
      <c r="HCE163" s="679"/>
      <c r="HCF163" s="679"/>
      <c r="HCG163" s="679"/>
      <c r="HCH163" s="679"/>
      <c r="HCI163" s="679"/>
      <c r="HCJ163" s="679"/>
      <c r="HCK163" s="679"/>
      <c r="HCL163" s="679"/>
      <c r="HCM163" s="679"/>
      <c r="HCN163" s="679"/>
      <c r="HCO163" s="679"/>
      <c r="HCP163" s="679"/>
      <c r="HCQ163" s="679"/>
      <c r="HCR163" s="679"/>
      <c r="HCS163" s="679"/>
      <c r="HCT163" s="679"/>
      <c r="HCU163" s="679"/>
      <c r="HCV163" s="679"/>
      <c r="HCW163" s="679"/>
      <c r="HCX163" s="679"/>
      <c r="HCY163" s="679"/>
      <c r="HCZ163" s="679"/>
      <c r="HDA163" s="679"/>
      <c r="HDB163" s="679"/>
      <c r="HDC163" s="679"/>
      <c r="HDD163" s="679"/>
      <c r="HDE163" s="679"/>
      <c r="HDF163" s="679"/>
      <c r="HDG163" s="679"/>
      <c r="HDH163" s="679"/>
      <c r="HDI163" s="679"/>
      <c r="HDJ163" s="679"/>
      <c r="HDK163" s="679"/>
      <c r="HDL163" s="679"/>
      <c r="HDM163" s="679"/>
      <c r="HDN163" s="679"/>
      <c r="HDO163" s="679"/>
      <c r="HDP163" s="679"/>
      <c r="HDQ163" s="679"/>
      <c r="HDR163" s="679"/>
      <c r="HDS163" s="679"/>
      <c r="HDT163" s="679"/>
      <c r="HDU163" s="679"/>
      <c r="HDV163" s="679"/>
      <c r="HDW163" s="679"/>
      <c r="HDX163" s="679"/>
      <c r="HDY163" s="679"/>
      <c r="HDZ163" s="679"/>
      <c r="HEA163" s="679"/>
      <c r="HEB163" s="679"/>
      <c r="HEC163" s="679"/>
      <c r="HED163" s="679"/>
      <c r="HEE163" s="679"/>
      <c r="HEF163" s="679"/>
      <c r="HEG163" s="679"/>
      <c r="HEH163" s="679"/>
      <c r="HEI163" s="679"/>
      <c r="HEJ163" s="679"/>
      <c r="HEK163" s="679"/>
      <c r="HEL163" s="679"/>
      <c r="HEM163" s="679"/>
      <c r="HEN163" s="679"/>
      <c r="HEO163" s="679"/>
      <c r="HEP163" s="679"/>
      <c r="HEQ163" s="679"/>
      <c r="HER163" s="679"/>
      <c r="HES163" s="679"/>
      <c r="HET163" s="679"/>
      <c r="HEU163" s="679"/>
      <c r="HEV163" s="679"/>
      <c r="HEW163" s="679"/>
      <c r="HEX163" s="679"/>
      <c r="HEY163" s="679"/>
      <c r="HEZ163" s="679"/>
      <c r="HFA163" s="679"/>
      <c r="HFB163" s="679"/>
      <c r="HFC163" s="679"/>
      <c r="HFD163" s="679"/>
      <c r="HFE163" s="679"/>
      <c r="HFF163" s="679"/>
      <c r="HFG163" s="679"/>
      <c r="HFH163" s="679"/>
      <c r="HFI163" s="679"/>
      <c r="HFJ163" s="679"/>
      <c r="HFK163" s="679"/>
      <c r="HFL163" s="679"/>
      <c r="HFM163" s="679"/>
      <c r="HFN163" s="679"/>
      <c r="HFO163" s="679"/>
      <c r="HFP163" s="679"/>
      <c r="HFQ163" s="679"/>
      <c r="HFR163" s="679"/>
      <c r="HFS163" s="679"/>
      <c r="HFT163" s="679"/>
      <c r="HFU163" s="679"/>
      <c r="HFV163" s="679"/>
      <c r="HFW163" s="679"/>
      <c r="HFX163" s="679"/>
      <c r="HFY163" s="679"/>
      <c r="HFZ163" s="679"/>
      <c r="HGA163" s="679"/>
      <c r="HGB163" s="679"/>
      <c r="HGC163" s="679"/>
      <c r="HGD163" s="679"/>
      <c r="HGE163" s="679"/>
      <c r="HGF163" s="679"/>
      <c r="HGG163" s="679"/>
      <c r="HGH163" s="679"/>
      <c r="HGI163" s="679"/>
      <c r="HGJ163" s="679"/>
      <c r="HGK163" s="679"/>
      <c r="HGL163" s="679"/>
      <c r="HGM163" s="679"/>
      <c r="HGN163" s="679"/>
      <c r="HGO163" s="679"/>
      <c r="HGP163" s="679"/>
      <c r="HGQ163" s="679"/>
      <c r="HGR163" s="679"/>
      <c r="HGS163" s="679"/>
      <c r="HGT163" s="679"/>
      <c r="HGU163" s="679"/>
      <c r="HGV163" s="679"/>
      <c r="HGW163" s="679"/>
      <c r="HGX163" s="679"/>
      <c r="HGY163" s="679"/>
      <c r="HGZ163" s="679"/>
      <c r="HHA163" s="679"/>
      <c r="HHB163" s="679"/>
      <c r="HHC163" s="679"/>
      <c r="HHD163" s="679"/>
      <c r="HHE163" s="679"/>
      <c r="HHF163" s="679"/>
      <c r="HHG163" s="679"/>
      <c r="HHH163" s="679"/>
      <c r="HHI163" s="679"/>
      <c r="HHJ163" s="679"/>
      <c r="HHK163" s="679"/>
      <c r="HHL163" s="679"/>
      <c r="HHM163" s="679"/>
      <c r="HHN163" s="679"/>
      <c r="HHO163" s="679"/>
      <c r="HHP163" s="679"/>
      <c r="HHQ163" s="679"/>
      <c r="HHR163" s="679"/>
      <c r="HHS163" s="679"/>
      <c r="HHT163" s="679"/>
      <c r="HHU163" s="679"/>
      <c r="HHV163" s="679"/>
      <c r="HHW163" s="679"/>
      <c r="HHX163" s="679"/>
      <c r="HHY163" s="679"/>
      <c r="HHZ163" s="679"/>
      <c r="HIA163" s="679"/>
      <c r="HIB163" s="679"/>
      <c r="HIC163" s="679"/>
      <c r="HID163" s="679"/>
      <c r="HIE163" s="679"/>
      <c r="HIF163" s="679"/>
      <c r="HIG163" s="679"/>
      <c r="HIH163" s="679"/>
      <c r="HII163" s="679"/>
      <c r="HIJ163" s="679"/>
      <c r="HIK163" s="679"/>
      <c r="HIL163" s="679"/>
      <c r="HIM163" s="679"/>
      <c r="HIN163" s="679"/>
      <c r="HIO163" s="679"/>
      <c r="HIP163" s="679"/>
      <c r="HIQ163" s="679"/>
      <c r="HIR163" s="679"/>
      <c r="HIS163" s="679"/>
      <c r="HIT163" s="679"/>
      <c r="HIU163" s="679"/>
      <c r="HIV163" s="679"/>
      <c r="HIW163" s="679"/>
      <c r="HIX163" s="679"/>
      <c r="HIY163" s="679"/>
      <c r="HIZ163" s="679"/>
      <c r="HJA163" s="679"/>
      <c r="HJB163" s="679"/>
      <c r="HJC163" s="679"/>
      <c r="HJD163" s="679"/>
      <c r="HJE163" s="679"/>
      <c r="HJF163" s="679"/>
      <c r="HJG163" s="679"/>
      <c r="HJH163" s="679"/>
      <c r="HJI163" s="679"/>
      <c r="HJJ163" s="679"/>
      <c r="HJK163" s="679"/>
      <c r="HJL163" s="679"/>
      <c r="HJM163" s="679"/>
      <c r="HJN163" s="679"/>
      <c r="HJO163" s="679"/>
      <c r="HJP163" s="679"/>
      <c r="HJQ163" s="679"/>
      <c r="HJR163" s="679"/>
      <c r="HJS163" s="679"/>
      <c r="HJT163" s="679"/>
      <c r="HJU163" s="679"/>
      <c r="HJV163" s="679"/>
      <c r="HJW163" s="679"/>
      <c r="HJX163" s="679"/>
      <c r="HJY163" s="679"/>
      <c r="HJZ163" s="679"/>
      <c r="HKA163" s="679"/>
      <c r="HKB163" s="679"/>
      <c r="HKC163" s="679"/>
      <c r="HKD163" s="679"/>
      <c r="HKE163" s="679"/>
      <c r="HKF163" s="679"/>
      <c r="HKG163" s="679"/>
      <c r="HKH163" s="679"/>
      <c r="HKI163" s="679"/>
      <c r="HKJ163" s="679"/>
      <c r="HKK163" s="679"/>
      <c r="HKL163" s="679"/>
      <c r="HKM163" s="679"/>
      <c r="HKN163" s="679"/>
      <c r="HKO163" s="679"/>
      <c r="HKP163" s="679"/>
      <c r="HKQ163" s="679"/>
      <c r="HKR163" s="679"/>
      <c r="HKS163" s="679"/>
      <c r="HKT163" s="679"/>
      <c r="HKU163" s="679"/>
      <c r="HKV163" s="679"/>
      <c r="HKW163" s="679"/>
      <c r="HKX163" s="679"/>
      <c r="HKY163" s="679"/>
      <c r="HKZ163" s="679"/>
      <c r="HLA163" s="679"/>
      <c r="HLB163" s="679"/>
      <c r="HLC163" s="679"/>
      <c r="HLD163" s="679"/>
      <c r="HLE163" s="679"/>
      <c r="HLF163" s="679"/>
      <c r="HLG163" s="679"/>
      <c r="HLH163" s="679"/>
      <c r="HLI163" s="679"/>
      <c r="HLJ163" s="679"/>
      <c r="HLK163" s="679"/>
      <c r="HLL163" s="679"/>
      <c r="HLM163" s="679"/>
      <c r="HLN163" s="679"/>
      <c r="HLO163" s="679"/>
      <c r="HLP163" s="679"/>
      <c r="HLQ163" s="679"/>
      <c r="HLR163" s="679"/>
      <c r="HLS163" s="679"/>
      <c r="HLT163" s="679"/>
      <c r="HLU163" s="679"/>
      <c r="HLV163" s="679"/>
      <c r="HLW163" s="679"/>
      <c r="HLX163" s="679"/>
      <c r="HLY163" s="679"/>
      <c r="HLZ163" s="679"/>
      <c r="HMA163" s="679"/>
      <c r="HMB163" s="679"/>
      <c r="HMC163" s="679"/>
      <c r="HMD163" s="679"/>
      <c r="HME163" s="679"/>
      <c r="HMF163" s="679"/>
      <c r="HMG163" s="679"/>
      <c r="HMH163" s="679"/>
      <c r="HMI163" s="679"/>
      <c r="HMJ163" s="679"/>
      <c r="HMK163" s="679"/>
      <c r="HML163" s="679"/>
      <c r="HMM163" s="679"/>
      <c r="HMN163" s="679"/>
      <c r="HMO163" s="679"/>
      <c r="HMP163" s="679"/>
      <c r="HMQ163" s="679"/>
      <c r="HMR163" s="679"/>
      <c r="HMS163" s="679"/>
      <c r="HMT163" s="679"/>
      <c r="HMU163" s="679"/>
      <c r="HMV163" s="679"/>
      <c r="HMW163" s="679"/>
      <c r="HMX163" s="679"/>
      <c r="HMY163" s="679"/>
      <c r="HMZ163" s="679"/>
      <c r="HNA163" s="679"/>
      <c r="HNB163" s="679"/>
      <c r="HNC163" s="679"/>
      <c r="HND163" s="679"/>
      <c r="HNE163" s="679"/>
      <c r="HNF163" s="679"/>
      <c r="HNG163" s="679"/>
      <c r="HNH163" s="679"/>
      <c r="HNI163" s="679"/>
      <c r="HNJ163" s="679"/>
      <c r="HNK163" s="679"/>
      <c r="HNL163" s="679"/>
      <c r="HNM163" s="679"/>
      <c r="HNN163" s="679"/>
      <c r="HNO163" s="679"/>
      <c r="HNP163" s="679"/>
      <c r="HNQ163" s="679"/>
      <c r="HNR163" s="679"/>
      <c r="HNS163" s="679"/>
      <c r="HNT163" s="679"/>
      <c r="HNU163" s="679"/>
      <c r="HNV163" s="679"/>
      <c r="HNW163" s="679"/>
      <c r="HNX163" s="679"/>
      <c r="HNY163" s="679"/>
      <c r="HNZ163" s="679"/>
      <c r="HOA163" s="679"/>
      <c r="HOB163" s="679"/>
      <c r="HOC163" s="679"/>
      <c r="HOD163" s="679"/>
      <c r="HOE163" s="679"/>
      <c r="HOF163" s="679"/>
      <c r="HOG163" s="679"/>
      <c r="HOH163" s="679"/>
      <c r="HOI163" s="679"/>
      <c r="HOJ163" s="679"/>
      <c r="HOK163" s="679"/>
      <c r="HOL163" s="679"/>
      <c r="HOM163" s="679"/>
      <c r="HON163" s="679"/>
      <c r="HOO163" s="679"/>
      <c r="HOP163" s="679"/>
      <c r="HOQ163" s="679"/>
      <c r="HOR163" s="679"/>
      <c r="HOS163" s="679"/>
      <c r="HOT163" s="679"/>
      <c r="HOU163" s="679"/>
      <c r="HOV163" s="679"/>
      <c r="HOW163" s="679"/>
      <c r="HOX163" s="679"/>
      <c r="HOY163" s="679"/>
      <c r="HOZ163" s="679"/>
      <c r="HPA163" s="679"/>
      <c r="HPB163" s="679"/>
      <c r="HPC163" s="679"/>
      <c r="HPD163" s="679"/>
      <c r="HPE163" s="679"/>
      <c r="HPF163" s="679"/>
      <c r="HPG163" s="679"/>
      <c r="HPH163" s="679"/>
      <c r="HPI163" s="679"/>
      <c r="HPJ163" s="679"/>
      <c r="HPK163" s="679"/>
      <c r="HPL163" s="679"/>
      <c r="HPM163" s="679"/>
      <c r="HPN163" s="679"/>
      <c r="HPO163" s="679"/>
      <c r="HPP163" s="679"/>
      <c r="HPQ163" s="679"/>
      <c r="HPR163" s="679"/>
      <c r="HPS163" s="679"/>
      <c r="HPT163" s="679"/>
      <c r="HPU163" s="679"/>
      <c r="HPV163" s="679"/>
      <c r="HPW163" s="679"/>
      <c r="HPX163" s="679"/>
      <c r="HPY163" s="679"/>
      <c r="HPZ163" s="679"/>
      <c r="HQA163" s="679"/>
      <c r="HQB163" s="679"/>
      <c r="HQC163" s="679"/>
      <c r="HQD163" s="679"/>
      <c r="HQE163" s="679"/>
      <c r="HQF163" s="679"/>
      <c r="HQG163" s="679"/>
      <c r="HQH163" s="679"/>
      <c r="HQI163" s="679"/>
      <c r="HQJ163" s="679"/>
      <c r="HQK163" s="679"/>
      <c r="HQL163" s="679"/>
      <c r="HQM163" s="679"/>
      <c r="HQN163" s="679"/>
      <c r="HQO163" s="679"/>
      <c r="HQP163" s="679"/>
      <c r="HQQ163" s="679"/>
      <c r="HQR163" s="679"/>
      <c r="HQS163" s="679"/>
      <c r="HQT163" s="679"/>
      <c r="HQU163" s="679"/>
      <c r="HQV163" s="679"/>
      <c r="HQW163" s="679"/>
      <c r="HQX163" s="679"/>
      <c r="HQY163" s="679"/>
      <c r="HQZ163" s="679"/>
      <c r="HRA163" s="679"/>
      <c r="HRB163" s="679"/>
      <c r="HRC163" s="679"/>
      <c r="HRD163" s="679"/>
      <c r="HRE163" s="679"/>
      <c r="HRF163" s="679"/>
      <c r="HRG163" s="679"/>
      <c r="HRH163" s="679"/>
      <c r="HRI163" s="679"/>
      <c r="HRJ163" s="679"/>
      <c r="HRK163" s="679"/>
      <c r="HRL163" s="679"/>
      <c r="HRM163" s="679"/>
      <c r="HRN163" s="679"/>
      <c r="HRO163" s="679"/>
      <c r="HRP163" s="679"/>
      <c r="HRQ163" s="679"/>
      <c r="HRR163" s="679"/>
      <c r="HRS163" s="679"/>
      <c r="HRT163" s="679"/>
      <c r="HRU163" s="679"/>
      <c r="HRV163" s="679"/>
      <c r="HRW163" s="679"/>
      <c r="HRX163" s="679"/>
      <c r="HRY163" s="679"/>
      <c r="HRZ163" s="679"/>
      <c r="HSA163" s="679"/>
      <c r="HSB163" s="679"/>
      <c r="HSC163" s="679"/>
      <c r="HSD163" s="679"/>
      <c r="HSE163" s="679"/>
      <c r="HSF163" s="679"/>
      <c r="HSG163" s="679"/>
      <c r="HSH163" s="679"/>
      <c r="HSI163" s="679"/>
      <c r="HSJ163" s="679"/>
      <c r="HSK163" s="679"/>
      <c r="HSL163" s="679"/>
      <c r="HSM163" s="679"/>
      <c r="HSN163" s="679"/>
      <c r="HSO163" s="679"/>
      <c r="HSP163" s="679"/>
      <c r="HSQ163" s="679"/>
      <c r="HSR163" s="679"/>
      <c r="HSS163" s="679"/>
      <c r="HST163" s="679"/>
      <c r="HSU163" s="679"/>
      <c r="HSV163" s="679"/>
      <c r="HSW163" s="679"/>
      <c r="HSX163" s="679"/>
      <c r="HSY163" s="679"/>
      <c r="HSZ163" s="679"/>
      <c r="HTA163" s="679"/>
      <c r="HTB163" s="679"/>
      <c r="HTC163" s="679"/>
      <c r="HTD163" s="679"/>
      <c r="HTE163" s="679"/>
      <c r="HTF163" s="679"/>
      <c r="HTG163" s="679"/>
      <c r="HTH163" s="679"/>
      <c r="HTI163" s="679"/>
      <c r="HTJ163" s="679"/>
      <c r="HTK163" s="679"/>
      <c r="HTL163" s="679"/>
      <c r="HTM163" s="679"/>
      <c r="HTN163" s="679"/>
      <c r="HTO163" s="679"/>
      <c r="HTP163" s="679"/>
      <c r="HTQ163" s="679"/>
      <c r="HTR163" s="679"/>
      <c r="HTS163" s="679"/>
      <c r="HTT163" s="679"/>
      <c r="HTU163" s="679"/>
      <c r="HTV163" s="679"/>
      <c r="HTW163" s="679"/>
      <c r="HTX163" s="679"/>
      <c r="HTY163" s="679"/>
      <c r="HTZ163" s="679"/>
      <c r="HUA163" s="679"/>
      <c r="HUB163" s="679"/>
      <c r="HUC163" s="679"/>
      <c r="HUD163" s="679"/>
      <c r="HUE163" s="679"/>
      <c r="HUF163" s="679"/>
      <c r="HUG163" s="679"/>
      <c r="HUH163" s="679"/>
      <c r="HUI163" s="679"/>
      <c r="HUJ163" s="679"/>
      <c r="HUK163" s="679"/>
      <c r="HUL163" s="679"/>
      <c r="HUM163" s="679"/>
      <c r="HUN163" s="679"/>
      <c r="HUO163" s="679"/>
      <c r="HUP163" s="679"/>
      <c r="HUQ163" s="679"/>
      <c r="HUR163" s="679"/>
      <c r="HUS163" s="679"/>
      <c r="HUT163" s="679"/>
      <c r="HUU163" s="679"/>
      <c r="HUV163" s="679"/>
      <c r="HUW163" s="679"/>
      <c r="HUX163" s="679"/>
      <c r="HUY163" s="679"/>
      <c r="HUZ163" s="679"/>
      <c r="HVA163" s="679"/>
      <c r="HVB163" s="679"/>
      <c r="HVC163" s="679"/>
      <c r="HVD163" s="679"/>
      <c r="HVE163" s="679"/>
      <c r="HVF163" s="679"/>
      <c r="HVG163" s="679"/>
      <c r="HVH163" s="679"/>
      <c r="HVI163" s="679"/>
      <c r="HVJ163" s="679"/>
      <c r="HVK163" s="679"/>
      <c r="HVL163" s="679"/>
      <c r="HVM163" s="679"/>
      <c r="HVN163" s="679"/>
      <c r="HVO163" s="679"/>
      <c r="HVP163" s="679"/>
      <c r="HVQ163" s="679"/>
      <c r="HVR163" s="679"/>
      <c r="HVS163" s="679"/>
      <c r="HVT163" s="679"/>
      <c r="HVU163" s="679"/>
      <c r="HVV163" s="679"/>
      <c r="HVW163" s="679"/>
      <c r="HVX163" s="679"/>
      <c r="HVY163" s="679"/>
      <c r="HVZ163" s="679"/>
      <c r="HWA163" s="679"/>
      <c r="HWB163" s="679"/>
      <c r="HWC163" s="679"/>
      <c r="HWD163" s="679"/>
      <c r="HWE163" s="679"/>
      <c r="HWF163" s="679"/>
      <c r="HWG163" s="679"/>
      <c r="HWH163" s="679"/>
      <c r="HWI163" s="679"/>
      <c r="HWJ163" s="679"/>
      <c r="HWK163" s="679"/>
      <c r="HWL163" s="679"/>
      <c r="HWM163" s="679"/>
      <c r="HWN163" s="679"/>
      <c r="HWO163" s="679"/>
      <c r="HWP163" s="679"/>
      <c r="HWQ163" s="679"/>
      <c r="HWR163" s="679"/>
      <c r="HWS163" s="679"/>
      <c r="HWT163" s="679"/>
      <c r="HWU163" s="679"/>
      <c r="HWV163" s="679"/>
      <c r="HWW163" s="679"/>
      <c r="HWX163" s="679"/>
      <c r="HWY163" s="679"/>
      <c r="HWZ163" s="679"/>
      <c r="HXA163" s="679"/>
      <c r="HXB163" s="679"/>
      <c r="HXC163" s="679"/>
      <c r="HXD163" s="679"/>
      <c r="HXE163" s="679"/>
      <c r="HXF163" s="679"/>
      <c r="HXG163" s="679"/>
      <c r="HXH163" s="679"/>
      <c r="HXI163" s="679"/>
      <c r="HXJ163" s="679"/>
      <c r="HXK163" s="679"/>
      <c r="HXL163" s="679"/>
      <c r="HXM163" s="679"/>
      <c r="HXN163" s="679"/>
      <c r="HXO163" s="679"/>
      <c r="HXP163" s="679"/>
      <c r="HXQ163" s="679"/>
      <c r="HXR163" s="679"/>
      <c r="HXS163" s="679"/>
      <c r="HXT163" s="679"/>
      <c r="HXU163" s="679"/>
      <c r="HXV163" s="679"/>
      <c r="HXW163" s="679"/>
      <c r="HXX163" s="679"/>
      <c r="HXY163" s="679"/>
      <c r="HXZ163" s="679"/>
      <c r="HYA163" s="679"/>
      <c r="HYB163" s="679"/>
      <c r="HYC163" s="679"/>
      <c r="HYD163" s="679"/>
      <c r="HYE163" s="679"/>
      <c r="HYF163" s="679"/>
      <c r="HYG163" s="679"/>
      <c r="HYH163" s="679"/>
      <c r="HYI163" s="679"/>
      <c r="HYJ163" s="679"/>
      <c r="HYK163" s="679"/>
      <c r="HYL163" s="679"/>
      <c r="HYM163" s="679"/>
      <c r="HYN163" s="679"/>
      <c r="HYO163" s="679"/>
      <c r="HYP163" s="679"/>
      <c r="HYQ163" s="679"/>
      <c r="HYR163" s="679"/>
      <c r="HYS163" s="679"/>
      <c r="HYT163" s="679"/>
      <c r="HYU163" s="679"/>
      <c r="HYV163" s="679"/>
      <c r="HYW163" s="679"/>
      <c r="HYX163" s="679"/>
      <c r="HYY163" s="679"/>
      <c r="HYZ163" s="679"/>
      <c r="HZA163" s="679"/>
      <c r="HZB163" s="679"/>
      <c r="HZC163" s="679"/>
      <c r="HZD163" s="679"/>
      <c r="HZE163" s="679"/>
      <c r="HZF163" s="679"/>
      <c r="HZG163" s="679"/>
      <c r="HZH163" s="679"/>
      <c r="HZI163" s="679"/>
      <c r="HZJ163" s="679"/>
      <c r="HZK163" s="679"/>
      <c r="HZL163" s="679"/>
      <c r="HZM163" s="679"/>
      <c r="HZN163" s="679"/>
      <c r="HZO163" s="679"/>
      <c r="HZP163" s="679"/>
      <c r="HZQ163" s="679"/>
      <c r="HZR163" s="679"/>
      <c r="HZS163" s="679"/>
      <c r="HZT163" s="679"/>
      <c r="HZU163" s="679"/>
      <c r="HZV163" s="679"/>
      <c r="HZW163" s="679"/>
      <c r="HZX163" s="679"/>
      <c r="HZY163" s="679"/>
      <c r="HZZ163" s="679"/>
      <c r="IAA163" s="679"/>
      <c r="IAB163" s="679"/>
      <c r="IAC163" s="679"/>
      <c r="IAD163" s="679"/>
      <c r="IAE163" s="679"/>
      <c r="IAF163" s="679"/>
      <c r="IAG163" s="679"/>
      <c r="IAH163" s="679"/>
      <c r="IAI163" s="679"/>
      <c r="IAJ163" s="679"/>
      <c r="IAK163" s="679"/>
      <c r="IAL163" s="679"/>
      <c r="IAM163" s="679"/>
      <c r="IAN163" s="679"/>
      <c r="IAO163" s="679"/>
      <c r="IAP163" s="679"/>
      <c r="IAQ163" s="679"/>
      <c r="IAR163" s="679"/>
      <c r="IAS163" s="679"/>
      <c r="IAT163" s="679"/>
      <c r="IAU163" s="679"/>
      <c r="IAV163" s="679"/>
      <c r="IAW163" s="679"/>
      <c r="IAX163" s="679"/>
      <c r="IAY163" s="679"/>
      <c r="IAZ163" s="679"/>
      <c r="IBA163" s="679"/>
      <c r="IBB163" s="679"/>
      <c r="IBC163" s="679"/>
      <c r="IBD163" s="679"/>
      <c r="IBE163" s="679"/>
      <c r="IBF163" s="679"/>
      <c r="IBG163" s="679"/>
      <c r="IBH163" s="679"/>
      <c r="IBI163" s="679"/>
      <c r="IBJ163" s="679"/>
      <c r="IBK163" s="679"/>
      <c r="IBL163" s="679"/>
      <c r="IBM163" s="679"/>
      <c r="IBN163" s="679"/>
      <c r="IBO163" s="679"/>
      <c r="IBP163" s="679"/>
      <c r="IBQ163" s="679"/>
      <c r="IBR163" s="679"/>
      <c r="IBS163" s="679"/>
      <c r="IBT163" s="679"/>
      <c r="IBU163" s="679"/>
      <c r="IBV163" s="679"/>
      <c r="IBW163" s="679"/>
      <c r="IBX163" s="679"/>
      <c r="IBY163" s="679"/>
      <c r="IBZ163" s="679"/>
      <c r="ICA163" s="679"/>
      <c r="ICB163" s="679"/>
      <c r="ICC163" s="679"/>
      <c r="ICD163" s="679"/>
      <c r="ICE163" s="679"/>
      <c r="ICF163" s="679"/>
      <c r="ICG163" s="679"/>
      <c r="ICH163" s="679"/>
      <c r="ICI163" s="679"/>
      <c r="ICJ163" s="679"/>
      <c r="ICK163" s="679"/>
      <c r="ICL163" s="679"/>
      <c r="ICM163" s="679"/>
      <c r="ICN163" s="679"/>
      <c r="ICO163" s="679"/>
      <c r="ICP163" s="679"/>
      <c r="ICQ163" s="679"/>
      <c r="ICR163" s="679"/>
      <c r="ICS163" s="679"/>
      <c r="ICT163" s="679"/>
      <c r="ICU163" s="679"/>
      <c r="ICV163" s="679"/>
      <c r="ICW163" s="679"/>
      <c r="ICX163" s="679"/>
      <c r="ICY163" s="679"/>
      <c r="ICZ163" s="679"/>
      <c r="IDA163" s="679"/>
      <c r="IDB163" s="679"/>
      <c r="IDC163" s="679"/>
      <c r="IDD163" s="679"/>
      <c r="IDE163" s="679"/>
      <c r="IDF163" s="679"/>
      <c r="IDG163" s="679"/>
      <c r="IDH163" s="679"/>
      <c r="IDI163" s="679"/>
      <c r="IDJ163" s="679"/>
      <c r="IDK163" s="679"/>
      <c r="IDL163" s="679"/>
      <c r="IDM163" s="679"/>
      <c r="IDN163" s="679"/>
      <c r="IDO163" s="679"/>
      <c r="IDP163" s="679"/>
      <c r="IDQ163" s="679"/>
      <c r="IDR163" s="679"/>
      <c r="IDS163" s="679"/>
      <c r="IDT163" s="679"/>
      <c r="IDU163" s="679"/>
      <c r="IDV163" s="679"/>
      <c r="IDW163" s="679"/>
      <c r="IDX163" s="679"/>
      <c r="IDY163" s="679"/>
      <c r="IDZ163" s="679"/>
      <c r="IEA163" s="679"/>
      <c r="IEB163" s="679"/>
      <c r="IEC163" s="679"/>
      <c r="IED163" s="679"/>
      <c r="IEE163" s="679"/>
      <c r="IEF163" s="679"/>
      <c r="IEG163" s="679"/>
      <c r="IEH163" s="679"/>
      <c r="IEI163" s="679"/>
      <c r="IEJ163" s="679"/>
      <c r="IEK163" s="679"/>
      <c r="IEL163" s="679"/>
      <c r="IEM163" s="679"/>
      <c r="IEN163" s="679"/>
      <c r="IEO163" s="679"/>
      <c r="IEP163" s="679"/>
      <c r="IEQ163" s="679"/>
      <c r="IER163" s="679"/>
      <c r="IES163" s="679"/>
      <c r="IET163" s="679"/>
      <c r="IEU163" s="679"/>
      <c r="IEV163" s="679"/>
      <c r="IEW163" s="679"/>
      <c r="IEX163" s="679"/>
      <c r="IEY163" s="679"/>
      <c r="IEZ163" s="679"/>
      <c r="IFA163" s="679"/>
      <c r="IFB163" s="679"/>
      <c r="IFC163" s="679"/>
      <c r="IFD163" s="679"/>
      <c r="IFE163" s="679"/>
      <c r="IFF163" s="679"/>
      <c r="IFG163" s="679"/>
      <c r="IFH163" s="679"/>
      <c r="IFI163" s="679"/>
      <c r="IFJ163" s="679"/>
      <c r="IFK163" s="679"/>
      <c r="IFL163" s="679"/>
      <c r="IFM163" s="679"/>
      <c r="IFN163" s="679"/>
      <c r="IFO163" s="679"/>
      <c r="IFP163" s="679"/>
      <c r="IFQ163" s="679"/>
      <c r="IFR163" s="679"/>
      <c r="IFS163" s="679"/>
      <c r="IFT163" s="679"/>
      <c r="IFU163" s="679"/>
      <c r="IFV163" s="679"/>
      <c r="IFW163" s="679"/>
      <c r="IFX163" s="679"/>
      <c r="IFY163" s="679"/>
      <c r="IFZ163" s="679"/>
      <c r="IGA163" s="679"/>
      <c r="IGB163" s="679"/>
      <c r="IGC163" s="679"/>
      <c r="IGD163" s="679"/>
      <c r="IGE163" s="679"/>
      <c r="IGF163" s="679"/>
      <c r="IGG163" s="679"/>
      <c r="IGH163" s="679"/>
      <c r="IGI163" s="679"/>
      <c r="IGJ163" s="679"/>
      <c r="IGK163" s="679"/>
      <c r="IGL163" s="679"/>
      <c r="IGM163" s="679"/>
      <c r="IGN163" s="679"/>
      <c r="IGO163" s="679"/>
      <c r="IGP163" s="679"/>
      <c r="IGQ163" s="679"/>
      <c r="IGR163" s="679"/>
      <c r="IGS163" s="679"/>
      <c r="IGT163" s="679"/>
      <c r="IGU163" s="679"/>
      <c r="IGV163" s="679"/>
      <c r="IGW163" s="679"/>
      <c r="IGX163" s="679"/>
      <c r="IGY163" s="679"/>
      <c r="IGZ163" s="679"/>
      <c r="IHA163" s="679"/>
      <c r="IHB163" s="679"/>
      <c r="IHC163" s="679"/>
      <c r="IHD163" s="679"/>
      <c r="IHE163" s="679"/>
      <c r="IHF163" s="679"/>
      <c r="IHG163" s="679"/>
      <c r="IHH163" s="679"/>
      <c r="IHI163" s="679"/>
      <c r="IHJ163" s="679"/>
      <c r="IHK163" s="679"/>
      <c r="IHL163" s="679"/>
      <c r="IHM163" s="679"/>
      <c r="IHN163" s="679"/>
      <c r="IHO163" s="679"/>
      <c r="IHP163" s="679"/>
      <c r="IHQ163" s="679"/>
      <c r="IHR163" s="679"/>
      <c r="IHS163" s="679"/>
      <c r="IHT163" s="679"/>
      <c r="IHU163" s="679"/>
      <c r="IHV163" s="679"/>
      <c r="IHW163" s="679"/>
      <c r="IHX163" s="679"/>
      <c r="IHY163" s="679"/>
      <c r="IHZ163" s="679"/>
      <c r="IIA163" s="679"/>
      <c r="IIB163" s="679"/>
      <c r="IIC163" s="679"/>
      <c r="IID163" s="679"/>
      <c r="IIE163" s="679"/>
      <c r="IIF163" s="679"/>
      <c r="IIG163" s="679"/>
      <c r="IIH163" s="679"/>
      <c r="III163" s="679"/>
      <c r="IIJ163" s="679"/>
      <c r="IIK163" s="679"/>
      <c r="IIL163" s="679"/>
      <c r="IIM163" s="679"/>
      <c r="IIN163" s="679"/>
      <c r="IIO163" s="679"/>
      <c r="IIP163" s="679"/>
      <c r="IIQ163" s="679"/>
      <c r="IIR163" s="679"/>
      <c r="IIS163" s="679"/>
      <c r="IIT163" s="679"/>
      <c r="IIU163" s="679"/>
      <c r="IIV163" s="679"/>
      <c r="IIW163" s="679"/>
      <c r="IIX163" s="679"/>
      <c r="IIY163" s="679"/>
      <c r="IIZ163" s="679"/>
      <c r="IJA163" s="679"/>
      <c r="IJB163" s="679"/>
      <c r="IJC163" s="679"/>
      <c r="IJD163" s="679"/>
      <c r="IJE163" s="679"/>
      <c r="IJF163" s="679"/>
      <c r="IJG163" s="679"/>
      <c r="IJH163" s="679"/>
      <c r="IJI163" s="679"/>
      <c r="IJJ163" s="679"/>
      <c r="IJK163" s="679"/>
      <c r="IJL163" s="679"/>
      <c r="IJM163" s="679"/>
      <c r="IJN163" s="679"/>
      <c r="IJO163" s="679"/>
      <c r="IJP163" s="679"/>
      <c r="IJQ163" s="679"/>
      <c r="IJR163" s="679"/>
      <c r="IJS163" s="679"/>
      <c r="IJT163" s="679"/>
      <c r="IJU163" s="679"/>
      <c r="IJV163" s="679"/>
      <c r="IJW163" s="679"/>
      <c r="IJX163" s="679"/>
      <c r="IJY163" s="679"/>
      <c r="IJZ163" s="679"/>
      <c r="IKA163" s="679"/>
      <c r="IKB163" s="679"/>
      <c r="IKC163" s="679"/>
      <c r="IKD163" s="679"/>
      <c r="IKE163" s="679"/>
      <c r="IKF163" s="679"/>
      <c r="IKG163" s="679"/>
      <c r="IKH163" s="679"/>
      <c r="IKI163" s="679"/>
      <c r="IKJ163" s="679"/>
      <c r="IKK163" s="679"/>
      <c r="IKL163" s="679"/>
      <c r="IKM163" s="679"/>
      <c r="IKN163" s="679"/>
      <c r="IKO163" s="679"/>
      <c r="IKP163" s="679"/>
      <c r="IKQ163" s="679"/>
      <c r="IKR163" s="679"/>
      <c r="IKS163" s="679"/>
      <c r="IKT163" s="679"/>
      <c r="IKU163" s="679"/>
      <c r="IKV163" s="679"/>
      <c r="IKW163" s="679"/>
      <c r="IKX163" s="679"/>
      <c r="IKY163" s="679"/>
      <c r="IKZ163" s="679"/>
      <c r="ILA163" s="679"/>
      <c r="ILB163" s="679"/>
      <c r="ILC163" s="679"/>
      <c r="ILD163" s="679"/>
      <c r="ILE163" s="679"/>
      <c r="ILF163" s="679"/>
      <c r="ILG163" s="679"/>
      <c r="ILH163" s="679"/>
      <c r="ILI163" s="679"/>
      <c r="ILJ163" s="679"/>
      <c r="ILK163" s="679"/>
      <c r="ILL163" s="679"/>
      <c r="ILM163" s="679"/>
      <c r="ILN163" s="679"/>
      <c r="ILO163" s="679"/>
      <c r="ILP163" s="679"/>
      <c r="ILQ163" s="679"/>
      <c r="ILR163" s="679"/>
      <c r="ILS163" s="679"/>
      <c r="ILT163" s="679"/>
      <c r="ILU163" s="679"/>
      <c r="ILV163" s="679"/>
      <c r="ILW163" s="679"/>
      <c r="ILX163" s="679"/>
      <c r="ILY163" s="679"/>
      <c r="ILZ163" s="679"/>
      <c r="IMA163" s="679"/>
      <c r="IMB163" s="679"/>
      <c r="IMC163" s="679"/>
      <c r="IMD163" s="679"/>
      <c r="IME163" s="679"/>
      <c r="IMF163" s="679"/>
      <c r="IMG163" s="679"/>
      <c r="IMH163" s="679"/>
      <c r="IMI163" s="679"/>
      <c r="IMJ163" s="679"/>
      <c r="IMK163" s="679"/>
      <c r="IML163" s="679"/>
      <c r="IMM163" s="679"/>
      <c r="IMN163" s="679"/>
      <c r="IMO163" s="679"/>
      <c r="IMP163" s="679"/>
      <c r="IMQ163" s="679"/>
      <c r="IMR163" s="679"/>
      <c r="IMS163" s="679"/>
      <c r="IMT163" s="679"/>
      <c r="IMU163" s="679"/>
      <c r="IMV163" s="679"/>
      <c r="IMW163" s="679"/>
      <c r="IMX163" s="679"/>
      <c r="IMY163" s="679"/>
      <c r="IMZ163" s="679"/>
      <c r="INA163" s="679"/>
      <c r="INB163" s="679"/>
      <c r="INC163" s="679"/>
      <c r="IND163" s="679"/>
      <c r="INE163" s="679"/>
      <c r="INF163" s="679"/>
      <c r="ING163" s="679"/>
      <c r="INH163" s="679"/>
      <c r="INI163" s="679"/>
      <c r="INJ163" s="679"/>
      <c r="INK163" s="679"/>
      <c r="INL163" s="679"/>
      <c r="INM163" s="679"/>
      <c r="INN163" s="679"/>
      <c r="INO163" s="679"/>
      <c r="INP163" s="679"/>
      <c r="INQ163" s="679"/>
      <c r="INR163" s="679"/>
      <c r="INS163" s="679"/>
      <c r="INT163" s="679"/>
      <c r="INU163" s="679"/>
      <c r="INV163" s="679"/>
      <c r="INW163" s="679"/>
      <c r="INX163" s="679"/>
      <c r="INY163" s="679"/>
      <c r="INZ163" s="679"/>
      <c r="IOA163" s="679"/>
      <c r="IOB163" s="679"/>
      <c r="IOC163" s="679"/>
      <c r="IOD163" s="679"/>
      <c r="IOE163" s="679"/>
      <c r="IOF163" s="679"/>
      <c r="IOG163" s="679"/>
      <c r="IOH163" s="679"/>
      <c r="IOI163" s="679"/>
      <c r="IOJ163" s="679"/>
      <c r="IOK163" s="679"/>
      <c r="IOL163" s="679"/>
      <c r="IOM163" s="679"/>
      <c r="ION163" s="679"/>
      <c r="IOO163" s="679"/>
      <c r="IOP163" s="679"/>
      <c r="IOQ163" s="679"/>
      <c r="IOR163" s="679"/>
      <c r="IOS163" s="679"/>
      <c r="IOT163" s="679"/>
      <c r="IOU163" s="679"/>
      <c r="IOV163" s="679"/>
      <c r="IOW163" s="679"/>
      <c r="IOX163" s="679"/>
      <c r="IOY163" s="679"/>
      <c r="IOZ163" s="679"/>
      <c r="IPA163" s="679"/>
      <c r="IPB163" s="679"/>
      <c r="IPC163" s="679"/>
      <c r="IPD163" s="679"/>
      <c r="IPE163" s="679"/>
      <c r="IPF163" s="679"/>
      <c r="IPG163" s="679"/>
      <c r="IPH163" s="679"/>
      <c r="IPI163" s="679"/>
      <c r="IPJ163" s="679"/>
      <c r="IPK163" s="679"/>
      <c r="IPL163" s="679"/>
      <c r="IPM163" s="679"/>
      <c r="IPN163" s="679"/>
      <c r="IPO163" s="679"/>
      <c r="IPP163" s="679"/>
      <c r="IPQ163" s="679"/>
      <c r="IPR163" s="679"/>
      <c r="IPS163" s="679"/>
      <c r="IPT163" s="679"/>
      <c r="IPU163" s="679"/>
      <c r="IPV163" s="679"/>
      <c r="IPW163" s="679"/>
      <c r="IPX163" s="679"/>
      <c r="IPY163" s="679"/>
      <c r="IPZ163" s="679"/>
      <c r="IQA163" s="679"/>
      <c r="IQB163" s="679"/>
      <c r="IQC163" s="679"/>
      <c r="IQD163" s="679"/>
      <c r="IQE163" s="679"/>
      <c r="IQF163" s="679"/>
      <c r="IQG163" s="679"/>
      <c r="IQH163" s="679"/>
      <c r="IQI163" s="679"/>
      <c r="IQJ163" s="679"/>
      <c r="IQK163" s="679"/>
      <c r="IQL163" s="679"/>
      <c r="IQM163" s="679"/>
      <c r="IQN163" s="679"/>
      <c r="IQO163" s="679"/>
      <c r="IQP163" s="679"/>
      <c r="IQQ163" s="679"/>
      <c r="IQR163" s="679"/>
      <c r="IQS163" s="679"/>
      <c r="IQT163" s="679"/>
      <c r="IQU163" s="679"/>
      <c r="IQV163" s="679"/>
      <c r="IQW163" s="679"/>
      <c r="IQX163" s="679"/>
      <c r="IQY163" s="679"/>
      <c r="IQZ163" s="679"/>
      <c r="IRA163" s="679"/>
      <c r="IRB163" s="679"/>
      <c r="IRC163" s="679"/>
      <c r="IRD163" s="679"/>
      <c r="IRE163" s="679"/>
      <c r="IRF163" s="679"/>
      <c r="IRG163" s="679"/>
      <c r="IRH163" s="679"/>
      <c r="IRI163" s="679"/>
      <c r="IRJ163" s="679"/>
      <c r="IRK163" s="679"/>
      <c r="IRL163" s="679"/>
      <c r="IRM163" s="679"/>
      <c r="IRN163" s="679"/>
      <c r="IRO163" s="679"/>
      <c r="IRP163" s="679"/>
      <c r="IRQ163" s="679"/>
      <c r="IRR163" s="679"/>
      <c r="IRS163" s="679"/>
      <c r="IRT163" s="679"/>
      <c r="IRU163" s="679"/>
      <c r="IRV163" s="679"/>
      <c r="IRW163" s="679"/>
      <c r="IRX163" s="679"/>
      <c r="IRY163" s="679"/>
      <c r="IRZ163" s="679"/>
      <c r="ISA163" s="679"/>
      <c r="ISB163" s="679"/>
      <c r="ISC163" s="679"/>
      <c r="ISD163" s="679"/>
      <c r="ISE163" s="679"/>
      <c r="ISF163" s="679"/>
      <c r="ISG163" s="679"/>
      <c r="ISH163" s="679"/>
      <c r="ISI163" s="679"/>
      <c r="ISJ163" s="679"/>
      <c r="ISK163" s="679"/>
      <c r="ISL163" s="679"/>
      <c r="ISM163" s="679"/>
      <c r="ISN163" s="679"/>
      <c r="ISO163" s="679"/>
      <c r="ISP163" s="679"/>
      <c r="ISQ163" s="679"/>
      <c r="ISR163" s="679"/>
      <c r="ISS163" s="679"/>
      <c r="IST163" s="679"/>
      <c r="ISU163" s="679"/>
      <c r="ISV163" s="679"/>
      <c r="ISW163" s="679"/>
      <c r="ISX163" s="679"/>
      <c r="ISY163" s="679"/>
      <c r="ISZ163" s="679"/>
      <c r="ITA163" s="679"/>
      <c r="ITB163" s="679"/>
      <c r="ITC163" s="679"/>
      <c r="ITD163" s="679"/>
      <c r="ITE163" s="679"/>
      <c r="ITF163" s="679"/>
      <c r="ITG163" s="679"/>
      <c r="ITH163" s="679"/>
      <c r="ITI163" s="679"/>
      <c r="ITJ163" s="679"/>
      <c r="ITK163" s="679"/>
      <c r="ITL163" s="679"/>
      <c r="ITM163" s="679"/>
      <c r="ITN163" s="679"/>
      <c r="ITO163" s="679"/>
      <c r="ITP163" s="679"/>
      <c r="ITQ163" s="679"/>
      <c r="ITR163" s="679"/>
      <c r="ITS163" s="679"/>
      <c r="ITT163" s="679"/>
      <c r="ITU163" s="679"/>
      <c r="ITV163" s="679"/>
      <c r="ITW163" s="679"/>
      <c r="ITX163" s="679"/>
      <c r="ITY163" s="679"/>
      <c r="ITZ163" s="679"/>
      <c r="IUA163" s="679"/>
      <c r="IUB163" s="679"/>
      <c r="IUC163" s="679"/>
      <c r="IUD163" s="679"/>
      <c r="IUE163" s="679"/>
      <c r="IUF163" s="679"/>
      <c r="IUG163" s="679"/>
      <c r="IUH163" s="679"/>
      <c r="IUI163" s="679"/>
      <c r="IUJ163" s="679"/>
      <c r="IUK163" s="679"/>
      <c r="IUL163" s="679"/>
      <c r="IUM163" s="679"/>
      <c r="IUN163" s="679"/>
      <c r="IUO163" s="679"/>
      <c r="IUP163" s="679"/>
      <c r="IUQ163" s="679"/>
      <c r="IUR163" s="679"/>
      <c r="IUS163" s="679"/>
      <c r="IUT163" s="679"/>
      <c r="IUU163" s="679"/>
      <c r="IUV163" s="679"/>
      <c r="IUW163" s="679"/>
      <c r="IUX163" s="679"/>
      <c r="IUY163" s="679"/>
      <c r="IUZ163" s="679"/>
      <c r="IVA163" s="679"/>
      <c r="IVB163" s="679"/>
      <c r="IVC163" s="679"/>
      <c r="IVD163" s="679"/>
      <c r="IVE163" s="679"/>
      <c r="IVF163" s="679"/>
      <c r="IVG163" s="679"/>
      <c r="IVH163" s="679"/>
      <c r="IVI163" s="679"/>
      <c r="IVJ163" s="679"/>
      <c r="IVK163" s="679"/>
      <c r="IVL163" s="679"/>
      <c r="IVM163" s="679"/>
      <c r="IVN163" s="679"/>
      <c r="IVO163" s="679"/>
      <c r="IVP163" s="679"/>
      <c r="IVQ163" s="679"/>
      <c r="IVR163" s="679"/>
      <c r="IVS163" s="679"/>
      <c r="IVT163" s="679"/>
      <c r="IVU163" s="679"/>
      <c r="IVV163" s="679"/>
      <c r="IVW163" s="679"/>
      <c r="IVX163" s="679"/>
      <c r="IVY163" s="679"/>
      <c r="IVZ163" s="679"/>
      <c r="IWA163" s="679"/>
      <c r="IWB163" s="679"/>
      <c r="IWC163" s="679"/>
      <c r="IWD163" s="679"/>
      <c r="IWE163" s="679"/>
      <c r="IWF163" s="679"/>
      <c r="IWG163" s="679"/>
      <c r="IWH163" s="679"/>
      <c r="IWI163" s="679"/>
      <c r="IWJ163" s="679"/>
      <c r="IWK163" s="679"/>
      <c r="IWL163" s="679"/>
      <c r="IWM163" s="679"/>
      <c r="IWN163" s="679"/>
      <c r="IWO163" s="679"/>
      <c r="IWP163" s="679"/>
      <c r="IWQ163" s="679"/>
      <c r="IWR163" s="679"/>
      <c r="IWS163" s="679"/>
      <c r="IWT163" s="679"/>
      <c r="IWU163" s="679"/>
      <c r="IWV163" s="679"/>
      <c r="IWW163" s="679"/>
      <c r="IWX163" s="679"/>
      <c r="IWY163" s="679"/>
      <c r="IWZ163" s="679"/>
      <c r="IXA163" s="679"/>
      <c r="IXB163" s="679"/>
      <c r="IXC163" s="679"/>
      <c r="IXD163" s="679"/>
      <c r="IXE163" s="679"/>
      <c r="IXF163" s="679"/>
      <c r="IXG163" s="679"/>
      <c r="IXH163" s="679"/>
      <c r="IXI163" s="679"/>
      <c r="IXJ163" s="679"/>
      <c r="IXK163" s="679"/>
      <c r="IXL163" s="679"/>
      <c r="IXM163" s="679"/>
      <c r="IXN163" s="679"/>
      <c r="IXO163" s="679"/>
      <c r="IXP163" s="679"/>
      <c r="IXQ163" s="679"/>
      <c r="IXR163" s="679"/>
      <c r="IXS163" s="679"/>
      <c r="IXT163" s="679"/>
      <c r="IXU163" s="679"/>
      <c r="IXV163" s="679"/>
      <c r="IXW163" s="679"/>
      <c r="IXX163" s="679"/>
      <c r="IXY163" s="679"/>
      <c r="IXZ163" s="679"/>
      <c r="IYA163" s="679"/>
      <c r="IYB163" s="679"/>
      <c r="IYC163" s="679"/>
      <c r="IYD163" s="679"/>
      <c r="IYE163" s="679"/>
      <c r="IYF163" s="679"/>
      <c r="IYG163" s="679"/>
      <c r="IYH163" s="679"/>
      <c r="IYI163" s="679"/>
      <c r="IYJ163" s="679"/>
      <c r="IYK163" s="679"/>
      <c r="IYL163" s="679"/>
      <c r="IYM163" s="679"/>
      <c r="IYN163" s="679"/>
      <c r="IYO163" s="679"/>
      <c r="IYP163" s="679"/>
      <c r="IYQ163" s="679"/>
      <c r="IYR163" s="679"/>
      <c r="IYS163" s="679"/>
      <c r="IYT163" s="679"/>
      <c r="IYU163" s="679"/>
      <c r="IYV163" s="679"/>
      <c r="IYW163" s="679"/>
      <c r="IYX163" s="679"/>
      <c r="IYY163" s="679"/>
      <c r="IYZ163" s="679"/>
      <c r="IZA163" s="679"/>
      <c r="IZB163" s="679"/>
      <c r="IZC163" s="679"/>
      <c r="IZD163" s="679"/>
      <c r="IZE163" s="679"/>
      <c r="IZF163" s="679"/>
      <c r="IZG163" s="679"/>
      <c r="IZH163" s="679"/>
      <c r="IZI163" s="679"/>
      <c r="IZJ163" s="679"/>
      <c r="IZK163" s="679"/>
      <c r="IZL163" s="679"/>
      <c r="IZM163" s="679"/>
      <c r="IZN163" s="679"/>
      <c r="IZO163" s="679"/>
      <c r="IZP163" s="679"/>
      <c r="IZQ163" s="679"/>
      <c r="IZR163" s="679"/>
      <c r="IZS163" s="679"/>
      <c r="IZT163" s="679"/>
      <c r="IZU163" s="679"/>
      <c r="IZV163" s="679"/>
      <c r="IZW163" s="679"/>
      <c r="IZX163" s="679"/>
      <c r="IZY163" s="679"/>
      <c r="IZZ163" s="679"/>
      <c r="JAA163" s="679"/>
      <c r="JAB163" s="679"/>
      <c r="JAC163" s="679"/>
      <c r="JAD163" s="679"/>
      <c r="JAE163" s="679"/>
      <c r="JAF163" s="679"/>
      <c r="JAG163" s="679"/>
      <c r="JAH163" s="679"/>
      <c r="JAI163" s="679"/>
      <c r="JAJ163" s="679"/>
      <c r="JAK163" s="679"/>
      <c r="JAL163" s="679"/>
      <c r="JAM163" s="679"/>
      <c r="JAN163" s="679"/>
      <c r="JAO163" s="679"/>
      <c r="JAP163" s="679"/>
      <c r="JAQ163" s="679"/>
      <c r="JAR163" s="679"/>
      <c r="JAS163" s="679"/>
      <c r="JAT163" s="679"/>
      <c r="JAU163" s="679"/>
      <c r="JAV163" s="679"/>
      <c r="JAW163" s="679"/>
      <c r="JAX163" s="679"/>
      <c r="JAY163" s="679"/>
      <c r="JAZ163" s="679"/>
      <c r="JBA163" s="679"/>
      <c r="JBB163" s="679"/>
      <c r="JBC163" s="679"/>
      <c r="JBD163" s="679"/>
      <c r="JBE163" s="679"/>
      <c r="JBF163" s="679"/>
      <c r="JBG163" s="679"/>
      <c r="JBH163" s="679"/>
      <c r="JBI163" s="679"/>
      <c r="JBJ163" s="679"/>
      <c r="JBK163" s="679"/>
      <c r="JBL163" s="679"/>
      <c r="JBM163" s="679"/>
      <c r="JBN163" s="679"/>
      <c r="JBO163" s="679"/>
      <c r="JBP163" s="679"/>
      <c r="JBQ163" s="679"/>
      <c r="JBR163" s="679"/>
      <c r="JBS163" s="679"/>
      <c r="JBT163" s="679"/>
      <c r="JBU163" s="679"/>
      <c r="JBV163" s="679"/>
      <c r="JBW163" s="679"/>
      <c r="JBX163" s="679"/>
      <c r="JBY163" s="679"/>
      <c r="JBZ163" s="679"/>
      <c r="JCA163" s="679"/>
      <c r="JCB163" s="679"/>
      <c r="JCC163" s="679"/>
      <c r="JCD163" s="679"/>
      <c r="JCE163" s="679"/>
      <c r="JCF163" s="679"/>
      <c r="JCG163" s="679"/>
      <c r="JCH163" s="679"/>
      <c r="JCI163" s="679"/>
      <c r="JCJ163" s="679"/>
      <c r="JCK163" s="679"/>
      <c r="JCL163" s="679"/>
      <c r="JCM163" s="679"/>
      <c r="JCN163" s="679"/>
      <c r="JCO163" s="679"/>
      <c r="JCP163" s="679"/>
      <c r="JCQ163" s="679"/>
      <c r="JCR163" s="679"/>
      <c r="JCS163" s="679"/>
      <c r="JCT163" s="679"/>
      <c r="JCU163" s="679"/>
      <c r="JCV163" s="679"/>
      <c r="JCW163" s="679"/>
      <c r="JCX163" s="679"/>
      <c r="JCY163" s="679"/>
      <c r="JCZ163" s="679"/>
      <c r="JDA163" s="679"/>
      <c r="JDB163" s="679"/>
      <c r="JDC163" s="679"/>
      <c r="JDD163" s="679"/>
      <c r="JDE163" s="679"/>
      <c r="JDF163" s="679"/>
      <c r="JDG163" s="679"/>
      <c r="JDH163" s="679"/>
      <c r="JDI163" s="679"/>
      <c r="JDJ163" s="679"/>
      <c r="JDK163" s="679"/>
      <c r="JDL163" s="679"/>
      <c r="JDM163" s="679"/>
      <c r="JDN163" s="679"/>
      <c r="JDO163" s="679"/>
      <c r="JDP163" s="679"/>
      <c r="JDQ163" s="679"/>
      <c r="JDR163" s="679"/>
      <c r="JDS163" s="679"/>
      <c r="JDT163" s="679"/>
      <c r="JDU163" s="679"/>
      <c r="JDV163" s="679"/>
      <c r="JDW163" s="679"/>
      <c r="JDX163" s="679"/>
      <c r="JDY163" s="679"/>
      <c r="JDZ163" s="679"/>
      <c r="JEA163" s="679"/>
      <c r="JEB163" s="679"/>
      <c r="JEC163" s="679"/>
      <c r="JED163" s="679"/>
      <c r="JEE163" s="679"/>
      <c r="JEF163" s="679"/>
      <c r="JEG163" s="679"/>
      <c r="JEH163" s="679"/>
      <c r="JEI163" s="679"/>
      <c r="JEJ163" s="679"/>
      <c r="JEK163" s="679"/>
      <c r="JEL163" s="679"/>
      <c r="JEM163" s="679"/>
      <c r="JEN163" s="679"/>
      <c r="JEO163" s="679"/>
      <c r="JEP163" s="679"/>
      <c r="JEQ163" s="679"/>
      <c r="JER163" s="679"/>
      <c r="JES163" s="679"/>
      <c r="JET163" s="679"/>
      <c r="JEU163" s="679"/>
      <c r="JEV163" s="679"/>
      <c r="JEW163" s="679"/>
      <c r="JEX163" s="679"/>
      <c r="JEY163" s="679"/>
      <c r="JEZ163" s="679"/>
      <c r="JFA163" s="679"/>
      <c r="JFB163" s="679"/>
      <c r="JFC163" s="679"/>
      <c r="JFD163" s="679"/>
      <c r="JFE163" s="679"/>
      <c r="JFF163" s="679"/>
      <c r="JFG163" s="679"/>
      <c r="JFH163" s="679"/>
      <c r="JFI163" s="679"/>
      <c r="JFJ163" s="679"/>
      <c r="JFK163" s="679"/>
      <c r="JFL163" s="679"/>
      <c r="JFM163" s="679"/>
      <c r="JFN163" s="679"/>
      <c r="JFO163" s="679"/>
      <c r="JFP163" s="679"/>
      <c r="JFQ163" s="679"/>
      <c r="JFR163" s="679"/>
      <c r="JFS163" s="679"/>
      <c r="JFT163" s="679"/>
      <c r="JFU163" s="679"/>
      <c r="JFV163" s="679"/>
      <c r="JFW163" s="679"/>
      <c r="JFX163" s="679"/>
      <c r="JFY163" s="679"/>
      <c r="JFZ163" s="679"/>
      <c r="JGA163" s="679"/>
      <c r="JGB163" s="679"/>
      <c r="JGC163" s="679"/>
      <c r="JGD163" s="679"/>
      <c r="JGE163" s="679"/>
      <c r="JGF163" s="679"/>
      <c r="JGG163" s="679"/>
      <c r="JGH163" s="679"/>
      <c r="JGI163" s="679"/>
      <c r="JGJ163" s="679"/>
      <c r="JGK163" s="679"/>
      <c r="JGL163" s="679"/>
      <c r="JGM163" s="679"/>
      <c r="JGN163" s="679"/>
      <c r="JGO163" s="679"/>
      <c r="JGP163" s="679"/>
      <c r="JGQ163" s="679"/>
      <c r="JGR163" s="679"/>
      <c r="JGS163" s="679"/>
      <c r="JGT163" s="679"/>
      <c r="JGU163" s="679"/>
      <c r="JGV163" s="679"/>
      <c r="JGW163" s="679"/>
      <c r="JGX163" s="679"/>
      <c r="JGY163" s="679"/>
      <c r="JGZ163" s="679"/>
      <c r="JHA163" s="679"/>
      <c r="JHB163" s="679"/>
      <c r="JHC163" s="679"/>
      <c r="JHD163" s="679"/>
      <c r="JHE163" s="679"/>
      <c r="JHF163" s="679"/>
      <c r="JHG163" s="679"/>
      <c r="JHH163" s="679"/>
      <c r="JHI163" s="679"/>
      <c r="JHJ163" s="679"/>
      <c r="JHK163" s="679"/>
      <c r="JHL163" s="679"/>
      <c r="JHM163" s="679"/>
      <c r="JHN163" s="679"/>
      <c r="JHO163" s="679"/>
      <c r="JHP163" s="679"/>
      <c r="JHQ163" s="679"/>
      <c r="JHR163" s="679"/>
      <c r="JHS163" s="679"/>
      <c r="JHT163" s="679"/>
      <c r="JHU163" s="679"/>
      <c r="JHV163" s="679"/>
      <c r="JHW163" s="679"/>
      <c r="JHX163" s="679"/>
      <c r="JHY163" s="679"/>
      <c r="JHZ163" s="679"/>
      <c r="JIA163" s="679"/>
      <c r="JIB163" s="679"/>
      <c r="JIC163" s="679"/>
      <c r="JID163" s="679"/>
      <c r="JIE163" s="679"/>
      <c r="JIF163" s="679"/>
      <c r="JIG163" s="679"/>
      <c r="JIH163" s="679"/>
      <c r="JII163" s="679"/>
      <c r="JIJ163" s="679"/>
      <c r="JIK163" s="679"/>
      <c r="JIL163" s="679"/>
      <c r="JIM163" s="679"/>
      <c r="JIN163" s="679"/>
      <c r="JIO163" s="679"/>
      <c r="JIP163" s="679"/>
      <c r="JIQ163" s="679"/>
      <c r="JIR163" s="679"/>
      <c r="JIS163" s="679"/>
      <c r="JIT163" s="679"/>
      <c r="JIU163" s="679"/>
      <c r="JIV163" s="679"/>
      <c r="JIW163" s="679"/>
      <c r="JIX163" s="679"/>
      <c r="JIY163" s="679"/>
      <c r="JIZ163" s="679"/>
      <c r="JJA163" s="679"/>
      <c r="JJB163" s="679"/>
      <c r="JJC163" s="679"/>
      <c r="JJD163" s="679"/>
      <c r="JJE163" s="679"/>
      <c r="JJF163" s="679"/>
      <c r="JJG163" s="679"/>
      <c r="JJH163" s="679"/>
      <c r="JJI163" s="679"/>
      <c r="JJJ163" s="679"/>
      <c r="JJK163" s="679"/>
      <c r="JJL163" s="679"/>
      <c r="JJM163" s="679"/>
      <c r="JJN163" s="679"/>
      <c r="JJO163" s="679"/>
      <c r="JJP163" s="679"/>
      <c r="JJQ163" s="679"/>
      <c r="JJR163" s="679"/>
      <c r="JJS163" s="679"/>
      <c r="JJT163" s="679"/>
      <c r="JJU163" s="679"/>
      <c r="JJV163" s="679"/>
      <c r="JJW163" s="679"/>
      <c r="JJX163" s="679"/>
      <c r="JJY163" s="679"/>
      <c r="JJZ163" s="679"/>
      <c r="JKA163" s="679"/>
      <c r="JKB163" s="679"/>
      <c r="JKC163" s="679"/>
      <c r="JKD163" s="679"/>
      <c r="JKE163" s="679"/>
      <c r="JKF163" s="679"/>
      <c r="JKG163" s="679"/>
      <c r="JKH163" s="679"/>
      <c r="JKI163" s="679"/>
      <c r="JKJ163" s="679"/>
      <c r="JKK163" s="679"/>
      <c r="JKL163" s="679"/>
      <c r="JKM163" s="679"/>
      <c r="JKN163" s="679"/>
      <c r="JKO163" s="679"/>
      <c r="JKP163" s="679"/>
      <c r="JKQ163" s="679"/>
      <c r="JKR163" s="679"/>
      <c r="JKS163" s="679"/>
      <c r="JKT163" s="679"/>
      <c r="JKU163" s="679"/>
      <c r="JKV163" s="679"/>
      <c r="JKW163" s="679"/>
      <c r="JKX163" s="679"/>
      <c r="JKY163" s="679"/>
      <c r="JKZ163" s="679"/>
      <c r="JLA163" s="679"/>
      <c r="JLB163" s="679"/>
      <c r="JLC163" s="679"/>
      <c r="JLD163" s="679"/>
      <c r="JLE163" s="679"/>
      <c r="JLF163" s="679"/>
      <c r="JLG163" s="679"/>
      <c r="JLH163" s="679"/>
      <c r="JLI163" s="679"/>
      <c r="JLJ163" s="679"/>
      <c r="JLK163" s="679"/>
      <c r="JLL163" s="679"/>
      <c r="JLM163" s="679"/>
      <c r="JLN163" s="679"/>
      <c r="JLO163" s="679"/>
      <c r="JLP163" s="679"/>
      <c r="JLQ163" s="679"/>
      <c r="JLR163" s="679"/>
      <c r="JLS163" s="679"/>
      <c r="JLT163" s="679"/>
      <c r="JLU163" s="679"/>
      <c r="JLV163" s="679"/>
      <c r="JLW163" s="679"/>
      <c r="JLX163" s="679"/>
      <c r="JLY163" s="679"/>
      <c r="JLZ163" s="679"/>
      <c r="JMA163" s="679"/>
      <c r="JMB163" s="679"/>
      <c r="JMC163" s="679"/>
      <c r="JMD163" s="679"/>
      <c r="JME163" s="679"/>
      <c r="JMF163" s="679"/>
      <c r="JMG163" s="679"/>
      <c r="JMH163" s="679"/>
      <c r="JMI163" s="679"/>
      <c r="JMJ163" s="679"/>
      <c r="JMK163" s="679"/>
      <c r="JML163" s="679"/>
      <c r="JMM163" s="679"/>
      <c r="JMN163" s="679"/>
      <c r="JMO163" s="679"/>
      <c r="JMP163" s="679"/>
      <c r="JMQ163" s="679"/>
      <c r="JMR163" s="679"/>
      <c r="JMS163" s="679"/>
      <c r="JMT163" s="679"/>
      <c r="JMU163" s="679"/>
      <c r="JMV163" s="679"/>
      <c r="JMW163" s="679"/>
      <c r="JMX163" s="679"/>
      <c r="JMY163" s="679"/>
      <c r="JMZ163" s="679"/>
      <c r="JNA163" s="679"/>
      <c r="JNB163" s="679"/>
      <c r="JNC163" s="679"/>
      <c r="JND163" s="679"/>
      <c r="JNE163" s="679"/>
      <c r="JNF163" s="679"/>
      <c r="JNG163" s="679"/>
      <c r="JNH163" s="679"/>
      <c r="JNI163" s="679"/>
      <c r="JNJ163" s="679"/>
      <c r="JNK163" s="679"/>
      <c r="JNL163" s="679"/>
      <c r="JNM163" s="679"/>
      <c r="JNN163" s="679"/>
      <c r="JNO163" s="679"/>
      <c r="JNP163" s="679"/>
      <c r="JNQ163" s="679"/>
      <c r="JNR163" s="679"/>
      <c r="JNS163" s="679"/>
      <c r="JNT163" s="679"/>
      <c r="JNU163" s="679"/>
      <c r="JNV163" s="679"/>
      <c r="JNW163" s="679"/>
      <c r="JNX163" s="679"/>
      <c r="JNY163" s="679"/>
      <c r="JNZ163" s="679"/>
      <c r="JOA163" s="679"/>
      <c r="JOB163" s="679"/>
      <c r="JOC163" s="679"/>
      <c r="JOD163" s="679"/>
      <c r="JOE163" s="679"/>
      <c r="JOF163" s="679"/>
      <c r="JOG163" s="679"/>
      <c r="JOH163" s="679"/>
      <c r="JOI163" s="679"/>
      <c r="JOJ163" s="679"/>
      <c r="JOK163" s="679"/>
      <c r="JOL163" s="679"/>
      <c r="JOM163" s="679"/>
      <c r="JON163" s="679"/>
      <c r="JOO163" s="679"/>
      <c r="JOP163" s="679"/>
      <c r="JOQ163" s="679"/>
      <c r="JOR163" s="679"/>
      <c r="JOS163" s="679"/>
      <c r="JOT163" s="679"/>
      <c r="JOU163" s="679"/>
      <c r="JOV163" s="679"/>
      <c r="JOW163" s="679"/>
      <c r="JOX163" s="679"/>
      <c r="JOY163" s="679"/>
      <c r="JOZ163" s="679"/>
      <c r="JPA163" s="679"/>
      <c r="JPB163" s="679"/>
      <c r="JPC163" s="679"/>
      <c r="JPD163" s="679"/>
      <c r="JPE163" s="679"/>
      <c r="JPF163" s="679"/>
      <c r="JPG163" s="679"/>
      <c r="JPH163" s="679"/>
      <c r="JPI163" s="679"/>
      <c r="JPJ163" s="679"/>
      <c r="JPK163" s="679"/>
      <c r="JPL163" s="679"/>
      <c r="JPM163" s="679"/>
      <c r="JPN163" s="679"/>
      <c r="JPO163" s="679"/>
      <c r="JPP163" s="679"/>
      <c r="JPQ163" s="679"/>
      <c r="JPR163" s="679"/>
      <c r="JPS163" s="679"/>
      <c r="JPT163" s="679"/>
      <c r="JPU163" s="679"/>
      <c r="JPV163" s="679"/>
      <c r="JPW163" s="679"/>
      <c r="JPX163" s="679"/>
      <c r="JPY163" s="679"/>
      <c r="JPZ163" s="679"/>
      <c r="JQA163" s="679"/>
      <c r="JQB163" s="679"/>
      <c r="JQC163" s="679"/>
      <c r="JQD163" s="679"/>
      <c r="JQE163" s="679"/>
      <c r="JQF163" s="679"/>
      <c r="JQG163" s="679"/>
      <c r="JQH163" s="679"/>
      <c r="JQI163" s="679"/>
      <c r="JQJ163" s="679"/>
      <c r="JQK163" s="679"/>
      <c r="JQL163" s="679"/>
      <c r="JQM163" s="679"/>
      <c r="JQN163" s="679"/>
      <c r="JQO163" s="679"/>
      <c r="JQP163" s="679"/>
      <c r="JQQ163" s="679"/>
      <c r="JQR163" s="679"/>
      <c r="JQS163" s="679"/>
      <c r="JQT163" s="679"/>
      <c r="JQU163" s="679"/>
      <c r="JQV163" s="679"/>
      <c r="JQW163" s="679"/>
      <c r="JQX163" s="679"/>
      <c r="JQY163" s="679"/>
      <c r="JQZ163" s="679"/>
      <c r="JRA163" s="679"/>
      <c r="JRB163" s="679"/>
      <c r="JRC163" s="679"/>
      <c r="JRD163" s="679"/>
      <c r="JRE163" s="679"/>
      <c r="JRF163" s="679"/>
      <c r="JRG163" s="679"/>
      <c r="JRH163" s="679"/>
      <c r="JRI163" s="679"/>
      <c r="JRJ163" s="679"/>
      <c r="JRK163" s="679"/>
      <c r="JRL163" s="679"/>
      <c r="JRM163" s="679"/>
      <c r="JRN163" s="679"/>
      <c r="JRO163" s="679"/>
      <c r="JRP163" s="679"/>
      <c r="JRQ163" s="679"/>
      <c r="JRR163" s="679"/>
      <c r="JRS163" s="679"/>
      <c r="JRT163" s="679"/>
      <c r="JRU163" s="679"/>
      <c r="JRV163" s="679"/>
      <c r="JRW163" s="679"/>
      <c r="JRX163" s="679"/>
      <c r="JRY163" s="679"/>
      <c r="JRZ163" s="679"/>
      <c r="JSA163" s="679"/>
      <c r="JSB163" s="679"/>
      <c r="JSC163" s="679"/>
      <c r="JSD163" s="679"/>
      <c r="JSE163" s="679"/>
      <c r="JSF163" s="679"/>
      <c r="JSG163" s="679"/>
      <c r="JSH163" s="679"/>
      <c r="JSI163" s="679"/>
      <c r="JSJ163" s="679"/>
      <c r="JSK163" s="679"/>
      <c r="JSL163" s="679"/>
      <c r="JSM163" s="679"/>
      <c r="JSN163" s="679"/>
      <c r="JSO163" s="679"/>
      <c r="JSP163" s="679"/>
      <c r="JSQ163" s="679"/>
      <c r="JSR163" s="679"/>
      <c r="JSS163" s="679"/>
      <c r="JST163" s="679"/>
      <c r="JSU163" s="679"/>
      <c r="JSV163" s="679"/>
      <c r="JSW163" s="679"/>
      <c r="JSX163" s="679"/>
      <c r="JSY163" s="679"/>
      <c r="JSZ163" s="679"/>
      <c r="JTA163" s="679"/>
      <c r="JTB163" s="679"/>
      <c r="JTC163" s="679"/>
      <c r="JTD163" s="679"/>
      <c r="JTE163" s="679"/>
      <c r="JTF163" s="679"/>
      <c r="JTG163" s="679"/>
      <c r="JTH163" s="679"/>
      <c r="JTI163" s="679"/>
      <c r="JTJ163" s="679"/>
      <c r="JTK163" s="679"/>
      <c r="JTL163" s="679"/>
      <c r="JTM163" s="679"/>
      <c r="JTN163" s="679"/>
      <c r="JTO163" s="679"/>
      <c r="JTP163" s="679"/>
      <c r="JTQ163" s="679"/>
      <c r="JTR163" s="679"/>
      <c r="JTS163" s="679"/>
      <c r="JTT163" s="679"/>
      <c r="JTU163" s="679"/>
      <c r="JTV163" s="679"/>
      <c r="JTW163" s="679"/>
      <c r="JTX163" s="679"/>
      <c r="JTY163" s="679"/>
      <c r="JTZ163" s="679"/>
      <c r="JUA163" s="679"/>
      <c r="JUB163" s="679"/>
      <c r="JUC163" s="679"/>
      <c r="JUD163" s="679"/>
      <c r="JUE163" s="679"/>
      <c r="JUF163" s="679"/>
      <c r="JUG163" s="679"/>
      <c r="JUH163" s="679"/>
      <c r="JUI163" s="679"/>
      <c r="JUJ163" s="679"/>
      <c r="JUK163" s="679"/>
      <c r="JUL163" s="679"/>
      <c r="JUM163" s="679"/>
      <c r="JUN163" s="679"/>
      <c r="JUO163" s="679"/>
      <c r="JUP163" s="679"/>
      <c r="JUQ163" s="679"/>
      <c r="JUR163" s="679"/>
      <c r="JUS163" s="679"/>
      <c r="JUT163" s="679"/>
      <c r="JUU163" s="679"/>
      <c r="JUV163" s="679"/>
      <c r="JUW163" s="679"/>
      <c r="JUX163" s="679"/>
      <c r="JUY163" s="679"/>
      <c r="JUZ163" s="679"/>
      <c r="JVA163" s="679"/>
      <c r="JVB163" s="679"/>
      <c r="JVC163" s="679"/>
      <c r="JVD163" s="679"/>
      <c r="JVE163" s="679"/>
      <c r="JVF163" s="679"/>
      <c r="JVG163" s="679"/>
      <c r="JVH163" s="679"/>
      <c r="JVI163" s="679"/>
      <c r="JVJ163" s="679"/>
      <c r="JVK163" s="679"/>
      <c r="JVL163" s="679"/>
      <c r="JVM163" s="679"/>
      <c r="JVN163" s="679"/>
      <c r="JVO163" s="679"/>
      <c r="JVP163" s="679"/>
      <c r="JVQ163" s="679"/>
      <c r="JVR163" s="679"/>
      <c r="JVS163" s="679"/>
      <c r="JVT163" s="679"/>
      <c r="JVU163" s="679"/>
      <c r="JVV163" s="679"/>
      <c r="JVW163" s="679"/>
      <c r="JVX163" s="679"/>
      <c r="JVY163" s="679"/>
      <c r="JVZ163" s="679"/>
      <c r="JWA163" s="679"/>
      <c r="JWB163" s="679"/>
      <c r="JWC163" s="679"/>
      <c r="JWD163" s="679"/>
      <c r="JWE163" s="679"/>
      <c r="JWF163" s="679"/>
      <c r="JWG163" s="679"/>
      <c r="JWH163" s="679"/>
      <c r="JWI163" s="679"/>
      <c r="JWJ163" s="679"/>
      <c r="JWK163" s="679"/>
      <c r="JWL163" s="679"/>
      <c r="JWM163" s="679"/>
      <c r="JWN163" s="679"/>
      <c r="JWO163" s="679"/>
      <c r="JWP163" s="679"/>
      <c r="JWQ163" s="679"/>
      <c r="JWR163" s="679"/>
      <c r="JWS163" s="679"/>
      <c r="JWT163" s="679"/>
      <c r="JWU163" s="679"/>
      <c r="JWV163" s="679"/>
      <c r="JWW163" s="679"/>
      <c r="JWX163" s="679"/>
      <c r="JWY163" s="679"/>
      <c r="JWZ163" s="679"/>
      <c r="JXA163" s="679"/>
      <c r="JXB163" s="679"/>
      <c r="JXC163" s="679"/>
      <c r="JXD163" s="679"/>
      <c r="JXE163" s="679"/>
      <c r="JXF163" s="679"/>
      <c r="JXG163" s="679"/>
      <c r="JXH163" s="679"/>
      <c r="JXI163" s="679"/>
      <c r="JXJ163" s="679"/>
      <c r="JXK163" s="679"/>
      <c r="JXL163" s="679"/>
      <c r="JXM163" s="679"/>
      <c r="JXN163" s="679"/>
      <c r="JXO163" s="679"/>
      <c r="JXP163" s="679"/>
      <c r="JXQ163" s="679"/>
      <c r="JXR163" s="679"/>
      <c r="JXS163" s="679"/>
      <c r="JXT163" s="679"/>
      <c r="JXU163" s="679"/>
      <c r="JXV163" s="679"/>
      <c r="JXW163" s="679"/>
      <c r="JXX163" s="679"/>
      <c r="JXY163" s="679"/>
      <c r="JXZ163" s="679"/>
      <c r="JYA163" s="679"/>
      <c r="JYB163" s="679"/>
      <c r="JYC163" s="679"/>
      <c r="JYD163" s="679"/>
      <c r="JYE163" s="679"/>
      <c r="JYF163" s="679"/>
      <c r="JYG163" s="679"/>
      <c r="JYH163" s="679"/>
      <c r="JYI163" s="679"/>
      <c r="JYJ163" s="679"/>
      <c r="JYK163" s="679"/>
      <c r="JYL163" s="679"/>
      <c r="JYM163" s="679"/>
      <c r="JYN163" s="679"/>
      <c r="JYO163" s="679"/>
      <c r="JYP163" s="679"/>
      <c r="JYQ163" s="679"/>
      <c r="JYR163" s="679"/>
      <c r="JYS163" s="679"/>
      <c r="JYT163" s="679"/>
      <c r="JYU163" s="679"/>
      <c r="JYV163" s="679"/>
      <c r="JYW163" s="679"/>
      <c r="JYX163" s="679"/>
      <c r="JYY163" s="679"/>
      <c r="JYZ163" s="679"/>
      <c r="JZA163" s="679"/>
      <c r="JZB163" s="679"/>
      <c r="JZC163" s="679"/>
      <c r="JZD163" s="679"/>
      <c r="JZE163" s="679"/>
      <c r="JZF163" s="679"/>
      <c r="JZG163" s="679"/>
      <c r="JZH163" s="679"/>
      <c r="JZI163" s="679"/>
      <c r="JZJ163" s="679"/>
      <c r="JZK163" s="679"/>
      <c r="JZL163" s="679"/>
      <c r="JZM163" s="679"/>
      <c r="JZN163" s="679"/>
      <c r="JZO163" s="679"/>
      <c r="JZP163" s="679"/>
      <c r="JZQ163" s="679"/>
      <c r="JZR163" s="679"/>
      <c r="JZS163" s="679"/>
      <c r="JZT163" s="679"/>
      <c r="JZU163" s="679"/>
      <c r="JZV163" s="679"/>
      <c r="JZW163" s="679"/>
      <c r="JZX163" s="679"/>
      <c r="JZY163" s="679"/>
      <c r="JZZ163" s="679"/>
      <c r="KAA163" s="679"/>
      <c r="KAB163" s="679"/>
      <c r="KAC163" s="679"/>
      <c r="KAD163" s="679"/>
      <c r="KAE163" s="679"/>
      <c r="KAF163" s="679"/>
      <c r="KAG163" s="679"/>
      <c r="KAH163" s="679"/>
      <c r="KAI163" s="679"/>
      <c r="KAJ163" s="679"/>
      <c r="KAK163" s="679"/>
      <c r="KAL163" s="679"/>
      <c r="KAM163" s="679"/>
      <c r="KAN163" s="679"/>
      <c r="KAO163" s="679"/>
      <c r="KAP163" s="679"/>
      <c r="KAQ163" s="679"/>
      <c r="KAR163" s="679"/>
      <c r="KAS163" s="679"/>
      <c r="KAT163" s="679"/>
      <c r="KAU163" s="679"/>
      <c r="KAV163" s="679"/>
      <c r="KAW163" s="679"/>
      <c r="KAX163" s="679"/>
      <c r="KAY163" s="679"/>
      <c r="KAZ163" s="679"/>
      <c r="KBA163" s="679"/>
      <c r="KBB163" s="679"/>
      <c r="KBC163" s="679"/>
      <c r="KBD163" s="679"/>
      <c r="KBE163" s="679"/>
      <c r="KBF163" s="679"/>
      <c r="KBG163" s="679"/>
      <c r="KBH163" s="679"/>
      <c r="KBI163" s="679"/>
      <c r="KBJ163" s="679"/>
      <c r="KBK163" s="679"/>
      <c r="KBL163" s="679"/>
      <c r="KBM163" s="679"/>
      <c r="KBN163" s="679"/>
      <c r="KBO163" s="679"/>
      <c r="KBP163" s="679"/>
      <c r="KBQ163" s="679"/>
      <c r="KBR163" s="679"/>
      <c r="KBS163" s="679"/>
      <c r="KBT163" s="679"/>
      <c r="KBU163" s="679"/>
      <c r="KBV163" s="679"/>
      <c r="KBW163" s="679"/>
      <c r="KBX163" s="679"/>
      <c r="KBY163" s="679"/>
      <c r="KBZ163" s="679"/>
      <c r="KCA163" s="679"/>
      <c r="KCB163" s="679"/>
      <c r="KCC163" s="679"/>
      <c r="KCD163" s="679"/>
      <c r="KCE163" s="679"/>
      <c r="KCF163" s="679"/>
      <c r="KCG163" s="679"/>
      <c r="KCH163" s="679"/>
      <c r="KCI163" s="679"/>
      <c r="KCJ163" s="679"/>
      <c r="KCK163" s="679"/>
      <c r="KCL163" s="679"/>
      <c r="KCM163" s="679"/>
      <c r="KCN163" s="679"/>
      <c r="KCO163" s="679"/>
      <c r="KCP163" s="679"/>
      <c r="KCQ163" s="679"/>
      <c r="KCR163" s="679"/>
      <c r="KCS163" s="679"/>
      <c r="KCT163" s="679"/>
      <c r="KCU163" s="679"/>
      <c r="KCV163" s="679"/>
      <c r="KCW163" s="679"/>
      <c r="KCX163" s="679"/>
      <c r="KCY163" s="679"/>
      <c r="KCZ163" s="679"/>
      <c r="KDA163" s="679"/>
      <c r="KDB163" s="679"/>
      <c r="KDC163" s="679"/>
      <c r="KDD163" s="679"/>
      <c r="KDE163" s="679"/>
      <c r="KDF163" s="679"/>
      <c r="KDG163" s="679"/>
      <c r="KDH163" s="679"/>
      <c r="KDI163" s="679"/>
      <c r="KDJ163" s="679"/>
      <c r="KDK163" s="679"/>
      <c r="KDL163" s="679"/>
      <c r="KDM163" s="679"/>
      <c r="KDN163" s="679"/>
      <c r="KDO163" s="679"/>
      <c r="KDP163" s="679"/>
      <c r="KDQ163" s="679"/>
      <c r="KDR163" s="679"/>
      <c r="KDS163" s="679"/>
      <c r="KDT163" s="679"/>
      <c r="KDU163" s="679"/>
      <c r="KDV163" s="679"/>
      <c r="KDW163" s="679"/>
      <c r="KDX163" s="679"/>
      <c r="KDY163" s="679"/>
      <c r="KDZ163" s="679"/>
      <c r="KEA163" s="679"/>
      <c r="KEB163" s="679"/>
      <c r="KEC163" s="679"/>
      <c r="KED163" s="679"/>
      <c r="KEE163" s="679"/>
      <c r="KEF163" s="679"/>
      <c r="KEG163" s="679"/>
      <c r="KEH163" s="679"/>
      <c r="KEI163" s="679"/>
      <c r="KEJ163" s="679"/>
      <c r="KEK163" s="679"/>
      <c r="KEL163" s="679"/>
      <c r="KEM163" s="679"/>
      <c r="KEN163" s="679"/>
      <c r="KEO163" s="679"/>
      <c r="KEP163" s="679"/>
      <c r="KEQ163" s="679"/>
      <c r="KER163" s="679"/>
      <c r="KES163" s="679"/>
      <c r="KET163" s="679"/>
      <c r="KEU163" s="679"/>
      <c r="KEV163" s="679"/>
      <c r="KEW163" s="679"/>
      <c r="KEX163" s="679"/>
      <c r="KEY163" s="679"/>
      <c r="KEZ163" s="679"/>
      <c r="KFA163" s="679"/>
      <c r="KFB163" s="679"/>
      <c r="KFC163" s="679"/>
      <c r="KFD163" s="679"/>
      <c r="KFE163" s="679"/>
      <c r="KFF163" s="679"/>
      <c r="KFG163" s="679"/>
      <c r="KFH163" s="679"/>
      <c r="KFI163" s="679"/>
      <c r="KFJ163" s="679"/>
      <c r="KFK163" s="679"/>
      <c r="KFL163" s="679"/>
      <c r="KFM163" s="679"/>
      <c r="KFN163" s="679"/>
      <c r="KFO163" s="679"/>
      <c r="KFP163" s="679"/>
      <c r="KFQ163" s="679"/>
      <c r="KFR163" s="679"/>
      <c r="KFS163" s="679"/>
      <c r="KFT163" s="679"/>
      <c r="KFU163" s="679"/>
      <c r="KFV163" s="679"/>
      <c r="KFW163" s="679"/>
      <c r="KFX163" s="679"/>
      <c r="KFY163" s="679"/>
      <c r="KFZ163" s="679"/>
      <c r="KGA163" s="679"/>
      <c r="KGB163" s="679"/>
      <c r="KGC163" s="679"/>
      <c r="KGD163" s="679"/>
      <c r="KGE163" s="679"/>
      <c r="KGF163" s="679"/>
      <c r="KGG163" s="679"/>
      <c r="KGH163" s="679"/>
      <c r="KGI163" s="679"/>
      <c r="KGJ163" s="679"/>
      <c r="KGK163" s="679"/>
      <c r="KGL163" s="679"/>
      <c r="KGM163" s="679"/>
      <c r="KGN163" s="679"/>
      <c r="KGO163" s="679"/>
      <c r="KGP163" s="679"/>
      <c r="KGQ163" s="679"/>
      <c r="KGR163" s="679"/>
      <c r="KGS163" s="679"/>
      <c r="KGT163" s="679"/>
      <c r="KGU163" s="679"/>
      <c r="KGV163" s="679"/>
      <c r="KGW163" s="679"/>
      <c r="KGX163" s="679"/>
      <c r="KGY163" s="679"/>
      <c r="KGZ163" s="679"/>
      <c r="KHA163" s="679"/>
      <c r="KHB163" s="679"/>
      <c r="KHC163" s="679"/>
      <c r="KHD163" s="679"/>
      <c r="KHE163" s="679"/>
      <c r="KHF163" s="679"/>
      <c r="KHG163" s="679"/>
      <c r="KHH163" s="679"/>
      <c r="KHI163" s="679"/>
      <c r="KHJ163" s="679"/>
      <c r="KHK163" s="679"/>
      <c r="KHL163" s="679"/>
      <c r="KHM163" s="679"/>
      <c r="KHN163" s="679"/>
      <c r="KHO163" s="679"/>
      <c r="KHP163" s="679"/>
      <c r="KHQ163" s="679"/>
      <c r="KHR163" s="679"/>
      <c r="KHS163" s="679"/>
      <c r="KHT163" s="679"/>
      <c r="KHU163" s="679"/>
      <c r="KHV163" s="679"/>
      <c r="KHW163" s="679"/>
      <c r="KHX163" s="679"/>
      <c r="KHY163" s="679"/>
      <c r="KHZ163" s="679"/>
      <c r="KIA163" s="679"/>
      <c r="KIB163" s="679"/>
      <c r="KIC163" s="679"/>
      <c r="KID163" s="679"/>
      <c r="KIE163" s="679"/>
      <c r="KIF163" s="679"/>
      <c r="KIG163" s="679"/>
      <c r="KIH163" s="679"/>
      <c r="KII163" s="679"/>
      <c r="KIJ163" s="679"/>
      <c r="KIK163" s="679"/>
      <c r="KIL163" s="679"/>
      <c r="KIM163" s="679"/>
      <c r="KIN163" s="679"/>
      <c r="KIO163" s="679"/>
      <c r="KIP163" s="679"/>
      <c r="KIQ163" s="679"/>
      <c r="KIR163" s="679"/>
      <c r="KIS163" s="679"/>
      <c r="KIT163" s="679"/>
      <c r="KIU163" s="679"/>
      <c r="KIV163" s="679"/>
      <c r="KIW163" s="679"/>
      <c r="KIX163" s="679"/>
      <c r="KIY163" s="679"/>
      <c r="KIZ163" s="679"/>
      <c r="KJA163" s="679"/>
      <c r="KJB163" s="679"/>
      <c r="KJC163" s="679"/>
      <c r="KJD163" s="679"/>
      <c r="KJE163" s="679"/>
      <c r="KJF163" s="679"/>
      <c r="KJG163" s="679"/>
      <c r="KJH163" s="679"/>
      <c r="KJI163" s="679"/>
      <c r="KJJ163" s="679"/>
      <c r="KJK163" s="679"/>
      <c r="KJL163" s="679"/>
      <c r="KJM163" s="679"/>
      <c r="KJN163" s="679"/>
      <c r="KJO163" s="679"/>
      <c r="KJP163" s="679"/>
      <c r="KJQ163" s="679"/>
      <c r="KJR163" s="679"/>
      <c r="KJS163" s="679"/>
      <c r="KJT163" s="679"/>
      <c r="KJU163" s="679"/>
      <c r="KJV163" s="679"/>
      <c r="KJW163" s="679"/>
      <c r="KJX163" s="679"/>
      <c r="KJY163" s="679"/>
      <c r="KJZ163" s="679"/>
      <c r="KKA163" s="679"/>
      <c r="KKB163" s="679"/>
      <c r="KKC163" s="679"/>
      <c r="KKD163" s="679"/>
      <c r="KKE163" s="679"/>
      <c r="KKF163" s="679"/>
      <c r="KKG163" s="679"/>
      <c r="KKH163" s="679"/>
      <c r="KKI163" s="679"/>
      <c r="KKJ163" s="679"/>
      <c r="KKK163" s="679"/>
      <c r="KKL163" s="679"/>
      <c r="KKM163" s="679"/>
      <c r="KKN163" s="679"/>
      <c r="KKO163" s="679"/>
      <c r="KKP163" s="679"/>
      <c r="KKQ163" s="679"/>
      <c r="KKR163" s="679"/>
      <c r="KKS163" s="679"/>
      <c r="KKT163" s="679"/>
      <c r="KKU163" s="679"/>
      <c r="KKV163" s="679"/>
      <c r="KKW163" s="679"/>
      <c r="KKX163" s="679"/>
      <c r="KKY163" s="679"/>
      <c r="KKZ163" s="679"/>
      <c r="KLA163" s="679"/>
      <c r="KLB163" s="679"/>
      <c r="KLC163" s="679"/>
      <c r="KLD163" s="679"/>
      <c r="KLE163" s="679"/>
      <c r="KLF163" s="679"/>
      <c r="KLG163" s="679"/>
      <c r="KLH163" s="679"/>
      <c r="KLI163" s="679"/>
      <c r="KLJ163" s="679"/>
      <c r="KLK163" s="679"/>
      <c r="KLL163" s="679"/>
      <c r="KLM163" s="679"/>
      <c r="KLN163" s="679"/>
      <c r="KLO163" s="679"/>
      <c r="KLP163" s="679"/>
      <c r="KLQ163" s="679"/>
      <c r="KLR163" s="679"/>
      <c r="KLS163" s="679"/>
      <c r="KLT163" s="679"/>
      <c r="KLU163" s="679"/>
      <c r="KLV163" s="679"/>
      <c r="KLW163" s="679"/>
      <c r="KLX163" s="679"/>
      <c r="KLY163" s="679"/>
      <c r="KLZ163" s="679"/>
      <c r="KMA163" s="679"/>
      <c r="KMB163" s="679"/>
      <c r="KMC163" s="679"/>
      <c r="KMD163" s="679"/>
      <c r="KME163" s="679"/>
      <c r="KMF163" s="679"/>
      <c r="KMG163" s="679"/>
      <c r="KMH163" s="679"/>
      <c r="KMI163" s="679"/>
      <c r="KMJ163" s="679"/>
      <c r="KMK163" s="679"/>
      <c r="KML163" s="679"/>
      <c r="KMM163" s="679"/>
      <c r="KMN163" s="679"/>
      <c r="KMO163" s="679"/>
      <c r="KMP163" s="679"/>
      <c r="KMQ163" s="679"/>
      <c r="KMR163" s="679"/>
      <c r="KMS163" s="679"/>
      <c r="KMT163" s="679"/>
      <c r="KMU163" s="679"/>
      <c r="KMV163" s="679"/>
      <c r="KMW163" s="679"/>
      <c r="KMX163" s="679"/>
      <c r="KMY163" s="679"/>
      <c r="KMZ163" s="679"/>
      <c r="KNA163" s="679"/>
      <c r="KNB163" s="679"/>
      <c r="KNC163" s="679"/>
      <c r="KND163" s="679"/>
      <c r="KNE163" s="679"/>
      <c r="KNF163" s="679"/>
      <c r="KNG163" s="679"/>
      <c r="KNH163" s="679"/>
      <c r="KNI163" s="679"/>
      <c r="KNJ163" s="679"/>
      <c r="KNK163" s="679"/>
      <c r="KNL163" s="679"/>
      <c r="KNM163" s="679"/>
      <c r="KNN163" s="679"/>
      <c r="KNO163" s="679"/>
      <c r="KNP163" s="679"/>
      <c r="KNQ163" s="679"/>
      <c r="KNR163" s="679"/>
      <c r="KNS163" s="679"/>
      <c r="KNT163" s="679"/>
      <c r="KNU163" s="679"/>
      <c r="KNV163" s="679"/>
      <c r="KNW163" s="679"/>
      <c r="KNX163" s="679"/>
      <c r="KNY163" s="679"/>
      <c r="KNZ163" s="679"/>
      <c r="KOA163" s="679"/>
      <c r="KOB163" s="679"/>
      <c r="KOC163" s="679"/>
      <c r="KOD163" s="679"/>
      <c r="KOE163" s="679"/>
      <c r="KOF163" s="679"/>
      <c r="KOG163" s="679"/>
      <c r="KOH163" s="679"/>
      <c r="KOI163" s="679"/>
      <c r="KOJ163" s="679"/>
      <c r="KOK163" s="679"/>
      <c r="KOL163" s="679"/>
      <c r="KOM163" s="679"/>
      <c r="KON163" s="679"/>
      <c r="KOO163" s="679"/>
      <c r="KOP163" s="679"/>
      <c r="KOQ163" s="679"/>
      <c r="KOR163" s="679"/>
      <c r="KOS163" s="679"/>
      <c r="KOT163" s="679"/>
      <c r="KOU163" s="679"/>
      <c r="KOV163" s="679"/>
      <c r="KOW163" s="679"/>
      <c r="KOX163" s="679"/>
      <c r="KOY163" s="679"/>
      <c r="KOZ163" s="679"/>
      <c r="KPA163" s="679"/>
      <c r="KPB163" s="679"/>
      <c r="KPC163" s="679"/>
      <c r="KPD163" s="679"/>
      <c r="KPE163" s="679"/>
      <c r="KPF163" s="679"/>
      <c r="KPG163" s="679"/>
      <c r="KPH163" s="679"/>
      <c r="KPI163" s="679"/>
      <c r="KPJ163" s="679"/>
      <c r="KPK163" s="679"/>
      <c r="KPL163" s="679"/>
      <c r="KPM163" s="679"/>
      <c r="KPN163" s="679"/>
      <c r="KPO163" s="679"/>
      <c r="KPP163" s="679"/>
      <c r="KPQ163" s="679"/>
      <c r="KPR163" s="679"/>
      <c r="KPS163" s="679"/>
      <c r="KPT163" s="679"/>
      <c r="KPU163" s="679"/>
      <c r="KPV163" s="679"/>
      <c r="KPW163" s="679"/>
      <c r="KPX163" s="679"/>
      <c r="KPY163" s="679"/>
      <c r="KPZ163" s="679"/>
      <c r="KQA163" s="679"/>
      <c r="KQB163" s="679"/>
      <c r="KQC163" s="679"/>
      <c r="KQD163" s="679"/>
      <c r="KQE163" s="679"/>
      <c r="KQF163" s="679"/>
      <c r="KQG163" s="679"/>
      <c r="KQH163" s="679"/>
      <c r="KQI163" s="679"/>
      <c r="KQJ163" s="679"/>
      <c r="KQK163" s="679"/>
      <c r="KQL163" s="679"/>
      <c r="KQM163" s="679"/>
      <c r="KQN163" s="679"/>
      <c r="KQO163" s="679"/>
      <c r="KQP163" s="679"/>
      <c r="KQQ163" s="679"/>
      <c r="KQR163" s="679"/>
      <c r="KQS163" s="679"/>
      <c r="KQT163" s="679"/>
      <c r="KQU163" s="679"/>
      <c r="KQV163" s="679"/>
      <c r="KQW163" s="679"/>
      <c r="KQX163" s="679"/>
      <c r="KQY163" s="679"/>
      <c r="KQZ163" s="679"/>
      <c r="KRA163" s="679"/>
      <c r="KRB163" s="679"/>
      <c r="KRC163" s="679"/>
      <c r="KRD163" s="679"/>
      <c r="KRE163" s="679"/>
      <c r="KRF163" s="679"/>
      <c r="KRG163" s="679"/>
      <c r="KRH163" s="679"/>
      <c r="KRI163" s="679"/>
      <c r="KRJ163" s="679"/>
      <c r="KRK163" s="679"/>
      <c r="KRL163" s="679"/>
      <c r="KRM163" s="679"/>
      <c r="KRN163" s="679"/>
      <c r="KRO163" s="679"/>
      <c r="KRP163" s="679"/>
      <c r="KRQ163" s="679"/>
      <c r="KRR163" s="679"/>
      <c r="KRS163" s="679"/>
      <c r="KRT163" s="679"/>
      <c r="KRU163" s="679"/>
      <c r="KRV163" s="679"/>
      <c r="KRW163" s="679"/>
      <c r="KRX163" s="679"/>
      <c r="KRY163" s="679"/>
      <c r="KRZ163" s="679"/>
      <c r="KSA163" s="679"/>
      <c r="KSB163" s="679"/>
      <c r="KSC163" s="679"/>
      <c r="KSD163" s="679"/>
      <c r="KSE163" s="679"/>
      <c r="KSF163" s="679"/>
      <c r="KSG163" s="679"/>
      <c r="KSH163" s="679"/>
      <c r="KSI163" s="679"/>
      <c r="KSJ163" s="679"/>
      <c r="KSK163" s="679"/>
      <c r="KSL163" s="679"/>
      <c r="KSM163" s="679"/>
      <c r="KSN163" s="679"/>
      <c r="KSO163" s="679"/>
      <c r="KSP163" s="679"/>
      <c r="KSQ163" s="679"/>
      <c r="KSR163" s="679"/>
      <c r="KSS163" s="679"/>
      <c r="KST163" s="679"/>
      <c r="KSU163" s="679"/>
      <c r="KSV163" s="679"/>
      <c r="KSW163" s="679"/>
      <c r="KSX163" s="679"/>
      <c r="KSY163" s="679"/>
      <c r="KSZ163" s="679"/>
      <c r="KTA163" s="679"/>
      <c r="KTB163" s="679"/>
      <c r="KTC163" s="679"/>
      <c r="KTD163" s="679"/>
      <c r="KTE163" s="679"/>
      <c r="KTF163" s="679"/>
      <c r="KTG163" s="679"/>
      <c r="KTH163" s="679"/>
      <c r="KTI163" s="679"/>
      <c r="KTJ163" s="679"/>
      <c r="KTK163" s="679"/>
      <c r="KTL163" s="679"/>
      <c r="KTM163" s="679"/>
      <c r="KTN163" s="679"/>
      <c r="KTO163" s="679"/>
      <c r="KTP163" s="679"/>
      <c r="KTQ163" s="679"/>
      <c r="KTR163" s="679"/>
      <c r="KTS163" s="679"/>
      <c r="KTT163" s="679"/>
      <c r="KTU163" s="679"/>
      <c r="KTV163" s="679"/>
      <c r="KTW163" s="679"/>
      <c r="KTX163" s="679"/>
      <c r="KTY163" s="679"/>
      <c r="KTZ163" s="679"/>
      <c r="KUA163" s="679"/>
      <c r="KUB163" s="679"/>
      <c r="KUC163" s="679"/>
      <c r="KUD163" s="679"/>
      <c r="KUE163" s="679"/>
      <c r="KUF163" s="679"/>
      <c r="KUG163" s="679"/>
      <c r="KUH163" s="679"/>
      <c r="KUI163" s="679"/>
      <c r="KUJ163" s="679"/>
      <c r="KUK163" s="679"/>
      <c r="KUL163" s="679"/>
      <c r="KUM163" s="679"/>
      <c r="KUN163" s="679"/>
      <c r="KUO163" s="679"/>
      <c r="KUP163" s="679"/>
      <c r="KUQ163" s="679"/>
      <c r="KUR163" s="679"/>
      <c r="KUS163" s="679"/>
      <c r="KUT163" s="679"/>
      <c r="KUU163" s="679"/>
      <c r="KUV163" s="679"/>
      <c r="KUW163" s="679"/>
      <c r="KUX163" s="679"/>
      <c r="KUY163" s="679"/>
      <c r="KUZ163" s="679"/>
      <c r="KVA163" s="679"/>
      <c r="KVB163" s="679"/>
      <c r="KVC163" s="679"/>
      <c r="KVD163" s="679"/>
      <c r="KVE163" s="679"/>
      <c r="KVF163" s="679"/>
      <c r="KVG163" s="679"/>
      <c r="KVH163" s="679"/>
      <c r="KVI163" s="679"/>
      <c r="KVJ163" s="679"/>
      <c r="KVK163" s="679"/>
      <c r="KVL163" s="679"/>
      <c r="KVM163" s="679"/>
      <c r="KVN163" s="679"/>
      <c r="KVO163" s="679"/>
      <c r="KVP163" s="679"/>
      <c r="KVQ163" s="679"/>
      <c r="KVR163" s="679"/>
      <c r="KVS163" s="679"/>
      <c r="KVT163" s="679"/>
      <c r="KVU163" s="679"/>
      <c r="KVV163" s="679"/>
      <c r="KVW163" s="679"/>
      <c r="KVX163" s="679"/>
      <c r="KVY163" s="679"/>
      <c r="KVZ163" s="679"/>
      <c r="KWA163" s="679"/>
      <c r="KWB163" s="679"/>
      <c r="KWC163" s="679"/>
      <c r="KWD163" s="679"/>
      <c r="KWE163" s="679"/>
      <c r="KWF163" s="679"/>
      <c r="KWG163" s="679"/>
      <c r="KWH163" s="679"/>
      <c r="KWI163" s="679"/>
      <c r="KWJ163" s="679"/>
      <c r="KWK163" s="679"/>
      <c r="KWL163" s="679"/>
      <c r="KWM163" s="679"/>
      <c r="KWN163" s="679"/>
      <c r="KWO163" s="679"/>
      <c r="KWP163" s="679"/>
      <c r="KWQ163" s="679"/>
      <c r="KWR163" s="679"/>
      <c r="KWS163" s="679"/>
      <c r="KWT163" s="679"/>
      <c r="KWU163" s="679"/>
      <c r="KWV163" s="679"/>
      <c r="KWW163" s="679"/>
      <c r="KWX163" s="679"/>
      <c r="KWY163" s="679"/>
      <c r="KWZ163" s="679"/>
      <c r="KXA163" s="679"/>
      <c r="KXB163" s="679"/>
      <c r="KXC163" s="679"/>
      <c r="KXD163" s="679"/>
      <c r="KXE163" s="679"/>
      <c r="KXF163" s="679"/>
      <c r="KXG163" s="679"/>
      <c r="KXH163" s="679"/>
      <c r="KXI163" s="679"/>
      <c r="KXJ163" s="679"/>
      <c r="KXK163" s="679"/>
      <c r="KXL163" s="679"/>
      <c r="KXM163" s="679"/>
      <c r="KXN163" s="679"/>
      <c r="KXO163" s="679"/>
      <c r="KXP163" s="679"/>
      <c r="KXQ163" s="679"/>
      <c r="KXR163" s="679"/>
      <c r="KXS163" s="679"/>
      <c r="KXT163" s="679"/>
      <c r="KXU163" s="679"/>
      <c r="KXV163" s="679"/>
      <c r="KXW163" s="679"/>
      <c r="KXX163" s="679"/>
      <c r="KXY163" s="679"/>
      <c r="KXZ163" s="679"/>
      <c r="KYA163" s="679"/>
      <c r="KYB163" s="679"/>
      <c r="KYC163" s="679"/>
      <c r="KYD163" s="679"/>
      <c r="KYE163" s="679"/>
      <c r="KYF163" s="679"/>
      <c r="KYG163" s="679"/>
      <c r="KYH163" s="679"/>
      <c r="KYI163" s="679"/>
      <c r="KYJ163" s="679"/>
      <c r="KYK163" s="679"/>
      <c r="KYL163" s="679"/>
      <c r="KYM163" s="679"/>
      <c r="KYN163" s="679"/>
      <c r="KYO163" s="679"/>
      <c r="KYP163" s="679"/>
      <c r="KYQ163" s="679"/>
      <c r="KYR163" s="679"/>
      <c r="KYS163" s="679"/>
      <c r="KYT163" s="679"/>
      <c r="KYU163" s="679"/>
      <c r="KYV163" s="679"/>
      <c r="KYW163" s="679"/>
      <c r="KYX163" s="679"/>
      <c r="KYY163" s="679"/>
      <c r="KYZ163" s="679"/>
      <c r="KZA163" s="679"/>
      <c r="KZB163" s="679"/>
      <c r="KZC163" s="679"/>
      <c r="KZD163" s="679"/>
      <c r="KZE163" s="679"/>
      <c r="KZF163" s="679"/>
      <c r="KZG163" s="679"/>
      <c r="KZH163" s="679"/>
      <c r="KZI163" s="679"/>
      <c r="KZJ163" s="679"/>
      <c r="KZK163" s="679"/>
      <c r="KZL163" s="679"/>
      <c r="KZM163" s="679"/>
      <c r="KZN163" s="679"/>
      <c r="KZO163" s="679"/>
      <c r="KZP163" s="679"/>
      <c r="KZQ163" s="679"/>
      <c r="KZR163" s="679"/>
      <c r="KZS163" s="679"/>
      <c r="KZT163" s="679"/>
      <c r="KZU163" s="679"/>
      <c r="KZV163" s="679"/>
      <c r="KZW163" s="679"/>
      <c r="KZX163" s="679"/>
      <c r="KZY163" s="679"/>
      <c r="KZZ163" s="679"/>
      <c r="LAA163" s="679"/>
      <c r="LAB163" s="679"/>
      <c r="LAC163" s="679"/>
      <c r="LAD163" s="679"/>
      <c r="LAE163" s="679"/>
      <c r="LAF163" s="679"/>
      <c r="LAG163" s="679"/>
      <c r="LAH163" s="679"/>
      <c r="LAI163" s="679"/>
      <c r="LAJ163" s="679"/>
      <c r="LAK163" s="679"/>
      <c r="LAL163" s="679"/>
      <c r="LAM163" s="679"/>
      <c r="LAN163" s="679"/>
      <c r="LAO163" s="679"/>
      <c r="LAP163" s="679"/>
      <c r="LAQ163" s="679"/>
      <c r="LAR163" s="679"/>
      <c r="LAS163" s="679"/>
      <c r="LAT163" s="679"/>
      <c r="LAU163" s="679"/>
      <c r="LAV163" s="679"/>
      <c r="LAW163" s="679"/>
      <c r="LAX163" s="679"/>
      <c r="LAY163" s="679"/>
      <c r="LAZ163" s="679"/>
      <c r="LBA163" s="679"/>
      <c r="LBB163" s="679"/>
      <c r="LBC163" s="679"/>
      <c r="LBD163" s="679"/>
      <c r="LBE163" s="679"/>
      <c r="LBF163" s="679"/>
      <c r="LBG163" s="679"/>
      <c r="LBH163" s="679"/>
      <c r="LBI163" s="679"/>
      <c r="LBJ163" s="679"/>
      <c r="LBK163" s="679"/>
      <c r="LBL163" s="679"/>
      <c r="LBM163" s="679"/>
      <c r="LBN163" s="679"/>
      <c r="LBO163" s="679"/>
      <c r="LBP163" s="679"/>
      <c r="LBQ163" s="679"/>
      <c r="LBR163" s="679"/>
      <c r="LBS163" s="679"/>
      <c r="LBT163" s="679"/>
      <c r="LBU163" s="679"/>
      <c r="LBV163" s="679"/>
      <c r="LBW163" s="679"/>
      <c r="LBX163" s="679"/>
      <c r="LBY163" s="679"/>
      <c r="LBZ163" s="679"/>
      <c r="LCA163" s="679"/>
      <c r="LCB163" s="679"/>
      <c r="LCC163" s="679"/>
      <c r="LCD163" s="679"/>
      <c r="LCE163" s="679"/>
      <c r="LCF163" s="679"/>
      <c r="LCG163" s="679"/>
      <c r="LCH163" s="679"/>
      <c r="LCI163" s="679"/>
      <c r="LCJ163" s="679"/>
      <c r="LCK163" s="679"/>
      <c r="LCL163" s="679"/>
      <c r="LCM163" s="679"/>
      <c r="LCN163" s="679"/>
      <c r="LCO163" s="679"/>
      <c r="LCP163" s="679"/>
      <c r="LCQ163" s="679"/>
      <c r="LCR163" s="679"/>
      <c r="LCS163" s="679"/>
      <c r="LCT163" s="679"/>
      <c r="LCU163" s="679"/>
      <c r="LCV163" s="679"/>
      <c r="LCW163" s="679"/>
      <c r="LCX163" s="679"/>
      <c r="LCY163" s="679"/>
      <c r="LCZ163" s="679"/>
      <c r="LDA163" s="679"/>
      <c r="LDB163" s="679"/>
      <c r="LDC163" s="679"/>
      <c r="LDD163" s="679"/>
      <c r="LDE163" s="679"/>
      <c r="LDF163" s="679"/>
      <c r="LDG163" s="679"/>
      <c r="LDH163" s="679"/>
      <c r="LDI163" s="679"/>
      <c r="LDJ163" s="679"/>
      <c r="LDK163" s="679"/>
      <c r="LDL163" s="679"/>
      <c r="LDM163" s="679"/>
      <c r="LDN163" s="679"/>
      <c r="LDO163" s="679"/>
      <c r="LDP163" s="679"/>
      <c r="LDQ163" s="679"/>
      <c r="LDR163" s="679"/>
      <c r="LDS163" s="679"/>
      <c r="LDT163" s="679"/>
      <c r="LDU163" s="679"/>
      <c r="LDV163" s="679"/>
      <c r="LDW163" s="679"/>
      <c r="LDX163" s="679"/>
      <c r="LDY163" s="679"/>
      <c r="LDZ163" s="679"/>
      <c r="LEA163" s="679"/>
      <c r="LEB163" s="679"/>
      <c r="LEC163" s="679"/>
      <c r="LED163" s="679"/>
      <c r="LEE163" s="679"/>
      <c r="LEF163" s="679"/>
      <c r="LEG163" s="679"/>
      <c r="LEH163" s="679"/>
      <c r="LEI163" s="679"/>
      <c r="LEJ163" s="679"/>
      <c r="LEK163" s="679"/>
      <c r="LEL163" s="679"/>
      <c r="LEM163" s="679"/>
      <c r="LEN163" s="679"/>
      <c r="LEO163" s="679"/>
      <c r="LEP163" s="679"/>
      <c r="LEQ163" s="679"/>
      <c r="LER163" s="679"/>
      <c r="LES163" s="679"/>
      <c r="LET163" s="679"/>
      <c r="LEU163" s="679"/>
      <c r="LEV163" s="679"/>
      <c r="LEW163" s="679"/>
      <c r="LEX163" s="679"/>
      <c r="LEY163" s="679"/>
      <c r="LEZ163" s="679"/>
      <c r="LFA163" s="679"/>
      <c r="LFB163" s="679"/>
      <c r="LFC163" s="679"/>
      <c r="LFD163" s="679"/>
      <c r="LFE163" s="679"/>
      <c r="LFF163" s="679"/>
      <c r="LFG163" s="679"/>
      <c r="LFH163" s="679"/>
      <c r="LFI163" s="679"/>
      <c r="LFJ163" s="679"/>
      <c r="LFK163" s="679"/>
      <c r="LFL163" s="679"/>
      <c r="LFM163" s="679"/>
      <c r="LFN163" s="679"/>
      <c r="LFO163" s="679"/>
      <c r="LFP163" s="679"/>
      <c r="LFQ163" s="679"/>
      <c r="LFR163" s="679"/>
      <c r="LFS163" s="679"/>
      <c r="LFT163" s="679"/>
      <c r="LFU163" s="679"/>
      <c r="LFV163" s="679"/>
      <c r="LFW163" s="679"/>
      <c r="LFX163" s="679"/>
      <c r="LFY163" s="679"/>
      <c r="LFZ163" s="679"/>
      <c r="LGA163" s="679"/>
      <c r="LGB163" s="679"/>
      <c r="LGC163" s="679"/>
      <c r="LGD163" s="679"/>
      <c r="LGE163" s="679"/>
      <c r="LGF163" s="679"/>
      <c r="LGG163" s="679"/>
      <c r="LGH163" s="679"/>
      <c r="LGI163" s="679"/>
      <c r="LGJ163" s="679"/>
      <c r="LGK163" s="679"/>
      <c r="LGL163" s="679"/>
      <c r="LGM163" s="679"/>
      <c r="LGN163" s="679"/>
      <c r="LGO163" s="679"/>
      <c r="LGP163" s="679"/>
      <c r="LGQ163" s="679"/>
      <c r="LGR163" s="679"/>
      <c r="LGS163" s="679"/>
      <c r="LGT163" s="679"/>
      <c r="LGU163" s="679"/>
      <c r="LGV163" s="679"/>
      <c r="LGW163" s="679"/>
      <c r="LGX163" s="679"/>
      <c r="LGY163" s="679"/>
      <c r="LGZ163" s="679"/>
      <c r="LHA163" s="679"/>
      <c r="LHB163" s="679"/>
      <c r="LHC163" s="679"/>
      <c r="LHD163" s="679"/>
      <c r="LHE163" s="679"/>
      <c r="LHF163" s="679"/>
      <c r="LHG163" s="679"/>
      <c r="LHH163" s="679"/>
      <c r="LHI163" s="679"/>
      <c r="LHJ163" s="679"/>
      <c r="LHK163" s="679"/>
      <c r="LHL163" s="679"/>
      <c r="LHM163" s="679"/>
      <c r="LHN163" s="679"/>
      <c r="LHO163" s="679"/>
      <c r="LHP163" s="679"/>
      <c r="LHQ163" s="679"/>
      <c r="LHR163" s="679"/>
      <c r="LHS163" s="679"/>
      <c r="LHT163" s="679"/>
      <c r="LHU163" s="679"/>
      <c r="LHV163" s="679"/>
      <c r="LHW163" s="679"/>
      <c r="LHX163" s="679"/>
      <c r="LHY163" s="679"/>
      <c r="LHZ163" s="679"/>
      <c r="LIA163" s="679"/>
      <c r="LIB163" s="679"/>
      <c r="LIC163" s="679"/>
      <c r="LID163" s="679"/>
      <c r="LIE163" s="679"/>
      <c r="LIF163" s="679"/>
      <c r="LIG163" s="679"/>
      <c r="LIH163" s="679"/>
      <c r="LII163" s="679"/>
      <c r="LIJ163" s="679"/>
      <c r="LIK163" s="679"/>
      <c r="LIL163" s="679"/>
      <c r="LIM163" s="679"/>
      <c r="LIN163" s="679"/>
      <c r="LIO163" s="679"/>
      <c r="LIP163" s="679"/>
      <c r="LIQ163" s="679"/>
      <c r="LIR163" s="679"/>
      <c r="LIS163" s="679"/>
      <c r="LIT163" s="679"/>
      <c r="LIU163" s="679"/>
      <c r="LIV163" s="679"/>
      <c r="LIW163" s="679"/>
      <c r="LIX163" s="679"/>
      <c r="LIY163" s="679"/>
      <c r="LIZ163" s="679"/>
      <c r="LJA163" s="679"/>
      <c r="LJB163" s="679"/>
      <c r="LJC163" s="679"/>
      <c r="LJD163" s="679"/>
      <c r="LJE163" s="679"/>
      <c r="LJF163" s="679"/>
      <c r="LJG163" s="679"/>
      <c r="LJH163" s="679"/>
      <c r="LJI163" s="679"/>
      <c r="LJJ163" s="679"/>
      <c r="LJK163" s="679"/>
      <c r="LJL163" s="679"/>
      <c r="LJM163" s="679"/>
      <c r="LJN163" s="679"/>
      <c r="LJO163" s="679"/>
      <c r="LJP163" s="679"/>
      <c r="LJQ163" s="679"/>
      <c r="LJR163" s="679"/>
      <c r="LJS163" s="679"/>
      <c r="LJT163" s="679"/>
      <c r="LJU163" s="679"/>
      <c r="LJV163" s="679"/>
      <c r="LJW163" s="679"/>
      <c r="LJX163" s="679"/>
      <c r="LJY163" s="679"/>
      <c r="LJZ163" s="679"/>
      <c r="LKA163" s="679"/>
      <c r="LKB163" s="679"/>
      <c r="LKC163" s="679"/>
      <c r="LKD163" s="679"/>
      <c r="LKE163" s="679"/>
      <c r="LKF163" s="679"/>
      <c r="LKG163" s="679"/>
      <c r="LKH163" s="679"/>
      <c r="LKI163" s="679"/>
      <c r="LKJ163" s="679"/>
      <c r="LKK163" s="679"/>
      <c r="LKL163" s="679"/>
      <c r="LKM163" s="679"/>
      <c r="LKN163" s="679"/>
      <c r="LKO163" s="679"/>
      <c r="LKP163" s="679"/>
      <c r="LKQ163" s="679"/>
      <c r="LKR163" s="679"/>
      <c r="LKS163" s="679"/>
      <c r="LKT163" s="679"/>
      <c r="LKU163" s="679"/>
      <c r="LKV163" s="679"/>
      <c r="LKW163" s="679"/>
      <c r="LKX163" s="679"/>
      <c r="LKY163" s="679"/>
      <c r="LKZ163" s="679"/>
      <c r="LLA163" s="679"/>
      <c r="LLB163" s="679"/>
      <c r="LLC163" s="679"/>
      <c r="LLD163" s="679"/>
      <c r="LLE163" s="679"/>
      <c r="LLF163" s="679"/>
      <c r="LLG163" s="679"/>
      <c r="LLH163" s="679"/>
      <c r="LLI163" s="679"/>
      <c r="LLJ163" s="679"/>
      <c r="LLK163" s="679"/>
      <c r="LLL163" s="679"/>
      <c r="LLM163" s="679"/>
      <c r="LLN163" s="679"/>
      <c r="LLO163" s="679"/>
      <c r="LLP163" s="679"/>
      <c r="LLQ163" s="679"/>
      <c r="LLR163" s="679"/>
      <c r="LLS163" s="679"/>
      <c r="LLT163" s="679"/>
      <c r="LLU163" s="679"/>
      <c r="LLV163" s="679"/>
      <c r="LLW163" s="679"/>
      <c r="LLX163" s="679"/>
      <c r="LLY163" s="679"/>
      <c r="LLZ163" s="679"/>
      <c r="LMA163" s="679"/>
      <c r="LMB163" s="679"/>
      <c r="LMC163" s="679"/>
      <c r="LMD163" s="679"/>
      <c r="LME163" s="679"/>
      <c r="LMF163" s="679"/>
      <c r="LMG163" s="679"/>
      <c r="LMH163" s="679"/>
      <c r="LMI163" s="679"/>
      <c r="LMJ163" s="679"/>
      <c r="LMK163" s="679"/>
      <c r="LML163" s="679"/>
      <c r="LMM163" s="679"/>
      <c r="LMN163" s="679"/>
      <c r="LMO163" s="679"/>
      <c r="LMP163" s="679"/>
      <c r="LMQ163" s="679"/>
      <c r="LMR163" s="679"/>
      <c r="LMS163" s="679"/>
      <c r="LMT163" s="679"/>
      <c r="LMU163" s="679"/>
      <c r="LMV163" s="679"/>
      <c r="LMW163" s="679"/>
      <c r="LMX163" s="679"/>
      <c r="LMY163" s="679"/>
      <c r="LMZ163" s="679"/>
      <c r="LNA163" s="679"/>
      <c r="LNB163" s="679"/>
      <c r="LNC163" s="679"/>
      <c r="LND163" s="679"/>
      <c r="LNE163" s="679"/>
      <c r="LNF163" s="679"/>
      <c r="LNG163" s="679"/>
      <c r="LNH163" s="679"/>
      <c r="LNI163" s="679"/>
      <c r="LNJ163" s="679"/>
      <c r="LNK163" s="679"/>
      <c r="LNL163" s="679"/>
      <c r="LNM163" s="679"/>
      <c r="LNN163" s="679"/>
      <c r="LNO163" s="679"/>
      <c r="LNP163" s="679"/>
      <c r="LNQ163" s="679"/>
      <c r="LNR163" s="679"/>
      <c r="LNS163" s="679"/>
      <c r="LNT163" s="679"/>
      <c r="LNU163" s="679"/>
      <c r="LNV163" s="679"/>
      <c r="LNW163" s="679"/>
      <c r="LNX163" s="679"/>
      <c r="LNY163" s="679"/>
      <c r="LNZ163" s="679"/>
      <c r="LOA163" s="679"/>
      <c r="LOB163" s="679"/>
      <c r="LOC163" s="679"/>
      <c r="LOD163" s="679"/>
      <c r="LOE163" s="679"/>
      <c r="LOF163" s="679"/>
      <c r="LOG163" s="679"/>
      <c r="LOH163" s="679"/>
      <c r="LOI163" s="679"/>
      <c r="LOJ163" s="679"/>
      <c r="LOK163" s="679"/>
      <c r="LOL163" s="679"/>
      <c r="LOM163" s="679"/>
      <c r="LON163" s="679"/>
      <c r="LOO163" s="679"/>
      <c r="LOP163" s="679"/>
      <c r="LOQ163" s="679"/>
      <c r="LOR163" s="679"/>
      <c r="LOS163" s="679"/>
      <c r="LOT163" s="679"/>
      <c r="LOU163" s="679"/>
      <c r="LOV163" s="679"/>
      <c r="LOW163" s="679"/>
      <c r="LOX163" s="679"/>
      <c r="LOY163" s="679"/>
      <c r="LOZ163" s="679"/>
      <c r="LPA163" s="679"/>
      <c r="LPB163" s="679"/>
      <c r="LPC163" s="679"/>
      <c r="LPD163" s="679"/>
      <c r="LPE163" s="679"/>
      <c r="LPF163" s="679"/>
      <c r="LPG163" s="679"/>
      <c r="LPH163" s="679"/>
      <c r="LPI163" s="679"/>
      <c r="LPJ163" s="679"/>
      <c r="LPK163" s="679"/>
      <c r="LPL163" s="679"/>
      <c r="LPM163" s="679"/>
      <c r="LPN163" s="679"/>
      <c r="LPO163" s="679"/>
      <c r="LPP163" s="679"/>
      <c r="LPQ163" s="679"/>
      <c r="LPR163" s="679"/>
      <c r="LPS163" s="679"/>
      <c r="LPT163" s="679"/>
      <c r="LPU163" s="679"/>
      <c r="LPV163" s="679"/>
      <c r="LPW163" s="679"/>
      <c r="LPX163" s="679"/>
      <c r="LPY163" s="679"/>
      <c r="LPZ163" s="679"/>
      <c r="LQA163" s="679"/>
      <c r="LQB163" s="679"/>
      <c r="LQC163" s="679"/>
      <c r="LQD163" s="679"/>
      <c r="LQE163" s="679"/>
      <c r="LQF163" s="679"/>
      <c r="LQG163" s="679"/>
      <c r="LQH163" s="679"/>
      <c r="LQI163" s="679"/>
      <c r="LQJ163" s="679"/>
      <c r="LQK163" s="679"/>
      <c r="LQL163" s="679"/>
      <c r="LQM163" s="679"/>
      <c r="LQN163" s="679"/>
      <c r="LQO163" s="679"/>
      <c r="LQP163" s="679"/>
      <c r="LQQ163" s="679"/>
      <c r="LQR163" s="679"/>
      <c r="LQS163" s="679"/>
      <c r="LQT163" s="679"/>
      <c r="LQU163" s="679"/>
      <c r="LQV163" s="679"/>
      <c r="LQW163" s="679"/>
      <c r="LQX163" s="679"/>
      <c r="LQY163" s="679"/>
      <c r="LQZ163" s="679"/>
      <c r="LRA163" s="679"/>
      <c r="LRB163" s="679"/>
      <c r="LRC163" s="679"/>
      <c r="LRD163" s="679"/>
      <c r="LRE163" s="679"/>
      <c r="LRF163" s="679"/>
      <c r="LRG163" s="679"/>
      <c r="LRH163" s="679"/>
      <c r="LRI163" s="679"/>
      <c r="LRJ163" s="679"/>
      <c r="LRK163" s="679"/>
      <c r="LRL163" s="679"/>
      <c r="LRM163" s="679"/>
      <c r="LRN163" s="679"/>
      <c r="LRO163" s="679"/>
      <c r="LRP163" s="679"/>
      <c r="LRQ163" s="679"/>
      <c r="LRR163" s="679"/>
      <c r="LRS163" s="679"/>
      <c r="LRT163" s="679"/>
      <c r="LRU163" s="679"/>
      <c r="LRV163" s="679"/>
      <c r="LRW163" s="679"/>
      <c r="LRX163" s="679"/>
      <c r="LRY163" s="679"/>
      <c r="LRZ163" s="679"/>
      <c r="LSA163" s="679"/>
      <c r="LSB163" s="679"/>
      <c r="LSC163" s="679"/>
      <c r="LSD163" s="679"/>
      <c r="LSE163" s="679"/>
      <c r="LSF163" s="679"/>
      <c r="LSG163" s="679"/>
      <c r="LSH163" s="679"/>
      <c r="LSI163" s="679"/>
      <c r="LSJ163" s="679"/>
      <c r="LSK163" s="679"/>
      <c r="LSL163" s="679"/>
      <c r="LSM163" s="679"/>
      <c r="LSN163" s="679"/>
      <c r="LSO163" s="679"/>
      <c r="LSP163" s="679"/>
      <c r="LSQ163" s="679"/>
      <c r="LSR163" s="679"/>
      <c r="LSS163" s="679"/>
      <c r="LST163" s="679"/>
      <c r="LSU163" s="679"/>
      <c r="LSV163" s="679"/>
      <c r="LSW163" s="679"/>
      <c r="LSX163" s="679"/>
      <c r="LSY163" s="679"/>
      <c r="LSZ163" s="679"/>
      <c r="LTA163" s="679"/>
      <c r="LTB163" s="679"/>
      <c r="LTC163" s="679"/>
      <c r="LTD163" s="679"/>
      <c r="LTE163" s="679"/>
      <c r="LTF163" s="679"/>
      <c r="LTG163" s="679"/>
      <c r="LTH163" s="679"/>
      <c r="LTI163" s="679"/>
      <c r="LTJ163" s="679"/>
      <c r="LTK163" s="679"/>
      <c r="LTL163" s="679"/>
      <c r="LTM163" s="679"/>
      <c r="LTN163" s="679"/>
      <c r="LTO163" s="679"/>
      <c r="LTP163" s="679"/>
      <c r="LTQ163" s="679"/>
      <c r="LTR163" s="679"/>
      <c r="LTS163" s="679"/>
      <c r="LTT163" s="679"/>
      <c r="LTU163" s="679"/>
      <c r="LTV163" s="679"/>
      <c r="LTW163" s="679"/>
      <c r="LTX163" s="679"/>
      <c r="LTY163" s="679"/>
      <c r="LTZ163" s="679"/>
      <c r="LUA163" s="679"/>
      <c r="LUB163" s="679"/>
      <c r="LUC163" s="679"/>
      <c r="LUD163" s="679"/>
      <c r="LUE163" s="679"/>
      <c r="LUF163" s="679"/>
      <c r="LUG163" s="679"/>
      <c r="LUH163" s="679"/>
      <c r="LUI163" s="679"/>
      <c r="LUJ163" s="679"/>
      <c r="LUK163" s="679"/>
      <c r="LUL163" s="679"/>
      <c r="LUM163" s="679"/>
      <c r="LUN163" s="679"/>
      <c r="LUO163" s="679"/>
      <c r="LUP163" s="679"/>
      <c r="LUQ163" s="679"/>
      <c r="LUR163" s="679"/>
      <c r="LUS163" s="679"/>
      <c r="LUT163" s="679"/>
      <c r="LUU163" s="679"/>
      <c r="LUV163" s="679"/>
      <c r="LUW163" s="679"/>
      <c r="LUX163" s="679"/>
      <c r="LUY163" s="679"/>
      <c r="LUZ163" s="679"/>
      <c r="LVA163" s="679"/>
      <c r="LVB163" s="679"/>
      <c r="LVC163" s="679"/>
      <c r="LVD163" s="679"/>
      <c r="LVE163" s="679"/>
      <c r="LVF163" s="679"/>
      <c r="LVG163" s="679"/>
      <c r="LVH163" s="679"/>
      <c r="LVI163" s="679"/>
      <c r="LVJ163" s="679"/>
      <c r="LVK163" s="679"/>
      <c r="LVL163" s="679"/>
      <c r="LVM163" s="679"/>
      <c r="LVN163" s="679"/>
      <c r="LVO163" s="679"/>
      <c r="LVP163" s="679"/>
      <c r="LVQ163" s="679"/>
      <c r="LVR163" s="679"/>
      <c r="LVS163" s="679"/>
      <c r="LVT163" s="679"/>
      <c r="LVU163" s="679"/>
      <c r="LVV163" s="679"/>
      <c r="LVW163" s="679"/>
      <c r="LVX163" s="679"/>
      <c r="LVY163" s="679"/>
      <c r="LVZ163" s="679"/>
      <c r="LWA163" s="679"/>
      <c r="LWB163" s="679"/>
      <c r="LWC163" s="679"/>
      <c r="LWD163" s="679"/>
      <c r="LWE163" s="679"/>
      <c r="LWF163" s="679"/>
      <c r="LWG163" s="679"/>
      <c r="LWH163" s="679"/>
      <c r="LWI163" s="679"/>
      <c r="LWJ163" s="679"/>
      <c r="LWK163" s="679"/>
      <c r="LWL163" s="679"/>
      <c r="LWM163" s="679"/>
      <c r="LWN163" s="679"/>
      <c r="LWO163" s="679"/>
      <c r="LWP163" s="679"/>
      <c r="LWQ163" s="679"/>
      <c r="LWR163" s="679"/>
      <c r="LWS163" s="679"/>
      <c r="LWT163" s="679"/>
      <c r="LWU163" s="679"/>
      <c r="LWV163" s="679"/>
      <c r="LWW163" s="679"/>
      <c r="LWX163" s="679"/>
      <c r="LWY163" s="679"/>
      <c r="LWZ163" s="679"/>
      <c r="LXA163" s="679"/>
      <c r="LXB163" s="679"/>
      <c r="LXC163" s="679"/>
      <c r="LXD163" s="679"/>
      <c r="LXE163" s="679"/>
      <c r="LXF163" s="679"/>
      <c r="LXG163" s="679"/>
      <c r="LXH163" s="679"/>
      <c r="LXI163" s="679"/>
      <c r="LXJ163" s="679"/>
      <c r="LXK163" s="679"/>
      <c r="LXL163" s="679"/>
      <c r="LXM163" s="679"/>
      <c r="LXN163" s="679"/>
      <c r="LXO163" s="679"/>
      <c r="LXP163" s="679"/>
      <c r="LXQ163" s="679"/>
      <c r="LXR163" s="679"/>
      <c r="LXS163" s="679"/>
      <c r="LXT163" s="679"/>
      <c r="LXU163" s="679"/>
      <c r="LXV163" s="679"/>
      <c r="LXW163" s="679"/>
      <c r="LXX163" s="679"/>
      <c r="LXY163" s="679"/>
      <c r="LXZ163" s="679"/>
      <c r="LYA163" s="679"/>
      <c r="LYB163" s="679"/>
      <c r="LYC163" s="679"/>
      <c r="LYD163" s="679"/>
      <c r="LYE163" s="679"/>
      <c r="LYF163" s="679"/>
      <c r="LYG163" s="679"/>
      <c r="LYH163" s="679"/>
      <c r="LYI163" s="679"/>
      <c r="LYJ163" s="679"/>
      <c r="LYK163" s="679"/>
      <c r="LYL163" s="679"/>
      <c r="LYM163" s="679"/>
      <c r="LYN163" s="679"/>
      <c r="LYO163" s="679"/>
      <c r="LYP163" s="679"/>
      <c r="LYQ163" s="679"/>
      <c r="LYR163" s="679"/>
      <c r="LYS163" s="679"/>
      <c r="LYT163" s="679"/>
      <c r="LYU163" s="679"/>
      <c r="LYV163" s="679"/>
      <c r="LYW163" s="679"/>
      <c r="LYX163" s="679"/>
      <c r="LYY163" s="679"/>
      <c r="LYZ163" s="679"/>
      <c r="LZA163" s="679"/>
      <c r="LZB163" s="679"/>
      <c r="LZC163" s="679"/>
      <c r="LZD163" s="679"/>
      <c r="LZE163" s="679"/>
      <c r="LZF163" s="679"/>
      <c r="LZG163" s="679"/>
      <c r="LZH163" s="679"/>
      <c r="LZI163" s="679"/>
      <c r="LZJ163" s="679"/>
      <c r="LZK163" s="679"/>
      <c r="LZL163" s="679"/>
      <c r="LZM163" s="679"/>
      <c r="LZN163" s="679"/>
      <c r="LZO163" s="679"/>
      <c r="LZP163" s="679"/>
      <c r="LZQ163" s="679"/>
      <c r="LZR163" s="679"/>
      <c r="LZS163" s="679"/>
      <c r="LZT163" s="679"/>
      <c r="LZU163" s="679"/>
      <c r="LZV163" s="679"/>
      <c r="LZW163" s="679"/>
      <c r="LZX163" s="679"/>
      <c r="LZY163" s="679"/>
      <c r="LZZ163" s="679"/>
      <c r="MAA163" s="679"/>
      <c r="MAB163" s="679"/>
      <c r="MAC163" s="679"/>
      <c r="MAD163" s="679"/>
      <c r="MAE163" s="679"/>
      <c r="MAF163" s="679"/>
      <c r="MAG163" s="679"/>
      <c r="MAH163" s="679"/>
      <c r="MAI163" s="679"/>
      <c r="MAJ163" s="679"/>
      <c r="MAK163" s="679"/>
      <c r="MAL163" s="679"/>
      <c r="MAM163" s="679"/>
      <c r="MAN163" s="679"/>
      <c r="MAO163" s="679"/>
      <c r="MAP163" s="679"/>
      <c r="MAQ163" s="679"/>
      <c r="MAR163" s="679"/>
      <c r="MAS163" s="679"/>
      <c r="MAT163" s="679"/>
      <c r="MAU163" s="679"/>
      <c r="MAV163" s="679"/>
      <c r="MAW163" s="679"/>
      <c r="MAX163" s="679"/>
      <c r="MAY163" s="679"/>
      <c r="MAZ163" s="679"/>
      <c r="MBA163" s="679"/>
      <c r="MBB163" s="679"/>
      <c r="MBC163" s="679"/>
      <c r="MBD163" s="679"/>
      <c r="MBE163" s="679"/>
      <c r="MBF163" s="679"/>
      <c r="MBG163" s="679"/>
      <c r="MBH163" s="679"/>
      <c r="MBI163" s="679"/>
      <c r="MBJ163" s="679"/>
      <c r="MBK163" s="679"/>
      <c r="MBL163" s="679"/>
      <c r="MBM163" s="679"/>
      <c r="MBN163" s="679"/>
      <c r="MBO163" s="679"/>
      <c r="MBP163" s="679"/>
      <c r="MBQ163" s="679"/>
      <c r="MBR163" s="679"/>
      <c r="MBS163" s="679"/>
      <c r="MBT163" s="679"/>
      <c r="MBU163" s="679"/>
      <c r="MBV163" s="679"/>
      <c r="MBW163" s="679"/>
      <c r="MBX163" s="679"/>
      <c r="MBY163" s="679"/>
      <c r="MBZ163" s="679"/>
      <c r="MCA163" s="679"/>
      <c r="MCB163" s="679"/>
      <c r="MCC163" s="679"/>
      <c r="MCD163" s="679"/>
      <c r="MCE163" s="679"/>
      <c r="MCF163" s="679"/>
      <c r="MCG163" s="679"/>
      <c r="MCH163" s="679"/>
      <c r="MCI163" s="679"/>
      <c r="MCJ163" s="679"/>
      <c r="MCK163" s="679"/>
      <c r="MCL163" s="679"/>
      <c r="MCM163" s="679"/>
      <c r="MCN163" s="679"/>
      <c r="MCO163" s="679"/>
      <c r="MCP163" s="679"/>
      <c r="MCQ163" s="679"/>
      <c r="MCR163" s="679"/>
      <c r="MCS163" s="679"/>
      <c r="MCT163" s="679"/>
      <c r="MCU163" s="679"/>
      <c r="MCV163" s="679"/>
      <c r="MCW163" s="679"/>
      <c r="MCX163" s="679"/>
      <c r="MCY163" s="679"/>
      <c r="MCZ163" s="679"/>
      <c r="MDA163" s="679"/>
      <c r="MDB163" s="679"/>
      <c r="MDC163" s="679"/>
      <c r="MDD163" s="679"/>
      <c r="MDE163" s="679"/>
      <c r="MDF163" s="679"/>
      <c r="MDG163" s="679"/>
      <c r="MDH163" s="679"/>
      <c r="MDI163" s="679"/>
      <c r="MDJ163" s="679"/>
      <c r="MDK163" s="679"/>
      <c r="MDL163" s="679"/>
      <c r="MDM163" s="679"/>
      <c r="MDN163" s="679"/>
      <c r="MDO163" s="679"/>
      <c r="MDP163" s="679"/>
      <c r="MDQ163" s="679"/>
      <c r="MDR163" s="679"/>
      <c r="MDS163" s="679"/>
      <c r="MDT163" s="679"/>
      <c r="MDU163" s="679"/>
      <c r="MDV163" s="679"/>
      <c r="MDW163" s="679"/>
      <c r="MDX163" s="679"/>
      <c r="MDY163" s="679"/>
      <c r="MDZ163" s="679"/>
      <c r="MEA163" s="679"/>
      <c r="MEB163" s="679"/>
      <c r="MEC163" s="679"/>
      <c r="MED163" s="679"/>
      <c r="MEE163" s="679"/>
      <c r="MEF163" s="679"/>
      <c r="MEG163" s="679"/>
      <c r="MEH163" s="679"/>
      <c r="MEI163" s="679"/>
      <c r="MEJ163" s="679"/>
      <c r="MEK163" s="679"/>
      <c r="MEL163" s="679"/>
      <c r="MEM163" s="679"/>
      <c r="MEN163" s="679"/>
      <c r="MEO163" s="679"/>
      <c r="MEP163" s="679"/>
      <c r="MEQ163" s="679"/>
      <c r="MER163" s="679"/>
      <c r="MES163" s="679"/>
      <c r="MET163" s="679"/>
      <c r="MEU163" s="679"/>
      <c r="MEV163" s="679"/>
      <c r="MEW163" s="679"/>
      <c r="MEX163" s="679"/>
      <c r="MEY163" s="679"/>
      <c r="MEZ163" s="679"/>
      <c r="MFA163" s="679"/>
      <c r="MFB163" s="679"/>
      <c r="MFC163" s="679"/>
      <c r="MFD163" s="679"/>
      <c r="MFE163" s="679"/>
      <c r="MFF163" s="679"/>
      <c r="MFG163" s="679"/>
      <c r="MFH163" s="679"/>
      <c r="MFI163" s="679"/>
      <c r="MFJ163" s="679"/>
      <c r="MFK163" s="679"/>
      <c r="MFL163" s="679"/>
      <c r="MFM163" s="679"/>
      <c r="MFN163" s="679"/>
      <c r="MFO163" s="679"/>
      <c r="MFP163" s="679"/>
      <c r="MFQ163" s="679"/>
      <c r="MFR163" s="679"/>
      <c r="MFS163" s="679"/>
      <c r="MFT163" s="679"/>
      <c r="MFU163" s="679"/>
      <c r="MFV163" s="679"/>
      <c r="MFW163" s="679"/>
      <c r="MFX163" s="679"/>
      <c r="MFY163" s="679"/>
      <c r="MFZ163" s="679"/>
      <c r="MGA163" s="679"/>
      <c r="MGB163" s="679"/>
      <c r="MGC163" s="679"/>
      <c r="MGD163" s="679"/>
      <c r="MGE163" s="679"/>
      <c r="MGF163" s="679"/>
      <c r="MGG163" s="679"/>
      <c r="MGH163" s="679"/>
      <c r="MGI163" s="679"/>
      <c r="MGJ163" s="679"/>
      <c r="MGK163" s="679"/>
      <c r="MGL163" s="679"/>
      <c r="MGM163" s="679"/>
      <c r="MGN163" s="679"/>
      <c r="MGO163" s="679"/>
      <c r="MGP163" s="679"/>
      <c r="MGQ163" s="679"/>
      <c r="MGR163" s="679"/>
      <c r="MGS163" s="679"/>
      <c r="MGT163" s="679"/>
      <c r="MGU163" s="679"/>
      <c r="MGV163" s="679"/>
      <c r="MGW163" s="679"/>
      <c r="MGX163" s="679"/>
      <c r="MGY163" s="679"/>
      <c r="MGZ163" s="679"/>
      <c r="MHA163" s="679"/>
      <c r="MHB163" s="679"/>
      <c r="MHC163" s="679"/>
      <c r="MHD163" s="679"/>
      <c r="MHE163" s="679"/>
      <c r="MHF163" s="679"/>
      <c r="MHG163" s="679"/>
      <c r="MHH163" s="679"/>
      <c r="MHI163" s="679"/>
      <c r="MHJ163" s="679"/>
      <c r="MHK163" s="679"/>
      <c r="MHL163" s="679"/>
      <c r="MHM163" s="679"/>
      <c r="MHN163" s="679"/>
      <c r="MHO163" s="679"/>
      <c r="MHP163" s="679"/>
      <c r="MHQ163" s="679"/>
      <c r="MHR163" s="679"/>
      <c r="MHS163" s="679"/>
      <c r="MHT163" s="679"/>
      <c r="MHU163" s="679"/>
      <c r="MHV163" s="679"/>
      <c r="MHW163" s="679"/>
      <c r="MHX163" s="679"/>
      <c r="MHY163" s="679"/>
      <c r="MHZ163" s="679"/>
      <c r="MIA163" s="679"/>
      <c r="MIB163" s="679"/>
      <c r="MIC163" s="679"/>
      <c r="MID163" s="679"/>
      <c r="MIE163" s="679"/>
      <c r="MIF163" s="679"/>
      <c r="MIG163" s="679"/>
      <c r="MIH163" s="679"/>
      <c r="MII163" s="679"/>
      <c r="MIJ163" s="679"/>
      <c r="MIK163" s="679"/>
      <c r="MIL163" s="679"/>
      <c r="MIM163" s="679"/>
      <c r="MIN163" s="679"/>
      <c r="MIO163" s="679"/>
      <c r="MIP163" s="679"/>
      <c r="MIQ163" s="679"/>
      <c r="MIR163" s="679"/>
      <c r="MIS163" s="679"/>
      <c r="MIT163" s="679"/>
      <c r="MIU163" s="679"/>
      <c r="MIV163" s="679"/>
      <c r="MIW163" s="679"/>
      <c r="MIX163" s="679"/>
      <c r="MIY163" s="679"/>
      <c r="MIZ163" s="679"/>
      <c r="MJA163" s="679"/>
      <c r="MJB163" s="679"/>
      <c r="MJC163" s="679"/>
      <c r="MJD163" s="679"/>
      <c r="MJE163" s="679"/>
      <c r="MJF163" s="679"/>
      <c r="MJG163" s="679"/>
      <c r="MJH163" s="679"/>
      <c r="MJI163" s="679"/>
      <c r="MJJ163" s="679"/>
      <c r="MJK163" s="679"/>
      <c r="MJL163" s="679"/>
      <c r="MJM163" s="679"/>
      <c r="MJN163" s="679"/>
      <c r="MJO163" s="679"/>
      <c r="MJP163" s="679"/>
      <c r="MJQ163" s="679"/>
      <c r="MJR163" s="679"/>
      <c r="MJS163" s="679"/>
      <c r="MJT163" s="679"/>
      <c r="MJU163" s="679"/>
      <c r="MJV163" s="679"/>
      <c r="MJW163" s="679"/>
      <c r="MJX163" s="679"/>
      <c r="MJY163" s="679"/>
      <c r="MJZ163" s="679"/>
      <c r="MKA163" s="679"/>
      <c r="MKB163" s="679"/>
      <c r="MKC163" s="679"/>
      <c r="MKD163" s="679"/>
      <c r="MKE163" s="679"/>
      <c r="MKF163" s="679"/>
      <c r="MKG163" s="679"/>
      <c r="MKH163" s="679"/>
      <c r="MKI163" s="679"/>
      <c r="MKJ163" s="679"/>
      <c r="MKK163" s="679"/>
      <c r="MKL163" s="679"/>
      <c r="MKM163" s="679"/>
      <c r="MKN163" s="679"/>
      <c r="MKO163" s="679"/>
      <c r="MKP163" s="679"/>
      <c r="MKQ163" s="679"/>
      <c r="MKR163" s="679"/>
      <c r="MKS163" s="679"/>
      <c r="MKT163" s="679"/>
      <c r="MKU163" s="679"/>
      <c r="MKV163" s="679"/>
      <c r="MKW163" s="679"/>
      <c r="MKX163" s="679"/>
      <c r="MKY163" s="679"/>
      <c r="MKZ163" s="679"/>
      <c r="MLA163" s="679"/>
      <c r="MLB163" s="679"/>
      <c r="MLC163" s="679"/>
      <c r="MLD163" s="679"/>
      <c r="MLE163" s="679"/>
      <c r="MLF163" s="679"/>
      <c r="MLG163" s="679"/>
      <c r="MLH163" s="679"/>
      <c r="MLI163" s="679"/>
      <c r="MLJ163" s="679"/>
      <c r="MLK163" s="679"/>
      <c r="MLL163" s="679"/>
      <c r="MLM163" s="679"/>
      <c r="MLN163" s="679"/>
      <c r="MLO163" s="679"/>
      <c r="MLP163" s="679"/>
      <c r="MLQ163" s="679"/>
      <c r="MLR163" s="679"/>
      <c r="MLS163" s="679"/>
      <c r="MLT163" s="679"/>
      <c r="MLU163" s="679"/>
      <c r="MLV163" s="679"/>
      <c r="MLW163" s="679"/>
      <c r="MLX163" s="679"/>
      <c r="MLY163" s="679"/>
      <c r="MLZ163" s="679"/>
      <c r="MMA163" s="679"/>
      <c r="MMB163" s="679"/>
      <c r="MMC163" s="679"/>
      <c r="MMD163" s="679"/>
      <c r="MME163" s="679"/>
      <c r="MMF163" s="679"/>
      <c r="MMG163" s="679"/>
      <c r="MMH163" s="679"/>
      <c r="MMI163" s="679"/>
      <c r="MMJ163" s="679"/>
      <c r="MMK163" s="679"/>
      <c r="MML163" s="679"/>
      <c r="MMM163" s="679"/>
      <c r="MMN163" s="679"/>
      <c r="MMO163" s="679"/>
      <c r="MMP163" s="679"/>
      <c r="MMQ163" s="679"/>
      <c r="MMR163" s="679"/>
      <c r="MMS163" s="679"/>
      <c r="MMT163" s="679"/>
      <c r="MMU163" s="679"/>
      <c r="MMV163" s="679"/>
      <c r="MMW163" s="679"/>
      <c r="MMX163" s="679"/>
      <c r="MMY163" s="679"/>
      <c r="MMZ163" s="679"/>
      <c r="MNA163" s="679"/>
      <c r="MNB163" s="679"/>
      <c r="MNC163" s="679"/>
      <c r="MND163" s="679"/>
      <c r="MNE163" s="679"/>
      <c r="MNF163" s="679"/>
      <c r="MNG163" s="679"/>
      <c r="MNH163" s="679"/>
      <c r="MNI163" s="679"/>
      <c r="MNJ163" s="679"/>
      <c r="MNK163" s="679"/>
      <c r="MNL163" s="679"/>
      <c r="MNM163" s="679"/>
      <c r="MNN163" s="679"/>
      <c r="MNO163" s="679"/>
      <c r="MNP163" s="679"/>
      <c r="MNQ163" s="679"/>
      <c r="MNR163" s="679"/>
      <c r="MNS163" s="679"/>
      <c r="MNT163" s="679"/>
      <c r="MNU163" s="679"/>
      <c r="MNV163" s="679"/>
      <c r="MNW163" s="679"/>
      <c r="MNX163" s="679"/>
      <c r="MNY163" s="679"/>
      <c r="MNZ163" s="679"/>
      <c r="MOA163" s="679"/>
      <c r="MOB163" s="679"/>
      <c r="MOC163" s="679"/>
      <c r="MOD163" s="679"/>
      <c r="MOE163" s="679"/>
      <c r="MOF163" s="679"/>
      <c r="MOG163" s="679"/>
      <c r="MOH163" s="679"/>
      <c r="MOI163" s="679"/>
      <c r="MOJ163" s="679"/>
      <c r="MOK163" s="679"/>
      <c r="MOL163" s="679"/>
      <c r="MOM163" s="679"/>
      <c r="MON163" s="679"/>
      <c r="MOO163" s="679"/>
      <c r="MOP163" s="679"/>
      <c r="MOQ163" s="679"/>
      <c r="MOR163" s="679"/>
      <c r="MOS163" s="679"/>
      <c r="MOT163" s="679"/>
      <c r="MOU163" s="679"/>
      <c r="MOV163" s="679"/>
      <c r="MOW163" s="679"/>
      <c r="MOX163" s="679"/>
      <c r="MOY163" s="679"/>
      <c r="MOZ163" s="679"/>
      <c r="MPA163" s="679"/>
      <c r="MPB163" s="679"/>
      <c r="MPC163" s="679"/>
      <c r="MPD163" s="679"/>
      <c r="MPE163" s="679"/>
      <c r="MPF163" s="679"/>
      <c r="MPG163" s="679"/>
      <c r="MPH163" s="679"/>
      <c r="MPI163" s="679"/>
      <c r="MPJ163" s="679"/>
      <c r="MPK163" s="679"/>
      <c r="MPL163" s="679"/>
      <c r="MPM163" s="679"/>
      <c r="MPN163" s="679"/>
      <c r="MPO163" s="679"/>
      <c r="MPP163" s="679"/>
      <c r="MPQ163" s="679"/>
      <c r="MPR163" s="679"/>
      <c r="MPS163" s="679"/>
      <c r="MPT163" s="679"/>
      <c r="MPU163" s="679"/>
      <c r="MPV163" s="679"/>
      <c r="MPW163" s="679"/>
      <c r="MPX163" s="679"/>
      <c r="MPY163" s="679"/>
      <c r="MPZ163" s="679"/>
      <c r="MQA163" s="679"/>
      <c r="MQB163" s="679"/>
      <c r="MQC163" s="679"/>
      <c r="MQD163" s="679"/>
      <c r="MQE163" s="679"/>
      <c r="MQF163" s="679"/>
      <c r="MQG163" s="679"/>
      <c r="MQH163" s="679"/>
      <c r="MQI163" s="679"/>
      <c r="MQJ163" s="679"/>
      <c r="MQK163" s="679"/>
      <c r="MQL163" s="679"/>
      <c r="MQM163" s="679"/>
      <c r="MQN163" s="679"/>
      <c r="MQO163" s="679"/>
      <c r="MQP163" s="679"/>
      <c r="MQQ163" s="679"/>
      <c r="MQR163" s="679"/>
      <c r="MQS163" s="679"/>
      <c r="MQT163" s="679"/>
      <c r="MQU163" s="679"/>
      <c r="MQV163" s="679"/>
      <c r="MQW163" s="679"/>
      <c r="MQX163" s="679"/>
      <c r="MQY163" s="679"/>
      <c r="MQZ163" s="679"/>
      <c r="MRA163" s="679"/>
      <c r="MRB163" s="679"/>
      <c r="MRC163" s="679"/>
      <c r="MRD163" s="679"/>
      <c r="MRE163" s="679"/>
      <c r="MRF163" s="679"/>
      <c r="MRG163" s="679"/>
      <c r="MRH163" s="679"/>
      <c r="MRI163" s="679"/>
      <c r="MRJ163" s="679"/>
      <c r="MRK163" s="679"/>
      <c r="MRL163" s="679"/>
      <c r="MRM163" s="679"/>
      <c r="MRN163" s="679"/>
      <c r="MRO163" s="679"/>
      <c r="MRP163" s="679"/>
      <c r="MRQ163" s="679"/>
      <c r="MRR163" s="679"/>
      <c r="MRS163" s="679"/>
      <c r="MRT163" s="679"/>
      <c r="MRU163" s="679"/>
      <c r="MRV163" s="679"/>
      <c r="MRW163" s="679"/>
      <c r="MRX163" s="679"/>
      <c r="MRY163" s="679"/>
      <c r="MRZ163" s="679"/>
      <c r="MSA163" s="679"/>
      <c r="MSB163" s="679"/>
      <c r="MSC163" s="679"/>
      <c r="MSD163" s="679"/>
      <c r="MSE163" s="679"/>
      <c r="MSF163" s="679"/>
      <c r="MSG163" s="679"/>
      <c r="MSH163" s="679"/>
      <c r="MSI163" s="679"/>
      <c r="MSJ163" s="679"/>
      <c r="MSK163" s="679"/>
      <c r="MSL163" s="679"/>
      <c r="MSM163" s="679"/>
      <c r="MSN163" s="679"/>
      <c r="MSO163" s="679"/>
      <c r="MSP163" s="679"/>
      <c r="MSQ163" s="679"/>
      <c r="MSR163" s="679"/>
      <c r="MSS163" s="679"/>
      <c r="MST163" s="679"/>
      <c r="MSU163" s="679"/>
      <c r="MSV163" s="679"/>
      <c r="MSW163" s="679"/>
      <c r="MSX163" s="679"/>
      <c r="MSY163" s="679"/>
      <c r="MSZ163" s="679"/>
      <c r="MTA163" s="679"/>
      <c r="MTB163" s="679"/>
      <c r="MTC163" s="679"/>
      <c r="MTD163" s="679"/>
      <c r="MTE163" s="679"/>
      <c r="MTF163" s="679"/>
      <c r="MTG163" s="679"/>
      <c r="MTH163" s="679"/>
      <c r="MTI163" s="679"/>
      <c r="MTJ163" s="679"/>
      <c r="MTK163" s="679"/>
      <c r="MTL163" s="679"/>
      <c r="MTM163" s="679"/>
      <c r="MTN163" s="679"/>
      <c r="MTO163" s="679"/>
      <c r="MTP163" s="679"/>
      <c r="MTQ163" s="679"/>
      <c r="MTR163" s="679"/>
      <c r="MTS163" s="679"/>
      <c r="MTT163" s="679"/>
      <c r="MTU163" s="679"/>
      <c r="MTV163" s="679"/>
      <c r="MTW163" s="679"/>
      <c r="MTX163" s="679"/>
      <c r="MTY163" s="679"/>
      <c r="MTZ163" s="679"/>
      <c r="MUA163" s="679"/>
      <c r="MUB163" s="679"/>
      <c r="MUC163" s="679"/>
      <c r="MUD163" s="679"/>
      <c r="MUE163" s="679"/>
      <c r="MUF163" s="679"/>
      <c r="MUG163" s="679"/>
      <c r="MUH163" s="679"/>
      <c r="MUI163" s="679"/>
      <c r="MUJ163" s="679"/>
      <c r="MUK163" s="679"/>
      <c r="MUL163" s="679"/>
      <c r="MUM163" s="679"/>
      <c r="MUN163" s="679"/>
      <c r="MUO163" s="679"/>
      <c r="MUP163" s="679"/>
      <c r="MUQ163" s="679"/>
      <c r="MUR163" s="679"/>
      <c r="MUS163" s="679"/>
      <c r="MUT163" s="679"/>
      <c r="MUU163" s="679"/>
      <c r="MUV163" s="679"/>
      <c r="MUW163" s="679"/>
      <c r="MUX163" s="679"/>
      <c r="MUY163" s="679"/>
      <c r="MUZ163" s="679"/>
      <c r="MVA163" s="679"/>
      <c r="MVB163" s="679"/>
      <c r="MVC163" s="679"/>
      <c r="MVD163" s="679"/>
      <c r="MVE163" s="679"/>
      <c r="MVF163" s="679"/>
      <c r="MVG163" s="679"/>
      <c r="MVH163" s="679"/>
      <c r="MVI163" s="679"/>
      <c r="MVJ163" s="679"/>
      <c r="MVK163" s="679"/>
      <c r="MVL163" s="679"/>
      <c r="MVM163" s="679"/>
      <c r="MVN163" s="679"/>
      <c r="MVO163" s="679"/>
      <c r="MVP163" s="679"/>
      <c r="MVQ163" s="679"/>
      <c r="MVR163" s="679"/>
      <c r="MVS163" s="679"/>
      <c r="MVT163" s="679"/>
      <c r="MVU163" s="679"/>
      <c r="MVV163" s="679"/>
      <c r="MVW163" s="679"/>
      <c r="MVX163" s="679"/>
      <c r="MVY163" s="679"/>
      <c r="MVZ163" s="679"/>
      <c r="MWA163" s="679"/>
      <c r="MWB163" s="679"/>
      <c r="MWC163" s="679"/>
      <c r="MWD163" s="679"/>
      <c r="MWE163" s="679"/>
      <c r="MWF163" s="679"/>
      <c r="MWG163" s="679"/>
      <c r="MWH163" s="679"/>
      <c r="MWI163" s="679"/>
      <c r="MWJ163" s="679"/>
      <c r="MWK163" s="679"/>
      <c r="MWL163" s="679"/>
      <c r="MWM163" s="679"/>
      <c r="MWN163" s="679"/>
      <c r="MWO163" s="679"/>
      <c r="MWP163" s="679"/>
      <c r="MWQ163" s="679"/>
      <c r="MWR163" s="679"/>
      <c r="MWS163" s="679"/>
      <c r="MWT163" s="679"/>
      <c r="MWU163" s="679"/>
      <c r="MWV163" s="679"/>
      <c r="MWW163" s="679"/>
      <c r="MWX163" s="679"/>
      <c r="MWY163" s="679"/>
      <c r="MWZ163" s="679"/>
      <c r="MXA163" s="679"/>
      <c r="MXB163" s="679"/>
      <c r="MXC163" s="679"/>
      <c r="MXD163" s="679"/>
      <c r="MXE163" s="679"/>
      <c r="MXF163" s="679"/>
      <c r="MXG163" s="679"/>
      <c r="MXH163" s="679"/>
      <c r="MXI163" s="679"/>
      <c r="MXJ163" s="679"/>
      <c r="MXK163" s="679"/>
      <c r="MXL163" s="679"/>
      <c r="MXM163" s="679"/>
      <c r="MXN163" s="679"/>
      <c r="MXO163" s="679"/>
      <c r="MXP163" s="679"/>
      <c r="MXQ163" s="679"/>
      <c r="MXR163" s="679"/>
      <c r="MXS163" s="679"/>
      <c r="MXT163" s="679"/>
      <c r="MXU163" s="679"/>
      <c r="MXV163" s="679"/>
      <c r="MXW163" s="679"/>
      <c r="MXX163" s="679"/>
      <c r="MXY163" s="679"/>
      <c r="MXZ163" s="679"/>
      <c r="MYA163" s="679"/>
      <c r="MYB163" s="679"/>
      <c r="MYC163" s="679"/>
      <c r="MYD163" s="679"/>
      <c r="MYE163" s="679"/>
      <c r="MYF163" s="679"/>
      <c r="MYG163" s="679"/>
      <c r="MYH163" s="679"/>
      <c r="MYI163" s="679"/>
      <c r="MYJ163" s="679"/>
      <c r="MYK163" s="679"/>
      <c r="MYL163" s="679"/>
      <c r="MYM163" s="679"/>
      <c r="MYN163" s="679"/>
      <c r="MYO163" s="679"/>
      <c r="MYP163" s="679"/>
      <c r="MYQ163" s="679"/>
      <c r="MYR163" s="679"/>
      <c r="MYS163" s="679"/>
      <c r="MYT163" s="679"/>
      <c r="MYU163" s="679"/>
      <c r="MYV163" s="679"/>
      <c r="MYW163" s="679"/>
      <c r="MYX163" s="679"/>
      <c r="MYY163" s="679"/>
      <c r="MYZ163" s="679"/>
      <c r="MZA163" s="679"/>
      <c r="MZB163" s="679"/>
      <c r="MZC163" s="679"/>
      <c r="MZD163" s="679"/>
      <c r="MZE163" s="679"/>
      <c r="MZF163" s="679"/>
      <c r="MZG163" s="679"/>
      <c r="MZH163" s="679"/>
      <c r="MZI163" s="679"/>
      <c r="MZJ163" s="679"/>
      <c r="MZK163" s="679"/>
      <c r="MZL163" s="679"/>
      <c r="MZM163" s="679"/>
      <c r="MZN163" s="679"/>
      <c r="MZO163" s="679"/>
      <c r="MZP163" s="679"/>
      <c r="MZQ163" s="679"/>
      <c r="MZR163" s="679"/>
      <c r="MZS163" s="679"/>
      <c r="MZT163" s="679"/>
      <c r="MZU163" s="679"/>
      <c r="MZV163" s="679"/>
      <c r="MZW163" s="679"/>
      <c r="MZX163" s="679"/>
      <c r="MZY163" s="679"/>
      <c r="MZZ163" s="679"/>
      <c r="NAA163" s="679"/>
      <c r="NAB163" s="679"/>
      <c r="NAC163" s="679"/>
      <c r="NAD163" s="679"/>
      <c r="NAE163" s="679"/>
      <c r="NAF163" s="679"/>
      <c r="NAG163" s="679"/>
      <c r="NAH163" s="679"/>
      <c r="NAI163" s="679"/>
      <c r="NAJ163" s="679"/>
      <c r="NAK163" s="679"/>
      <c r="NAL163" s="679"/>
      <c r="NAM163" s="679"/>
      <c r="NAN163" s="679"/>
      <c r="NAO163" s="679"/>
      <c r="NAP163" s="679"/>
      <c r="NAQ163" s="679"/>
      <c r="NAR163" s="679"/>
      <c r="NAS163" s="679"/>
      <c r="NAT163" s="679"/>
      <c r="NAU163" s="679"/>
      <c r="NAV163" s="679"/>
      <c r="NAW163" s="679"/>
      <c r="NAX163" s="679"/>
      <c r="NAY163" s="679"/>
      <c r="NAZ163" s="679"/>
      <c r="NBA163" s="679"/>
      <c r="NBB163" s="679"/>
      <c r="NBC163" s="679"/>
      <c r="NBD163" s="679"/>
      <c r="NBE163" s="679"/>
      <c r="NBF163" s="679"/>
      <c r="NBG163" s="679"/>
      <c r="NBH163" s="679"/>
      <c r="NBI163" s="679"/>
      <c r="NBJ163" s="679"/>
      <c r="NBK163" s="679"/>
      <c r="NBL163" s="679"/>
      <c r="NBM163" s="679"/>
      <c r="NBN163" s="679"/>
      <c r="NBO163" s="679"/>
      <c r="NBP163" s="679"/>
      <c r="NBQ163" s="679"/>
      <c r="NBR163" s="679"/>
      <c r="NBS163" s="679"/>
      <c r="NBT163" s="679"/>
      <c r="NBU163" s="679"/>
      <c r="NBV163" s="679"/>
      <c r="NBW163" s="679"/>
      <c r="NBX163" s="679"/>
      <c r="NBY163" s="679"/>
      <c r="NBZ163" s="679"/>
      <c r="NCA163" s="679"/>
      <c r="NCB163" s="679"/>
      <c r="NCC163" s="679"/>
      <c r="NCD163" s="679"/>
      <c r="NCE163" s="679"/>
      <c r="NCF163" s="679"/>
      <c r="NCG163" s="679"/>
      <c r="NCH163" s="679"/>
      <c r="NCI163" s="679"/>
      <c r="NCJ163" s="679"/>
      <c r="NCK163" s="679"/>
      <c r="NCL163" s="679"/>
      <c r="NCM163" s="679"/>
      <c r="NCN163" s="679"/>
      <c r="NCO163" s="679"/>
      <c r="NCP163" s="679"/>
      <c r="NCQ163" s="679"/>
      <c r="NCR163" s="679"/>
      <c r="NCS163" s="679"/>
      <c r="NCT163" s="679"/>
      <c r="NCU163" s="679"/>
      <c r="NCV163" s="679"/>
      <c r="NCW163" s="679"/>
      <c r="NCX163" s="679"/>
      <c r="NCY163" s="679"/>
      <c r="NCZ163" s="679"/>
      <c r="NDA163" s="679"/>
      <c r="NDB163" s="679"/>
      <c r="NDC163" s="679"/>
      <c r="NDD163" s="679"/>
      <c r="NDE163" s="679"/>
      <c r="NDF163" s="679"/>
      <c r="NDG163" s="679"/>
      <c r="NDH163" s="679"/>
      <c r="NDI163" s="679"/>
      <c r="NDJ163" s="679"/>
      <c r="NDK163" s="679"/>
      <c r="NDL163" s="679"/>
      <c r="NDM163" s="679"/>
      <c r="NDN163" s="679"/>
      <c r="NDO163" s="679"/>
      <c r="NDP163" s="679"/>
      <c r="NDQ163" s="679"/>
      <c r="NDR163" s="679"/>
      <c r="NDS163" s="679"/>
      <c r="NDT163" s="679"/>
      <c r="NDU163" s="679"/>
      <c r="NDV163" s="679"/>
      <c r="NDW163" s="679"/>
      <c r="NDX163" s="679"/>
      <c r="NDY163" s="679"/>
      <c r="NDZ163" s="679"/>
      <c r="NEA163" s="679"/>
      <c r="NEB163" s="679"/>
      <c r="NEC163" s="679"/>
      <c r="NED163" s="679"/>
      <c r="NEE163" s="679"/>
      <c r="NEF163" s="679"/>
      <c r="NEG163" s="679"/>
      <c r="NEH163" s="679"/>
      <c r="NEI163" s="679"/>
      <c r="NEJ163" s="679"/>
      <c r="NEK163" s="679"/>
      <c r="NEL163" s="679"/>
      <c r="NEM163" s="679"/>
      <c r="NEN163" s="679"/>
      <c r="NEO163" s="679"/>
      <c r="NEP163" s="679"/>
      <c r="NEQ163" s="679"/>
      <c r="NER163" s="679"/>
      <c r="NES163" s="679"/>
      <c r="NET163" s="679"/>
      <c r="NEU163" s="679"/>
      <c r="NEV163" s="679"/>
      <c r="NEW163" s="679"/>
      <c r="NEX163" s="679"/>
      <c r="NEY163" s="679"/>
      <c r="NEZ163" s="679"/>
      <c r="NFA163" s="679"/>
      <c r="NFB163" s="679"/>
      <c r="NFC163" s="679"/>
      <c r="NFD163" s="679"/>
      <c r="NFE163" s="679"/>
      <c r="NFF163" s="679"/>
      <c r="NFG163" s="679"/>
      <c r="NFH163" s="679"/>
      <c r="NFI163" s="679"/>
      <c r="NFJ163" s="679"/>
      <c r="NFK163" s="679"/>
      <c r="NFL163" s="679"/>
      <c r="NFM163" s="679"/>
      <c r="NFN163" s="679"/>
      <c r="NFO163" s="679"/>
      <c r="NFP163" s="679"/>
      <c r="NFQ163" s="679"/>
      <c r="NFR163" s="679"/>
      <c r="NFS163" s="679"/>
      <c r="NFT163" s="679"/>
      <c r="NFU163" s="679"/>
      <c r="NFV163" s="679"/>
      <c r="NFW163" s="679"/>
      <c r="NFX163" s="679"/>
      <c r="NFY163" s="679"/>
      <c r="NFZ163" s="679"/>
      <c r="NGA163" s="679"/>
      <c r="NGB163" s="679"/>
      <c r="NGC163" s="679"/>
      <c r="NGD163" s="679"/>
      <c r="NGE163" s="679"/>
      <c r="NGF163" s="679"/>
      <c r="NGG163" s="679"/>
      <c r="NGH163" s="679"/>
      <c r="NGI163" s="679"/>
      <c r="NGJ163" s="679"/>
      <c r="NGK163" s="679"/>
      <c r="NGL163" s="679"/>
      <c r="NGM163" s="679"/>
      <c r="NGN163" s="679"/>
      <c r="NGO163" s="679"/>
      <c r="NGP163" s="679"/>
      <c r="NGQ163" s="679"/>
      <c r="NGR163" s="679"/>
      <c r="NGS163" s="679"/>
      <c r="NGT163" s="679"/>
      <c r="NGU163" s="679"/>
      <c r="NGV163" s="679"/>
      <c r="NGW163" s="679"/>
      <c r="NGX163" s="679"/>
      <c r="NGY163" s="679"/>
      <c r="NGZ163" s="679"/>
      <c r="NHA163" s="679"/>
      <c r="NHB163" s="679"/>
      <c r="NHC163" s="679"/>
      <c r="NHD163" s="679"/>
      <c r="NHE163" s="679"/>
      <c r="NHF163" s="679"/>
      <c r="NHG163" s="679"/>
      <c r="NHH163" s="679"/>
      <c r="NHI163" s="679"/>
      <c r="NHJ163" s="679"/>
      <c r="NHK163" s="679"/>
      <c r="NHL163" s="679"/>
      <c r="NHM163" s="679"/>
      <c r="NHN163" s="679"/>
      <c r="NHO163" s="679"/>
      <c r="NHP163" s="679"/>
      <c r="NHQ163" s="679"/>
      <c r="NHR163" s="679"/>
      <c r="NHS163" s="679"/>
      <c r="NHT163" s="679"/>
      <c r="NHU163" s="679"/>
      <c r="NHV163" s="679"/>
      <c r="NHW163" s="679"/>
      <c r="NHX163" s="679"/>
      <c r="NHY163" s="679"/>
      <c r="NHZ163" s="679"/>
      <c r="NIA163" s="679"/>
      <c r="NIB163" s="679"/>
      <c r="NIC163" s="679"/>
      <c r="NID163" s="679"/>
      <c r="NIE163" s="679"/>
      <c r="NIF163" s="679"/>
      <c r="NIG163" s="679"/>
      <c r="NIH163" s="679"/>
      <c r="NII163" s="679"/>
      <c r="NIJ163" s="679"/>
      <c r="NIK163" s="679"/>
      <c r="NIL163" s="679"/>
      <c r="NIM163" s="679"/>
      <c r="NIN163" s="679"/>
      <c r="NIO163" s="679"/>
      <c r="NIP163" s="679"/>
      <c r="NIQ163" s="679"/>
      <c r="NIR163" s="679"/>
      <c r="NIS163" s="679"/>
      <c r="NIT163" s="679"/>
      <c r="NIU163" s="679"/>
      <c r="NIV163" s="679"/>
      <c r="NIW163" s="679"/>
      <c r="NIX163" s="679"/>
      <c r="NIY163" s="679"/>
      <c r="NIZ163" s="679"/>
      <c r="NJA163" s="679"/>
      <c r="NJB163" s="679"/>
      <c r="NJC163" s="679"/>
      <c r="NJD163" s="679"/>
      <c r="NJE163" s="679"/>
      <c r="NJF163" s="679"/>
      <c r="NJG163" s="679"/>
      <c r="NJH163" s="679"/>
      <c r="NJI163" s="679"/>
      <c r="NJJ163" s="679"/>
      <c r="NJK163" s="679"/>
      <c r="NJL163" s="679"/>
      <c r="NJM163" s="679"/>
      <c r="NJN163" s="679"/>
      <c r="NJO163" s="679"/>
      <c r="NJP163" s="679"/>
      <c r="NJQ163" s="679"/>
      <c r="NJR163" s="679"/>
      <c r="NJS163" s="679"/>
      <c r="NJT163" s="679"/>
      <c r="NJU163" s="679"/>
      <c r="NJV163" s="679"/>
      <c r="NJW163" s="679"/>
      <c r="NJX163" s="679"/>
      <c r="NJY163" s="679"/>
      <c r="NJZ163" s="679"/>
      <c r="NKA163" s="679"/>
      <c r="NKB163" s="679"/>
      <c r="NKC163" s="679"/>
      <c r="NKD163" s="679"/>
      <c r="NKE163" s="679"/>
      <c r="NKF163" s="679"/>
      <c r="NKG163" s="679"/>
      <c r="NKH163" s="679"/>
      <c r="NKI163" s="679"/>
      <c r="NKJ163" s="679"/>
      <c r="NKK163" s="679"/>
      <c r="NKL163" s="679"/>
      <c r="NKM163" s="679"/>
      <c r="NKN163" s="679"/>
      <c r="NKO163" s="679"/>
      <c r="NKP163" s="679"/>
      <c r="NKQ163" s="679"/>
      <c r="NKR163" s="679"/>
      <c r="NKS163" s="679"/>
      <c r="NKT163" s="679"/>
      <c r="NKU163" s="679"/>
      <c r="NKV163" s="679"/>
      <c r="NKW163" s="679"/>
      <c r="NKX163" s="679"/>
      <c r="NKY163" s="679"/>
      <c r="NKZ163" s="679"/>
      <c r="NLA163" s="679"/>
      <c r="NLB163" s="679"/>
      <c r="NLC163" s="679"/>
      <c r="NLD163" s="679"/>
      <c r="NLE163" s="679"/>
      <c r="NLF163" s="679"/>
      <c r="NLG163" s="679"/>
      <c r="NLH163" s="679"/>
      <c r="NLI163" s="679"/>
      <c r="NLJ163" s="679"/>
      <c r="NLK163" s="679"/>
      <c r="NLL163" s="679"/>
      <c r="NLM163" s="679"/>
      <c r="NLN163" s="679"/>
      <c r="NLO163" s="679"/>
      <c r="NLP163" s="679"/>
      <c r="NLQ163" s="679"/>
      <c r="NLR163" s="679"/>
      <c r="NLS163" s="679"/>
      <c r="NLT163" s="679"/>
      <c r="NLU163" s="679"/>
      <c r="NLV163" s="679"/>
      <c r="NLW163" s="679"/>
      <c r="NLX163" s="679"/>
      <c r="NLY163" s="679"/>
      <c r="NLZ163" s="679"/>
      <c r="NMA163" s="679"/>
      <c r="NMB163" s="679"/>
      <c r="NMC163" s="679"/>
      <c r="NMD163" s="679"/>
      <c r="NME163" s="679"/>
      <c r="NMF163" s="679"/>
      <c r="NMG163" s="679"/>
      <c r="NMH163" s="679"/>
      <c r="NMI163" s="679"/>
      <c r="NMJ163" s="679"/>
      <c r="NMK163" s="679"/>
      <c r="NML163" s="679"/>
      <c r="NMM163" s="679"/>
      <c r="NMN163" s="679"/>
      <c r="NMO163" s="679"/>
      <c r="NMP163" s="679"/>
      <c r="NMQ163" s="679"/>
      <c r="NMR163" s="679"/>
      <c r="NMS163" s="679"/>
      <c r="NMT163" s="679"/>
      <c r="NMU163" s="679"/>
      <c r="NMV163" s="679"/>
      <c r="NMW163" s="679"/>
      <c r="NMX163" s="679"/>
      <c r="NMY163" s="679"/>
      <c r="NMZ163" s="679"/>
      <c r="NNA163" s="679"/>
      <c r="NNB163" s="679"/>
      <c r="NNC163" s="679"/>
      <c r="NND163" s="679"/>
      <c r="NNE163" s="679"/>
      <c r="NNF163" s="679"/>
      <c r="NNG163" s="679"/>
      <c r="NNH163" s="679"/>
      <c r="NNI163" s="679"/>
      <c r="NNJ163" s="679"/>
      <c r="NNK163" s="679"/>
      <c r="NNL163" s="679"/>
      <c r="NNM163" s="679"/>
      <c r="NNN163" s="679"/>
      <c r="NNO163" s="679"/>
      <c r="NNP163" s="679"/>
      <c r="NNQ163" s="679"/>
      <c r="NNR163" s="679"/>
      <c r="NNS163" s="679"/>
      <c r="NNT163" s="679"/>
      <c r="NNU163" s="679"/>
      <c r="NNV163" s="679"/>
      <c r="NNW163" s="679"/>
      <c r="NNX163" s="679"/>
      <c r="NNY163" s="679"/>
      <c r="NNZ163" s="679"/>
      <c r="NOA163" s="679"/>
      <c r="NOB163" s="679"/>
      <c r="NOC163" s="679"/>
      <c r="NOD163" s="679"/>
      <c r="NOE163" s="679"/>
      <c r="NOF163" s="679"/>
      <c r="NOG163" s="679"/>
      <c r="NOH163" s="679"/>
      <c r="NOI163" s="679"/>
      <c r="NOJ163" s="679"/>
      <c r="NOK163" s="679"/>
      <c r="NOL163" s="679"/>
      <c r="NOM163" s="679"/>
      <c r="NON163" s="679"/>
      <c r="NOO163" s="679"/>
      <c r="NOP163" s="679"/>
      <c r="NOQ163" s="679"/>
      <c r="NOR163" s="679"/>
      <c r="NOS163" s="679"/>
      <c r="NOT163" s="679"/>
      <c r="NOU163" s="679"/>
      <c r="NOV163" s="679"/>
      <c r="NOW163" s="679"/>
      <c r="NOX163" s="679"/>
      <c r="NOY163" s="679"/>
      <c r="NOZ163" s="679"/>
      <c r="NPA163" s="679"/>
      <c r="NPB163" s="679"/>
      <c r="NPC163" s="679"/>
      <c r="NPD163" s="679"/>
      <c r="NPE163" s="679"/>
      <c r="NPF163" s="679"/>
      <c r="NPG163" s="679"/>
      <c r="NPH163" s="679"/>
      <c r="NPI163" s="679"/>
      <c r="NPJ163" s="679"/>
      <c r="NPK163" s="679"/>
      <c r="NPL163" s="679"/>
      <c r="NPM163" s="679"/>
      <c r="NPN163" s="679"/>
      <c r="NPO163" s="679"/>
      <c r="NPP163" s="679"/>
      <c r="NPQ163" s="679"/>
      <c r="NPR163" s="679"/>
      <c r="NPS163" s="679"/>
      <c r="NPT163" s="679"/>
      <c r="NPU163" s="679"/>
      <c r="NPV163" s="679"/>
      <c r="NPW163" s="679"/>
      <c r="NPX163" s="679"/>
      <c r="NPY163" s="679"/>
      <c r="NPZ163" s="679"/>
      <c r="NQA163" s="679"/>
      <c r="NQB163" s="679"/>
      <c r="NQC163" s="679"/>
      <c r="NQD163" s="679"/>
      <c r="NQE163" s="679"/>
      <c r="NQF163" s="679"/>
      <c r="NQG163" s="679"/>
      <c r="NQH163" s="679"/>
      <c r="NQI163" s="679"/>
      <c r="NQJ163" s="679"/>
      <c r="NQK163" s="679"/>
      <c r="NQL163" s="679"/>
      <c r="NQM163" s="679"/>
      <c r="NQN163" s="679"/>
      <c r="NQO163" s="679"/>
      <c r="NQP163" s="679"/>
      <c r="NQQ163" s="679"/>
      <c r="NQR163" s="679"/>
      <c r="NQS163" s="679"/>
      <c r="NQT163" s="679"/>
      <c r="NQU163" s="679"/>
      <c r="NQV163" s="679"/>
      <c r="NQW163" s="679"/>
      <c r="NQX163" s="679"/>
      <c r="NQY163" s="679"/>
      <c r="NQZ163" s="679"/>
      <c r="NRA163" s="679"/>
      <c r="NRB163" s="679"/>
      <c r="NRC163" s="679"/>
      <c r="NRD163" s="679"/>
      <c r="NRE163" s="679"/>
      <c r="NRF163" s="679"/>
      <c r="NRG163" s="679"/>
      <c r="NRH163" s="679"/>
      <c r="NRI163" s="679"/>
      <c r="NRJ163" s="679"/>
      <c r="NRK163" s="679"/>
      <c r="NRL163" s="679"/>
      <c r="NRM163" s="679"/>
      <c r="NRN163" s="679"/>
      <c r="NRO163" s="679"/>
      <c r="NRP163" s="679"/>
      <c r="NRQ163" s="679"/>
      <c r="NRR163" s="679"/>
      <c r="NRS163" s="679"/>
      <c r="NRT163" s="679"/>
      <c r="NRU163" s="679"/>
      <c r="NRV163" s="679"/>
      <c r="NRW163" s="679"/>
      <c r="NRX163" s="679"/>
      <c r="NRY163" s="679"/>
      <c r="NRZ163" s="679"/>
      <c r="NSA163" s="679"/>
      <c r="NSB163" s="679"/>
      <c r="NSC163" s="679"/>
      <c r="NSD163" s="679"/>
      <c r="NSE163" s="679"/>
      <c r="NSF163" s="679"/>
      <c r="NSG163" s="679"/>
      <c r="NSH163" s="679"/>
      <c r="NSI163" s="679"/>
      <c r="NSJ163" s="679"/>
      <c r="NSK163" s="679"/>
      <c r="NSL163" s="679"/>
      <c r="NSM163" s="679"/>
      <c r="NSN163" s="679"/>
      <c r="NSO163" s="679"/>
      <c r="NSP163" s="679"/>
      <c r="NSQ163" s="679"/>
      <c r="NSR163" s="679"/>
      <c r="NSS163" s="679"/>
      <c r="NST163" s="679"/>
      <c r="NSU163" s="679"/>
      <c r="NSV163" s="679"/>
      <c r="NSW163" s="679"/>
      <c r="NSX163" s="679"/>
      <c r="NSY163" s="679"/>
      <c r="NSZ163" s="679"/>
      <c r="NTA163" s="679"/>
      <c r="NTB163" s="679"/>
      <c r="NTC163" s="679"/>
      <c r="NTD163" s="679"/>
      <c r="NTE163" s="679"/>
      <c r="NTF163" s="679"/>
      <c r="NTG163" s="679"/>
      <c r="NTH163" s="679"/>
      <c r="NTI163" s="679"/>
      <c r="NTJ163" s="679"/>
      <c r="NTK163" s="679"/>
      <c r="NTL163" s="679"/>
      <c r="NTM163" s="679"/>
      <c r="NTN163" s="679"/>
      <c r="NTO163" s="679"/>
      <c r="NTP163" s="679"/>
      <c r="NTQ163" s="679"/>
      <c r="NTR163" s="679"/>
      <c r="NTS163" s="679"/>
      <c r="NTT163" s="679"/>
      <c r="NTU163" s="679"/>
      <c r="NTV163" s="679"/>
      <c r="NTW163" s="679"/>
      <c r="NTX163" s="679"/>
      <c r="NTY163" s="679"/>
      <c r="NTZ163" s="679"/>
      <c r="NUA163" s="679"/>
      <c r="NUB163" s="679"/>
      <c r="NUC163" s="679"/>
      <c r="NUD163" s="679"/>
      <c r="NUE163" s="679"/>
      <c r="NUF163" s="679"/>
      <c r="NUG163" s="679"/>
      <c r="NUH163" s="679"/>
      <c r="NUI163" s="679"/>
      <c r="NUJ163" s="679"/>
      <c r="NUK163" s="679"/>
      <c r="NUL163" s="679"/>
      <c r="NUM163" s="679"/>
      <c r="NUN163" s="679"/>
      <c r="NUO163" s="679"/>
      <c r="NUP163" s="679"/>
      <c r="NUQ163" s="679"/>
      <c r="NUR163" s="679"/>
      <c r="NUS163" s="679"/>
      <c r="NUT163" s="679"/>
      <c r="NUU163" s="679"/>
      <c r="NUV163" s="679"/>
      <c r="NUW163" s="679"/>
      <c r="NUX163" s="679"/>
      <c r="NUY163" s="679"/>
      <c r="NUZ163" s="679"/>
      <c r="NVA163" s="679"/>
      <c r="NVB163" s="679"/>
      <c r="NVC163" s="679"/>
      <c r="NVD163" s="679"/>
      <c r="NVE163" s="679"/>
      <c r="NVF163" s="679"/>
      <c r="NVG163" s="679"/>
      <c r="NVH163" s="679"/>
      <c r="NVI163" s="679"/>
      <c r="NVJ163" s="679"/>
      <c r="NVK163" s="679"/>
      <c r="NVL163" s="679"/>
      <c r="NVM163" s="679"/>
      <c r="NVN163" s="679"/>
      <c r="NVO163" s="679"/>
      <c r="NVP163" s="679"/>
      <c r="NVQ163" s="679"/>
      <c r="NVR163" s="679"/>
      <c r="NVS163" s="679"/>
      <c r="NVT163" s="679"/>
      <c r="NVU163" s="679"/>
      <c r="NVV163" s="679"/>
      <c r="NVW163" s="679"/>
      <c r="NVX163" s="679"/>
      <c r="NVY163" s="679"/>
      <c r="NVZ163" s="679"/>
      <c r="NWA163" s="679"/>
      <c r="NWB163" s="679"/>
      <c r="NWC163" s="679"/>
      <c r="NWD163" s="679"/>
      <c r="NWE163" s="679"/>
      <c r="NWF163" s="679"/>
      <c r="NWG163" s="679"/>
      <c r="NWH163" s="679"/>
      <c r="NWI163" s="679"/>
      <c r="NWJ163" s="679"/>
      <c r="NWK163" s="679"/>
      <c r="NWL163" s="679"/>
      <c r="NWM163" s="679"/>
      <c r="NWN163" s="679"/>
      <c r="NWO163" s="679"/>
      <c r="NWP163" s="679"/>
      <c r="NWQ163" s="679"/>
      <c r="NWR163" s="679"/>
      <c r="NWS163" s="679"/>
      <c r="NWT163" s="679"/>
      <c r="NWU163" s="679"/>
      <c r="NWV163" s="679"/>
      <c r="NWW163" s="679"/>
      <c r="NWX163" s="679"/>
      <c r="NWY163" s="679"/>
      <c r="NWZ163" s="679"/>
      <c r="NXA163" s="679"/>
      <c r="NXB163" s="679"/>
      <c r="NXC163" s="679"/>
      <c r="NXD163" s="679"/>
      <c r="NXE163" s="679"/>
      <c r="NXF163" s="679"/>
      <c r="NXG163" s="679"/>
      <c r="NXH163" s="679"/>
      <c r="NXI163" s="679"/>
      <c r="NXJ163" s="679"/>
      <c r="NXK163" s="679"/>
      <c r="NXL163" s="679"/>
      <c r="NXM163" s="679"/>
      <c r="NXN163" s="679"/>
      <c r="NXO163" s="679"/>
      <c r="NXP163" s="679"/>
      <c r="NXQ163" s="679"/>
      <c r="NXR163" s="679"/>
      <c r="NXS163" s="679"/>
      <c r="NXT163" s="679"/>
      <c r="NXU163" s="679"/>
      <c r="NXV163" s="679"/>
      <c r="NXW163" s="679"/>
      <c r="NXX163" s="679"/>
      <c r="NXY163" s="679"/>
      <c r="NXZ163" s="679"/>
      <c r="NYA163" s="679"/>
      <c r="NYB163" s="679"/>
      <c r="NYC163" s="679"/>
      <c r="NYD163" s="679"/>
      <c r="NYE163" s="679"/>
      <c r="NYF163" s="679"/>
      <c r="NYG163" s="679"/>
      <c r="NYH163" s="679"/>
      <c r="NYI163" s="679"/>
      <c r="NYJ163" s="679"/>
      <c r="NYK163" s="679"/>
      <c r="NYL163" s="679"/>
      <c r="NYM163" s="679"/>
      <c r="NYN163" s="679"/>
      <c r="NYO163" s="679"/>
      <c r="NYP163" s="679"/>
      <c r="NYQ163" s="679"/>
      <c r="NYR163" s="679"/>
      <c r="NYS163" s="679"/>
      <c r="NYT163" s="679"/>
      <c r="NYU163" s="679"/>
      <c r="NYV163" s="679"/>
      <c r="NYW163" s="679"/>
      <c r="NYX163" s="679"/>
      <c r="NYY163" s="679"/>
      <c r="NYZ163" s="679"/>
      <c r="NZA163" s="679"/>
      <c r="NZB163" s="679"/>
      <c r="NZC163" s="679"/>
      <c r="NZD163" s="679"/>
      <c r="NZE163" s="679"/>
      <c r="NZF163" s="679"/>
      <c r="NZG163" s="679"/>
      <c r="NZH163" s="679"/>
      <c r="NZI163" s="679"/>
      <c r="NZJ163" s="679"/>
      <c r="NZK163" s="679"/>
      <c r="NZL163" s="679"/>
      <c r="NZM163" s="679"/>
      <c r="NZN163" s="679"/>
      <c r="NZO163" s="679"/>
      <c r="NZP163" s="679"/>
      <c r="NZQ163" s="679"/>
      <c r="NZR163" s="679"/>
      <c r="NZS163" s="679"/>
      <c r="NZT163" s="679"/>
      <c r="NZU163" s="679"/>
      <c r="NZV163" s="679"/>
      <c r="NZW163" s="679"/>
      <c r="NZX163" s="679"/>
      <c r="NZY163" s="679"/>
      <c r="NZZ163" s="679"/>
      <c r="OAA163" s="679"/>
      <c r="OAB163" s="679"/>
      <c r="OAC163" s="679"/>
      <c r="OAD163" s="679"/>
      <c r="OAE163" s="679"/>
      <c r="OAF163" s="679"/>
      <c r="OAG163" s="679"/>
      <c r="OAH163" s="679"/>
      <c r="OAI163" s="679"/>
      <c r="OAJ163" s="679"/>
      <c r="OAK163" s="679"/>
      <c r="OAL163" s="679"/>
      <c r="OAM163" s="679"/>
      <c r="OAN163" s="679"/>
      <c r="OAO163" s="679"/>
      <c r="OAP163" s="679"/>
      <c r="OAQ163" s="679"/>
      <c r="OAR163" s="679"/>
      <c r="OAS163" s="679"/>
      <c r="OAT163" s="679"/>
      <c r="OAU163" s="679"/>
      <c r="OAV163" s="679"/>
      <c r="OAW163" s="679"/>
      <c r="OAX163" s="679"/>
      <c r="OAY163" s="679"/>
      <c r="OAZ163" s="679"/>
      <c r="OBA163" s="679"/>
      <c r="OBB163" s="679"/>
      <c r="OBC163" s="679"/>
      <c r="OBD163" s="679"/>
      <c r="OBE163" s="679"/>
      <c r="OBF163" s="679"/>
      <c r="OBG163" s="679"/>
      <c r="OBH163" s="679"/>
      <c r="OBI163" s="679"/>
      <c r="OBJ163" s="679"/>
      <c r="OBK163" s="679"/>
      <c r="OBL163" s="679"/>
      <c r="OBM163" s="679"/>
      <c r="OBN163" s="679"/>
      <c r="OBO163" s="679"/>
      <c r="OBP163" s="679"/>
      <c r="OBQ163" s="679"/>
      <c r="OBR163" s="679"/>
      <c r="OBS163" s="679"/>
      <c r="OBT163" s="679"/>
      <c r="OBU163" s="679"/>
      <c r="OBV163" s="679"/>
      <c r="OBW163" s="679"/>
      <c r="OBX163" s="679"/>
      <c r="OBY163" s="679"/>
      <c r="OBZ163" s="679"/>
      <c r="OCA163" s="679"/>
      <c r="OCB163" s="679"/>
      <c r="OCC163" s="679"/>
      <c r="OCD163" s="679"/>
      <c r="OCE163" s="679"/>
      <c r="OCF163" s="679"/>
      <c r="OCG163" s="679"/>
      <c r="OCH163" s="679"/>
      <c r="OCI163" s="679"/>
      <c r="OCJ163" s="679"/>
      <c r="OCK163" s="679"/>
      <c r="OCL163" s="679"/>
      <c r="OCM163" s="679"/>
      <c r="OCN163" s="679"/>
      <c r="OCO163" s="679"/>
      <c r="OCP163" s="679"/>
      <c r="OCQ163" s="679"/>
      <c r="OCR163" s="679"/>
      <c r="OCS163" s="679"/>
      <c r="OCT163" s="679"/>
      <c r="OCU163" s="679"/>
      <c r="OCV163" s="679"/>
      <c r="OCW163" s="679"/>
      <c r="OCX163" s="679"/>
      <c r="OCY163" s="679"/>
      <c r="OCZ163" s="679"/>
      <c r="ODA163" s="679"/>
      <c r="ODB163" s="679"/>
      <c r="ODC163" s="679"/>
      <c r="ODD163" s="679"/>
      <c r="ODE163" s="679"/>
      <c r="ODF163" s="679"/>
      <c r="ODG163" s="679"/>
      <c r="ODH163" s="679"/>
      <c r="ODI163" s="679"/>
      <c r="ODJ163" s="679"/>
      <c r="ODK163" s="679"/>
      <c r="ODL163" s="679"/>
      <c r="ODM163" s="679"/>
      <c r="ODN163" s="679"/>
      <c r="ODO163" s="679"/>
      <c r="ODP163" s="679"/>
      <c r="ODQ163" s="679"/>
      <c r="ODR163" s="679"/>
      <c r="ODS163" s="679"/>
      <c r="ODT163" s="679"/>
      <c r="ODU163" s="679"/>
      <c r="ODV163" s="679"/>
      <c r="ODW163" s="679"/>
      <c r="ODX163" s="679"/>
      <c r="ODY163" s="679"/>
      <c r="ODZ163" s="679"/>
      <c r="OEA163" s="679"/>
      <c r="OEB163" s="679"/>
      <c r="OEC163" s="679"/>
      <c r="OED163" s="679"/>
      <c r="OEE163" s="679"/>
      <c r="OEF163" s="679"/>
      <c r="OEG163" s="679"/>
      <c r="OEH163" s="679"/>
      <c r="OEI163" s="679"/>
      <c r="OEJ163" s="679"/>
      <c r="OEK163" s="679"/>
      <c r="OEL163" s="679"/>
      <c r="OEM163" s="679"/>
      <c r="OEN163" s="679"/>
      <c r="OEO163" s="679"/>
      <c r="OEP163" s="679"/>
      <c r="OEQ163" s="679"/>
      <c r="OER163" s="679"/>
      <c r="OES163" s="679"/>
      <c r="OET163" s="679"/>
      <c r="OEU163" s="679"/>
      <c r="OEV163" s="679"/>
      <c r="OEW163" s="679"/>
      <c r="OEX163" s="679"/>
      <c r="OEY163" s="679"/>
      <c r="OEZ163" s="679"/>
      <c r="OFA163" s="679"/>
      <c r="OFB163" s="679"/>
      <c r="OFC163" s="679"/>
      <c r="OFD163" s="679"/>
      <c r="OFE163" s="679"/>
      <c r="OFF163" s="679"/>
      <c r="OFG163" s="679"/>
      <c r="OFH163" s="679"/>
      <c r="OFI163" s="679"/>
      <c r="OFJ163" s="679"/>
      <c r="OFK163" s="679"/>
      <c r="OFL163" s="679"/>
      <c r="OFM163" s="679"/>
      <c r="OFN163" s="679"/>
      <c r="OFO163" s="679"/>
      <c r="OFP163" s="679"/>
      <c r="OFQ163" s="679"/>
      <c r="OFR163" s="679"/>
      <c r="OFS163" s="679"/>
      <c r="OFT163" s="679"/>
      <c r="OFU163" s="679"/>
      <c r="OFV163" s="679"/>
      <c r="OFW163" s="679"/>
      <c r="OFX163" s="679"/>
      <c r="OFY163" s="679"/>
      <c r="OFZ163" s="679"/>
      <c r="OGA163" s="679"/>
      <c r="OGB163" s="679"/>
      <c r="OGC163" s="679"/>
      <c r="OGD163" s="679"/>
      <c r="OGE163" s="679"/>
      <c r="OGF163" s="679"/>
      <c r="OGG163" s="679"/>
      <c r="OGH163" s="679"/>
      <c r="OGI163" s="679"/>
      <c r="OGJ163" s="679"/>
      <c r="OGK163" s="679"/>
      <c r="OGL163" s="679"/>
      <c r="OGM163" s="679"/>
      <c r="OGN163" s="679"/>
      <c r="OGO163" s="679"/>
      <c r="OGP163" s="679"/>
      <c r="OGQ163" s="679"/>
      <c r="OGR163" s="679"/>
      <c r="OGS163" s="679"/>
      <c r="OGT163" s="679"/>
      <c r="OGU163" s="679"/>
      <c r="OGV163" s="679"/>
      <c r="OGW163" s="679"/>
      <c r="OGX163" s="679"/>
      <c r="OGY163" s="679"/>
      <c r="OGZ163" s="679"/>
      <c r="OHA163" s="679"/>
      <c r="OHB163" s="679"/>
      <c r="OHC163" s="679"/>
      <c r="OHD163" s="679"/>
      <c r="OHE163" s="679"/>
      <c r="OHF163" s="679"/>
      <c r="OHG163" s="679"/>
      <c r="OHH163" s="679"/>
      <c r="OHI163" s="679"/>
      <c r="OHJ163" s="679"/>
      <c r="OHK163" s="679"/>
      <c r="OHL163" s="679"/>
      <c r="OHM163" s="679"/>
      <c r="OHN163" s="679"/>
      <c r="OHO163" s="679"/>
      <c r="OHP163" s="679"/>
      <c r="OHQ163" s="679"/>
      <c r="OHR163" s="679"/>
      <c r="OHS163" s="679"/>
      <c r="OHT163" s="679"/>
      <c r="OHU163" s="679"/>
      <c r="OHV163" s="679"/>
      <c r="OHW163" s="679"/>
      <c r="OHX163" s="679"/>
      <c r="OHY163" s="679"/>
      <c r="OHZ163" s="679"/>
      <c r="OIA163" s="679"/>
      <c r="OIB163" s="679"/>
      <c r="OIC163" s="679"/>
      <c r="OID163" s="679"/>
      <c r="OIE163" s="679"/>
      <c r="OIF163" s="679"/>
      <c r="OIG163" s="679"/>
      <c r="OIH163" s="679"/>
      <c r="OII163" s="679"/>
      <c r="OIJ163" s="679"/>
      <c r="OIK163" s="679"/>
      <c r="OIL163" s="679"/>
      <c r="OIM163" s="679"/>
      <c r="OIN163" s="679"/>
      <c r="OIO163" s="679"/>
      <c r="OIP163" s="679"/>
      <c r="OIQ163" s="679"/>
      <c r="OIR163" s="679"/>
      <c r="OIS163" s="679"/>
      <c r="OIT163" s="679"/>
      <c r="OIU163" s="679"/>
      <c r="OIV163" s="679"/>
      <c r="OIW163" s="679"/>
      <c r="OIX163" s="679"/>
      <c r="OIY163" s="679"/>
      <c r="OIZ163" s="679"/>
      <c r="OJA163" s="679"/>
      <c r="OJB163" s="679"/>
      <c r="OJC163" s="679"/>
      <c r="OJD163" s="679"/>
      <c r="OJE163" s="679"/>
      <c r="OJF163" s="679"/>
      <c r="OJG163" s="679"/>
      <c r="OJH163" s="679"/>
      <c r="OJI163" s="679"/>
      <c r="OJJ163" s="679"/>
      <c r="OJK163" s="679"/>
      <c r="OJL163" s="679"/>
      <c r="OJM163" s="679"/>
      <c r="OJN163" s="679"/>
      <c r="OJO163" s="679"/>
      <c r="OJP163" s="679"/>
      <c r="OJQ163" s="679"/>
      <c r="OJR163" s="679"/>
      <c r="OJS163" s="679"/>
      <c r="OJT163" s="679"/>
      <c r="OJU163" s="679"/>
      <c r="OJV163" s="679"/>
      <c r="OJW163" s="679"/>
      <c r="OJX163" s="679"/>
      <c r="OJY163" s="679"/>
      <c r="OJZ163" s="679"/>
      <c r="OKA163" s="679"/>
      <c r="OKB163" s="679"/>
      <c r="OKC163" s="679"/>
      <c r="OKD163" s="679"/>
      <c r="OKE163" s="679"/>
      <c r="OKF163" s="679"/>
      <c r="OKG163" s="679"/>
      <c r="OKH163" s="679"/>
      <c r="OKI163" s="679"/>
      <c r="OKJ163" s="679"/>
      <c r="OKK163" s="679"/>
      <c r="OKL163" s="679"/>
      <c r="OKM163" s="679"/>
      <c r="OKN163" s="679"/>
      <c r="OKO163" s="679"/>
      <c r="OKP163" s="679"/>
      <c r="OKQ163" s="679"/>
      <c r="OKR163" s="679"/>
      <c r="OKS163" s="679"/>
      <c r="OKT163" s="679"/>
      <c r="OKU163" s="679"/>
      <c r="OKV163" s="679"/>
      <c r="OKW163" s="679"/>
      <c r="OKX163" s="679"/>
      <c r="OKY163" s="679"/>
      <c r="OKZ163" s="679"/>
      <c r="OLA163" s="679"/>
      <c r="OLB163" s="679"/>
      <c r="OLC163" s="679"/>
      <c r="OLD163" s="679"/>
      <c r="OLE163" s="679"/>
      <c r="OLF163" s="679"/>
      <c r="OLG163" s="679"/>
      <c r="OLH163" s="679"/>
      <c r="OLI163" s="679"/>
      <c r="OLJ163" s="679"/>
      <c r="OLK163" s="679"/>
      <c r="OLL163" s="679"/>
      <c r="OLM163" s="679"/>
      <c r="OLN163" s="679"/>
      <c r="OLO163" s="679"/>
      <c r="OLP163" s="679"/>
      <c r="OLQ163" s="679"/>
      <c r="OLR163" s="679"/>
      <c r="OLS163" s="679"/>
      <c r="OLT163" s="679"/>
      <c r="OLU163" s="679"/>
      <c r="OLV163" s="679"/>
      <c r="OLW163" s="679"/>
      <c r="OLX163" s="679"/>
      <c r="OLY163" s="679"/>
      <c r="OLZ163" s="679"/>
      <c r="OMA163" s="679"/>
      <c r="OMB163" s="679"/>
      <c r="OMC163" s="679"/>
      <c r="OMD163" s="679"/>
      <c r="OME163" s="679"/>
      <c r="OMF163" s="679"/>
      <c r="OMG163" s="679"/>
      <c r="OMH163" s="679"/>
      <c r="OMI163" s="679"/>
      <c r="OMJ163" s="679"/>
      <c r="OMK163" s="679"/>
      <c r="OML163" s="679"/>
      <c r="OMM163" s="679"/>
      <c r="OMN163" s="679"/>
      <c r="OMO163" s="679"/>
      <c r="OMP163" s="679"/>
      <c r="OMQ163" s="679"/>
      <c r="OMR163" s="679"/>
      <c r="OMS163" s="679"/>
      <c r="OMT163" s="679"/>
      <c r="OMU163" s="679"/>
      <c r="OMV163" s="679"/>
      <c r="OMW163" s="679"/>
      <c r="OMX163" s="679"/>
      <c r="OMY163" s="679"/>
      <c r="OMZ163" s="679"/>
      <c r="ONA163" s="679"/>
      <c r="ONB163" s="679"/>
      <c r="ONC163" s="679"/>
      <c r="OND163" s="679"/>
      <c r="ONE163" s="679"/>
      <c r="ONF163" s="679"/>
      <c r="ONG163" s="679"/>
      <c r="ONH163" s="679"/>
      <c r="ONI163" s="679"/>
      <c r="ONJ163" s="679"/>
      <c r="ONK163" s="679"/>
      <c r="ONL163" s="679"/>
      <c r="ONM163" s="679"/>
      <c r="ONN163" s="679"/>
      <c r="ONO163" s="679"/>
      <c r="ONP163" s="679"/>
      <c r="ONQ163" s="679"/>
      <c r="ONR163" s="679"/>
      <c r="ONS163" s="679"/>
      <c r="ONT163" s="679"/>
      <c r="ONU163" s="679"/>
      <c r="ONV163" s="679"/>
      <c r="ONW163" s="679"/>
      <c r="ONX163" s="679"/>
      <c r="ONY163" s="679"/>
      <c r="ONZ163" s="679"/>
      <c r="OOA163" s="679"/>
      <c r="OOB163" s="679"/>
      <c r="OOC163" s="679"/>
      <c r="OOD163" s="679"/>
      <c r="OOE163" s="679"/>
      <c r="OOF163" s="679"/>
      <c r="OOG163" s="679"/>
      <c r="OOH163" s="679"/>
      <c r="OOI163" s="679"/>
      <c r="OOJ163" s="679"/>
      <c r="OOK163" s="679"/>
      <c r="OOL163" s="679"/>
      <c r="OOM163" s="679"/>
      <c r="OON163" s="679"/>
      <c r="OOO163" s="679"/>
      <c r="OOP163" s="679"/>
      <c r="OOQ163" s="679"/>
      <c r="OOR163" s="679"/>
      <c r="OOS163" s="679"/>
      <c r="OOT163" s="679"/>
      <c r="OOU163" s="679"/>
      <c r="OOV163" s="679"/>
      <c r="OOW163" s="679"/>
      <c r="OOX163" s="679"/>
      <c r="OOY163" s="679"/>
      <c r="OOZ163" s="679"/>
      <c r="OPA163" s="679"/>
      <c r="OPB163" s="679"/>
      <c r="OPC163" s="679"/>
      <c r="OPD163" s="679"/>
      <c r="OPE163" s="679"/>
      <c r="OPF163" s="679"/>
      <c r="OPG163" s="679"/>
      <c r="OPH163" s="679"/>
      <c r="OPI163" s="679"/>
      <c r="OPJ163" s="679"/>
      <c r="OPK163" s="679"/>
      <c r="OPL163" s="679"/>
      <c r="OPM163" s="679"/>
      <c r="OPN163" s="679"/>
      <c r="OPO163" s="679"/>
      <c r="OPP163" s="679"/>
      <c r="OPQ163" s="679"/>
      <c r="OPR163" s="679"/>
      <c r="OPS163" s="679"/>
      <c r="OPT163" s="679"/>
      <c r="OPU163" s="679"/>
      <c r="OPV163" s="679"/>
      <c r="OPW163" s="679"/>
      <c r="OPX163" s="679"/>
      <c r="OPY163" s="679"/>
      <c r="OPZ163" s="679"/>
      <c r="OQA163" s="679"/>
      <c r="OQB163" s="679"/>
      <c r="OQC163" s="679"/>
      <c r="OQD163" s="679"/>
      <c r="OQE163" s="679"/>
      <c r="OQF163" s="679"/>
      <c r="OQG163" s="679"/>
      <c r="OQH163" s="679"/>
      <c r="OQI163" s="679"/>
      <c r="OQJ163" s="679"/>
      <c r="OQK163" s="679"/>
      <c r="OQL163" s="679"/>
      <c r="OQM163" s="679"/>
      <c r="OQN163" s="679"/>
      <c r="OQO163" s="679"/>
      <c r="OQP163" s="679"/>
      <c r="OQQ163" s="679"/>
      <c r="OQR163" s="679"/>
      <c r="OQS163" s="679"/>
      <c r="OQT163" s="679"/>
      <c r="OQU163" s="679"/>
      <c r="OQV163" s="679"/>
      <c r="OQW163" s="679"/>
      <c r="OQX163" s="679"/>
      <c r="OQY163" s="679"/>
      <c r="OQZ163" s="679"/>
      <c r="ORA163" s="679"/>
      <c r="ORB163" s="679"/>
      <c r="ORC163" s="679"/>
      <c r="ORD163" s="679"/>
      <c r="ORE163" s="679"/>
      <c r="ORF163" s="679"/>
      <c r="ORG163" s="679"/>
      <c r="ORH163" s="679"/>
      <c r="ORI163" s="679"/>
      <c r="ORJ163" s="679"/>
      <c r="ORK163" s="679"/>
      <c r="ORL163" s="679"/>
      <c r="ORM163" s="679"/>
      <c r="ORN163" s="679"/>
      <c r="ORO163" s="679"/>
      <c r="ORP163" s="679"/>
      <c r="ORQ163" s="679"/>
      <c r="ORR163" s="679"/>
      <c r="ORS163" s="679"/>
      <c r="ORT163" s="679"/>
      <c r="ORU163" s="679"/>
      <c r="ORV163" s="679"/>
      <c r="ORW163" s="679"/>
      <c r="ORX163" s="679"/>
      <c r="ORY163" s="679"/>
      <c r="ORZ163" s="679"/>
      <c r="OSA163" s="679"/>
      <c r="OSB163" s="679"/>
      <c r="OSC163" s="679"/>
      <c r="OSD163" s="679"/>
      <c r="OSE163" s="679"/>
      <c r="OSF163" s="679"/>
      <c r="OSG163" s="679"/>
      <c r="OSH163" s="679"/>
      <c r="OSI163" s="679"/>
      <c r="OSJ163" s="679"/>
      <c r="OSK163" s="679"/>
      <c r="OSL163" s="679"/>
      <c r="OSM163" s="679"/>
      <c r="OSN163" s="679"/>
      <c r="OSO163" s="679"/>
      <c r="OSP163" s="679"/>
      <c r="OSQ163" s="679"/>
      <c r="OSR163" s="679"/>
      <c r="OSS163" s="679"/>
      <c r="OST163" s="679"/>
      <c r="OSU163" s="679"/>
      <c r="OSV163" s="679"/>
      <c r="OSW163" s="679"/>
      <c r="OSX163" s="679"/>
      <c r="OSY163" s="679"/>
      <c r="OSZ163" s="679"/>
      <c r="OTA163" s="679"/>
      <c r="OTB163" s="679"/>
      <c r="OTC163" s="679"/>
      <c r="OTD163" s="679"/>
      <c r="OTE163" s="679"/>
      <c r="OTF163" s="679"/>
      <c r="OTG163" s="679"/>
      <c r="OTH163" s="679"/>
      <c r="OTI163" s="679"/>
      <c r="OTJ163" s="679"/>
      <c r="OTK163" s="679"/>
      <c r="OTL163" s="679"/>
      <c r="OTM163" s="679"/>
      <c r="OTN163" s="679"/>
      <c r="OTO163" s="679"/>
      <c r="OTP163" s="679"/>
      <c r="OTQ163" s="679"/>
      <c r="OTR163" s="679"/>
      <c r="OTS163" s="679"/>
      <c r="OTT163" s="679"/>
      <c r="OTU163" s="679"/>
      <c r="OTV163" s="679"/>
      <c r="OTW163" s="679"/>
      <c r="OTX163" s="679"/>
      <c r="OTY163" s="679"/>
      <c r="OTZ163" s="679"/>
      <c r="OUA163" s="679"/>
      <c r="OUB163" s="679"/>
      <c r="OUC163" s="679"/>
      <c r="OUD163" s="679"/>
      <c r="OUE163" s="679"/>
      <c r="OUF163" s="679"/>
      <c r="OUG163" s="679"/>
      <c r="OUH163" s="679"/>
      <c r="OUI163" s="679"/>
      <c r="OUJ163" s="679"/>
      <c r="OUK163" s="679"/>
      <c r="OUL163" s="679"/>
      <c r="OUM163" s="679"/>
      <c r="OUN163" s="679"/>
      <c r="OUO163" s="679"/>
      <c r="OUP163" s="679"/>
      <c r="OUQ163" s="679"/>
      <c r="OUR163" s="679"/>
      <c r="OUS163" s="679"/>
      <c r="OUT163" s="679"/>
      <c r="OUU163" s="679"/>
      <c r="OUV163" s="679"/>
      <c r="OUW163" s="679"/>
      <c r="OUX163" s="679"/>
      <c r="OUY163" s="679"/>
      <c r="OUZ163" s="679"/>
      <c r="OVA163" s="679"/>
      <c r="OVB163" s="679"/>
      <c r="OVC163" s="679"/>
      <c r="OVD163" s="679"/>
      <c r="OVE163" s="679"/>
      <c r="OVF163" s="679"/>
      <c r="OVG163" s="679"/>
      <c r="OVH163" s="679"/>
      <c r="OVI163" s="679"/>
      <c r="OVJ163" s="679"/>
      <c r="OVK163" s="679"/>
      <c r="OVL163" s="679"/>
      <c r="OVM163" s="679"/>
      <c r="OVN163" s="679"/>
      <c r="OVO163" s="679"/>
      <c r="OVP163" s="679"/>
      <c r="OVQ163" s="679"/>
      <c r="OVR163" s="679"/>
      <c r="OVS163" s="679"/>
      <c r="OVT163" s="679"/>
      <c r="OVU163" s="679"/>
      <c r="OVV163" s="679"/>
      <c r="OVW163" s="679"/>
      <c r="OVX163" s="679"/>
      <c r="OVY163" s="679"/>
      <c r="OVZ163" s="679"/>
      <c r="OWA163" s="679"/>
      <c r="OWB163" s="679"/>
      <c r="OWC163" s="679"/>
      <c r="OWD163" s="679"/>
      <c r="OWE163" s="679"/>
      <c r="OWF163" s="679"/>
      <c r="OWG163" s="679"/>
      <c r="OWH163" s="679"/>
      <c r="OWI163" s="679"/>
      <c r="OWJ163" s="679"/>
      <c r="OWK163" s="679"/>
      <c r="OWL163" s="679"/>
      <c r="OWM163" s="679"/>
      <c r="OWN163" s="679"/>
      <c r="OWO163" s="679"/>
      <c r="OWP163" s="679"/>
      <c r="OWQ163" s="679"/>
      <c r="OWR163" s="679"/>
      <c r="OWS163" s="679"/>
      <c r="OWT163" s="679"/>
      <c r="OWU163" s="679"/>
      <c r="OWV163" s="679"/>
      <c r="OWW163" s="679"/>
      <c r="OWX163" s="679"/>
      <c r="OWY163" s="679"/>
      <c r="OWZ163" s="679"/>
      <c r="OXA163" s="679"/>
      <c r="OXB163" s="679"/>
      <c r="OXC163" s="679"/>
      <c r="OXD163" s="679"/>
      <c r="OXE163" s="679"/>
      <c r="OXF163" s="679"/>
      <c r="OXG163" s="679"/>
      <c r="OXH163" s="679"/>
      <c r="OXI163" s="679"/>
      <c r="OXJ163" s="679"/>
      <c r="OXK163" s="679"/>
      <c r="OXL163" s="679"/>
      <c r="OXM163" s="679"/>
      <c r="OXN163" s="679"/>
      <c r="OXO163" s="679"/>
      <c r="OXP163" s="679"/>
      <c r="OXQ163" s="679"/>
      <c r="OXR163" s="679"/>
      <c r="OXS163" s="679"/>
      <c r="OXT163" s="679"/>
      <c r="OXU163" s="679"/>
      <c r="OXV163" s="679"/>
      <c r="OXW163" s="679"/>
      <c r="OXX163" s="679"/>
      <c r="OXY163" s="679"/>
      <c r="OXZ163" s="679"/>
      <c r="OYA163" s="679"/>
      <c r="OYB163" s="679"/>
      <c r="OYC163" s="679"/>
      <c r="OYD163" s="679"/>
      <c r="OYE163" s="679"/>
      <c r="OYF163" s="679"/>
      <c r="OYG163" s="679"/>
      <c r="OYH163" s="679"/>
      <c r="OYI163" s="679"/>
      <c r="OYJ163" s="679"/>
      <c r="OYK163" s="679"/>
      <c r="OYL163" s="679"/>
      <c r="OYM163" s="679"/>
      <c r="OYN163" s="679"/>
      <c r="OYO163" s="679"/>
      <c r="OYP163" s="679"/>
      <c r="OYQ163" s="679"/>
      <c r="OYR163" s="679"/>
      <c r="OYS163" s="679"/>
      <c r="OYT163" s="679"/>
      <c r="OYU163" s="679"/>
      <c r="OYV163" s="679"/>
      <c r="OYW163" s="679"/>
      <c r="OYX163" s="679"/>
      <c r="OYY163" s="679"/>
      <c r="OYZ163" s="679"/>
      <c r="OZA163" s="679"/>
      <c r="OZB163" s="679"/>
      <c r="OZC163" s="679"/>
      <c r="OZD163" s="679"/>
      <c r="OZE163" s="679"/>
      <c r="OZF163" s="679"/>
      <c r="OZG163" s="679"/>
      <c r="OZH163" s="679"/>
      <c r="OZI163" s="679"/>
      <c r="OZJ163" s="679"/>
      <c r="OZK163" s="679"/>
      <c r="OZL163" s="679"/>
      <c r="OZM163" s="679"/>
      <c r="OZN163" s="679"/>
      <c r="OZO163" s="679"/>
      <c r="OZP163" s="679"/>
      <c r="OZQ163" s="679"/>
      <c r="OZR163" s="679"/>
      <c r="OZS163" s="679"/>
      <c r="OZT163" s="679"/>
      <c r="OZU163" s="679"/>
      <c r="OZV163" s="679"/>
      <c r="OZW163" s="679"/>
      <c r="OZX163" s="679"/>
      <c r="OZY163" s="679"/>
      <c r="OZZ163" s="679"/>
      <c r="PAA163" s="679"/>
      <c r="PAB163" s="679"/>
      <c r="PAC163" s="679"/>
      <c r="PAD163" s="679"/>
      <c r="PAE163" s="679"/>
      <c r="PAF163" s="679"/>
      <c r="PAG163" s="679"/>
      <c r="PAH163" s="679"/>
      <c r="PAI163" s="679"/>
      <c r="PAJ163" s="679"/>
      <c r="PAK163" s="679"/>
      <c r="PAL163" s="679"/>
      <c r="PAM163" s="679"/>
      <c r="PAN163" s="679"/>
      <c r="PAO163" s="679"/>
      <c r="PAP163" s="679"/>
      <c r="PAQ163" s="679"/>
      <c r="PAR163" s="679"/>
      <c r="PAS163" s="679"/>
      <c r="PAT163" s="679"/>
      <c r="PAU163" s="679"/>
      <c r="PAV163" s="679"/>
      <c r="PAW163" s="679"/>
      <c r="PAX163" s="679"/>
      <c r="PAY163" s="679"/>
      <c r="PAZ163" s="679"/>
      <c r="PBA163" s="679"/>
      <c r="PBB163" s="679"/>
      <c r="PBC163" s="679"/>
      <c r="PBD163" s="679"/>
      <c r="PBE163" s="679"/>
      <c r="PBF163" s="679"/>
      <c r="PBG163" s="679"/>
      <c r="PBH163" s="679"/>
      <c r="PBI163" s="679"/>
      <c r="PBJ163" s="679"/>
      <c r="PBK163" s="679"/>
      <c r="PBL163" s="679"/>
      <c r="PBM163" s="679"/>
      <c r="PBN163" s="679"/>
      <c r="PBO163" s="679"/>
      <c r="PBP163" s="679"/>
      <c r="PBQ163" s="679"/>
      <c r="PBR163" s="679"/>
      <c r="PBS163" s="679"/>
      <c r="PBT163" s="679"/>
      <c r="PBU163" s="679"/>
      <c r="PBV163" s="679"/>
      <c r="PBW163" s="679"/>
      <c r="PBX163" s="679"/>
      <c r="PBY163" s="679"/>
      <c r="PBZ163" s="679"/>
      <c r="PCA163" s="679"/>
      <c r="PCB163" s="679"/>
      <c r="PCC163" s="679"/>
      <c r="PCD163" s="679"/>
      <c r="PCE163" s="679"/>
      <c r="PCF163" s="679"/>
      <c r="PCG163" s="679"/>
      <c r="PCH163" s="679"/>
      <c r="PCI163" s="679"/>
      <c r="PCJ163" s="679"/>
      <c r="PCK163" s="679"/>
      <c r="PCL163" s="679"/>
      <c r="PCM163" s="679"/>
      <c r="PCN163" s="679"/>
      <c r="PCO163" s="679"/>
      <c r="PCP163" s="679"/>
      <c r="PCQ163" s="679"/>
      <c r="PCR163" s="679"/>
      <c r="PCS163" s="679"/>
      <c r="PCT163" s="679"/>
      <c r="PCU163" s="679"/>
      <c r="PCV163" s="679"/>
      <c r="PCW163" s="679"/>
      <c r="PCX163" s="679"/>
      <c r="PCY163" s="679"/>
      <c r="PCZ163" s="679"/>
      <c r="PDA163" s="679"/>
      <c r="PDB163" s="679"/>
      <c r="PDC163" s="679"/>
      <c r="PDD163" s="679"/>
      <c r="PDE163" s="679"/>
      <c r="PDF163" s="679"/>
      <c r="PDG163" s="679"/>
      <c r="PDH163" s="679"/>
      <c r="PDI163" s="679"/>
      <c r="PDJ163" s="679"/>
      <c r="PDK163" s="679"/>
      <c r="PDL163" s="679"/>
      <c r="PDM163" s="679"/>
      <c r="PDN163" s="679"/>
      <c r="PDO163" s="679"/>
      <c r="PDP163" s="679"/>
      <c r="PDQ163" s="679"/>
      <c r="PDR163" s="679"/>
      <c r="PDS163" s="679"/>
      <c r="PDT163" s="679"/>
      <c r="PDU163" s="679"/>
      <c r="PDV163" s="679"/>
      <c r="PDW163" s="679"/>
      <c r="PDX163" s="679"/>
      <c r="PDY163" s="679"/>
      <c r="PDZ163" s="679"/>
      <c r="PEA163" s="679"/>
      <c r="PEB163" s="679"/>
      <c r="PEC163" s="679"/>
      <c r="PED163" s="679"/>
      <c r="PEE163" s="679"/>
      <c r="PEF163" s="679"/>
      <c r="PEG163" s="679"/>
      <c r="PEH163" s="679"/>
      <c r="PEI163" s="679"/>
      <c r="PEJ163" s="679"/>
      <c r="PEK163" s="679"/>
      <c r="PEL163" s="679"/>
      <c r="PEM163" s="679"/>
      <c r="PEN163" s="679"/>
      <c r="PEO163" s="679"/>
      <c r="PEP163" s="679"/>
      <c r="PEQ163" s="679"/>
      <c r="PER163" s="679"/>
      <c r="PES163" s="679"/>
      <c r="PET163" s="679"/>
      <c r="PEU163" s="679"/>
      <c r="PEV163" s="679"/>
      <c r="PEW163" s="679"/>
      <c r="PEX163" s="679"/>
      <c r="PEY163" s="679"/>
      <c r="PEZ163" s="679"/>
      <c r="PFA163" s="679"/>
      <c r="PFB163" s="679"/>
      <c r="PFC163" s="679"/>
      <c r="PFD163" s="679"/>
      <c r="PFE163" s="679"/>
      <c r="PFF163" s="679"/>
      <c r="PFG163" s="679"/>
      <c r="PFH163" s="679"/>
      <c r="PFI163" s="679"/>
      <c r="PFJ163" s="679"/>
      <c r="PFK163" s="679"/>
      <c r="PFL163" s="679"/>
      <c r="PFM163" s="679"/>
      <c r="PFN163" s="679"/>
      <c r="PFO163" s="679"/>
      <c r="PFP163" s="679"/>
      <c r="PFQ163" s="679"/>
      <c r="PFR163" s="679"/>
      <c r="PFS163" s="679"/>
      <c r="PFT163" s="679"/>
      <c r="PFU163" s="679"/>
      <c r="PFV163" s="679"/>
      <c r="PFW163" s="679"/>
      <c r="PFX163" s="679"/>
      <c r="PFY163" s="679"/>
      <c r="PFZ163" s="679"/>
      <c r="PGA163" s="679"/>
      <c r="PGB163" s="679"/>
      <c r="PGC163" s="679"/>
      <c r="PGD163" s="679"/>
      <c r="PGE163" s="679"/>
      <c r="PGF163" s="679"/>
      <c r="PGG163" s="679"/>
      <c r="PGH163" s="679"/>
      <c r="PGI163" s="679"/>
      <c r="PGJ163" s="679"/>
      <c r="PGK163" s="679"/>
      <c r="PGL163" s="679"/>
      <c r="PGM163" s="679"/>
      <c r="PGN163" s="679"/>
      <c r="PGO163" s="679"/>
      <c r="PGP163" s="679"/>
      <c r="PGQ163" s="679"/>
      <c r="PGR163" s="679"/>
      <c r="PGS163" s="679"/>
      <c r="PGT163" s="679"/>
      <c r="PGU163" s="679"/>
      <c r="PGV163" s="679"/>
      <c r="PGW163" s="679"/>
      <c r="PGX163" s="679"/>
      <c r="PGY163" s="679"/>
      <c r="PGZ163" s="679"/>
      <c r="PHA163" s="679"/>
      <c r="PHB163" s="679"/>
      <c r="PHC163" s="679"/>
      <c r="PHD163" s="679"/>
      <c r="PHE163" s="679"/>
      <c r="PHF163" s="679"/>
      <c r="PHG163" s="679"/>
      <c r="PHH163" s="679"/>
      <c r="PHI163" s="679"/>
      <c r="PHJ163" s="679"/>
      <c r="PHK163" s="679"/>
      <c r="PHL163" s="679"/>
      <c r="PHM163" s="679"/>
      <c r="PHN163" s="679"/>
      <c r="PHO163" s="679"/>
      <c r="PHP163" s="679"/>
      <c r="PHQ163" s="679"/>
      <c r="PHR163" s="679"/>
      <c r="PHS163" s="679"/>
      <c r="PHT163" s="679"/>
      <c r="PHU163" s="679"/>
      <c r="PHV163" s="679"/>
      <c r="PHW163" s="679"/>
      <c r="PHX163" s="679"/>
      <c r="PHY163" s="679"/>
      <c r="PHZ163" s="679"/>
      <c r="PIA163" s="679"/>
      <c r="PIB163" s="679"/>
      <c r="PIC163" s="679"/>
      <c r="PID163" s="679"/>
      <c r="PIE163" s="679"/>
      <c r="PIF163" s="679"/>
      <c r="PIG163" s="679"/>
      <c r="PIH163" s="679"/>
      <c r="PII163" s="679"/>
      <c r="PIJ163" s="679"/>
      <c r="PIK163" s="679"/>
      <c r="PIL163" s="679"/>
      <c r="PIM163" s="679"/>
      <c r="PIN163" s="679"/>
      <c r="PIO163" s="679"/>
      <c r="PIP163" s="679"/>
      <c r="PIQ163" s="679"/>
      <c r="PIR163" s="679"/>
      <c r="PIS163" s="679"/>
      <c r="PIT163" s="679"/>
      <c r="PIU163" s="679"/>
      <c r="PIV163" s="679"/>
      <c r="PIW163" s="679"/>
      <c r="PIX163" s="679"/>
      <c r="PIY163" s="679"/>
      <c r="PIZ163" s="679"/>
      <c r="PJA163" s="679"/>
      <c r="PJB163" s="679"/>
      <c r="PJC163" s="679"/>
      <c r="PJD163" s="679"/>
      <c r="PJE163" s="679"/>
      <c r="PJF163" s="679"/>
      <c r="PJG163" s="679"/>
      <c r="PJH163" s="679"/>
      <c r="PJI163" s="679"/>
      <c r="PJJ163" s="679"/>
      <c r="PJK163" s="679"/>
      <c r="PJL163" s="679"/>
      <c r="PJM163" s="679"/>
      <c r="PJN163" s="679"/>
      <c r="PJO163" s="679"/>
      <c r="PJP163" s="679"/>
      <c r="PJQ163" s="679"/>
      <c r="PJR163" s="679"/>
      <c r="PJS163" s="679"/>
      <c r="PJT163" s="679"/>
      <c r="PJU163" s="679"/>
      <c r="PJV163" s="679"/>
      <c r="PJW163" s="679"/>
      <c r="PJX163" s="679"/>
      <c r="PJY163" s="679"/>
      <c r="PJZ163" s="679"/>
      <c r="PKA163" s="679"/>
      <c r="PKB163" s="679"/>
      <c r="PKC163" s="679"/>
      <c r="PKD163" s="679"/>
      <c r="PKE163" s="679"/>
      <c r="PKF163" s="679"/>
      <c r="PKG163" s="679"/>
      <c r="PKH163" s="679"/>
      <c r="PKI163" s="679"/>
      <c r="PKJ163" s="679"/>
      <c r="PKK163" s="679"/>
      <c r="PKL163" s="679"/>
      <c r="PKM163" s="679"/>
      <c r="PKN163" s="679"/>
      <c r="PKO163" s="679"/>
      <c r="PKP163" s="679"/>
      <c r="PKQ163" s="679"/>
      <c r="PKR163" s="679"/>
      <c r="PKS163" s="679"/>
      <c r="PKT163" s="679"/>
      <c r="PKU163" s="679"/>
      <c r="PKV163" s="679"/>
      <c r="PKW163" s="679"/>
      <c r="PKX163" s="679"/>
      <c r="PKY163" s="679"/>
      <c r="PKZ163" s="679"/>
      <c r="PLA163" s="679"/>
      <c r="PLB163" s="679"/>
      <c r="PLC163" s="679"/>
      <c r="PLD163" s="679"/>
      <c r="PLE163" s="679"/>
      <c r="PLF163" s="679"/>
      <c r="PLG163" s="679"/>
      <c r="PLH163" s="679"/>
      <c r="PLI163" s="679"/>
      <c r="PLJ163" s="679"/>
      <c r="PLK163" s="679"/>
      <c r="PLL163" s="679"/>
      <c r="PLM163" s="679"/>
      <c r="PLN163" s="679"/>
      <c r="PLO163" s="679"/>
      <c r="PLP163" s="679"/>
      <c r="PLQ163" s="679"/>
      <c r="PLR163" s="679"/>
      <c r="PLS163" s="679"/>
      <c r="PLT163" s="679"/>
      <c r="PLU163" s="679"/>
      <c r="PLV163" s="679"/>
      <c r="PLW163" s="679"/>
      <c r="PLX163" s="679"/>
      <c r="PLY163" s="679"/>
      <c r="PLZ163" s="679"/>
      <c r="PMA163" s="679"/>
      <c r="PMB163" s="679"/>
      <c r="PMC163" s="679"/>
      <c r="PMD163" s="679"/>
      <c r="PME163" s="679"/>
      <c r="PMF163" s="679"/>
      <c r="PMG163" s="679"/>
      <c r="PMH163" s="679"/>
      <c r="PMI163" s="679"/>
      <c r="PMJ163" s="679"/>
      <c r="PMK163" s="679"/>
      <c r="PML163" s="679"/>
      <c r="PMM163" s="679"/>
      <c r="PMN163" s="679"/>
      <c r="PMO163" s="679"/>
      <c r="PMP163" s="679"/>
      <c r="PMQ163" s="679"/>
      <c r="PMR163" s="679"/>
      <c r="PMS163" s="679"/>
      <c r="PMT163" s="679"/>
      <c r="PMU163" s="679"/>
      <c r="PMV163" s="679"/>
      <c r="PMW163" s="679"/>
      <c r="PMX163" s="679"/>
      <c r="PMY163" s="679"/>
      <c r="PMZ163" s="679"/>
      <c r="PNA163" s="679"/>
      <c r="PNB163" s="679"/>
      <c r="PNC163" s="679"/>
      <c r="PND163" s="679"/>
      <c r="PNE163" s="679"/>
      <c r="PNF163" s="679"/>
      <c r="PNG163" s="679"/>
      <c r="PNH163" s="679"/>
      <c r="PNI163" s="679"/>
      <c r="PNJ163" s="679"/>
      <c r="PNK163" s="679"/>
      <c r="PNL163" s="679"/>
      <c r="PNM163" s="679"/>
      <c r="PNN163" s="679"/>
      <c r="PNO163" s="679"/>
      <c r="PNP163" s="679"/>
      <c r="PNQ163" s="679"/>
      <c r="PNR163" s="679"/>
      <c r="PNS163" s="679"/>
      <c r="PNT163" s="679"/>
      <c r="PNU163" s="679"/>
      <c r="PNV163" s="679"/>
      <c r="PNW163" s="679"/>
      <c r="PNX163" s="679"/>
      <c r="PNY163" s="679"/>
      <c r="PNZ163" s="679"/>
      <c r="POA163" s="679"/>
      <c r="POB163" s="679"/>
      <c r="POC163" s="679"/>
      <c r="POD163" s="679"/>
      <c r="POE163" s="679"/>
      <c r="POF163" s="679"/>
      <c r="POG163" s="679"/>
      <c r="POH163" s="679"/>
      <c r="POI163" s="679"/>
      <c r="POJ163" s="679"/>
      <c r="POK163" s="679"/>
      <c r="POL163" s="679"/>
      <c r="POM163" s="679"/>
      <c r="PON163" s="679"/>
      <c r="POO163" s="679"/>
      <c r="POP163" s="679"/>
      <c r="POQ163" s="679"/>
      <c r="POR163" s="679"/>
      <c r="POS163" s="679"/>
      <c r="POT163" s="679"/>
      <c r="POU163" s="679"/>
      <c r="POV163" s="679"/>
      <c r="POW163" s="679"/>
      <c r="POX163" s="679"/>
      <c r="POY163" s="679"/>
      <c r="POZ163" s="679"/>
      <c r="PPA163" s="679"/>
      <c r="PPB163" s="679"/>
      <c r="PPC163" s="679"/>
      <c r="PPD163" s="679"/>
      <c r="PPE163" s="679"/>
      <c r="PPF163" s="679"/>
      <c r="PPG163" s="679"/>
      <c r="PPH163" s="679"/>
      <c r="PPI163" s="679"/>
      <c r="PPJ163" s="679"/>
      <c r="PPK163" s="679"/>
      <c r="PPL163" s="679"/>
      <c r="PPM163" s="679"/>
      <c r="PPN163" s="679"/>
      <c r="PPO163" s="679"/>
      <c r="PPP163" s="679"/>
      <c r="PPQ163" s="679"/>
      <c r="PPR163" s="679"/>
      <c r="PPS163" s="679"/>
      <c r="PPT163" s="679"/>
      <c r="PPU163" s="679"/>
      <c r="PPV163" s="679"/>
      <c r="PPW163" s="679"/>
      <c r="PPX163" s="679"/>
      <c r="PPY163" s="679"/>
      <c r="PPZ163" s="679"/>
      <c r="PQA163" s="679"/>
      <c r="PQB163" s="679"/>
      <c r="PQC163" s="679"/>
      <c r="PQD163" s="679"/>
      <c r="PQE163" s="679"/>
      <c r="PQF163" s="679"/>
      <c r="PQG163" s="679"/>
      <c r="PQH163" s="679"/>
      <c r="PQI163" s="679"/>
      <c r="PQJ163" s="679"/>
      <c r="PQK163" s="679"/>
      <c r="PQL163" s="679"/>
      <c r="PQM163" s="679"/>
      <c r="PQN163" s="679"/>
      <c r="PQO163" s="679"/>
      <c r="PQP163" s="679"/>
      <c r="PQQ163" s="679"/>
      <c r="PQR163" s="679"/>
      <c r="PQS163" s="679"/>
      <c r="PQT163" s="679"/>
      <c r="PQU163" s="679"/>
      <c r="PQV163" s="679"/>
      <c r="PQW163" s="679"/>
      <c r="PQX163" s="679"/>
      <c r="PQY163" s="679"/>
      <c r="PQZ163" s="679"/>
      <c r="PRA163" s="679"/>
      <c r="PRB163" s="679"/>
      <c r="PRC163" s="679"/>
      <c r="PRD163" s="679"/>
      <c r="PRE163" s="679"/>
      <c r="PRF163" s="679"/>
      <c r="PRG163" s="679"/>
      <c r="PRH163" s="679"/>
      <c r="PRI163" s="679"/>
      <c r="PRJ163" s="679"/>
      <c r="PRK163" s="679"/>
      <c r="PRL163" s="679"/>
      <c r="PRM163" s="679"/>
      <c r="PRN163" s="679"/>
      <c r="PRO163" s="679"/>
      <c r="PRP163" s="679"/>
      <c r="PRQ163" s="679"/>
      <c r="PRR163" s="679"/>
      <c r="PRS163" s="679"/>
      <c r="PRT163" s="679"/>
      <c r="PRU163" s="679"/>
      <c r="PRV163" s="679"/>
      <c r="PRW163" s="679"/>
      <c r="PRX163" s="679"/>
      <c r="PRY163" s="679"/>
      <c r="PRZ163" s="679"/>
      <c r="PSA163" s="679"/>
      <c r="PSB163" s="679"/>
      <c r="PSC163" s="679"/>
      <c r="PSD163" s="679"/>
      <c r="PSE163" s="679"/>
      <c r="PSF163" s="679"/>
      <c r="PSG163" s="679"/>
      <c r="PSH163" s="679"/>
      <c r="PSI163" s="679"/>
      <c r="PSJ163" s="679"/>
      <c r="PSK163" s="679"/>
      <c r="PSL163" s="679"/>
      <c r="PSM163" s="679"/>
      <c r="PSN163" s="679"/>
      <c r="PSO163" s="679"/>
      <c r="PSP163" s="679"/>
      <c r="PSQ163" s="679"/>
      <c r="PSR163" s="679"/>
      <c r="PSS163" s="679"/>
      <c r="PST163" s="679"/>
      <c r="PSU163" s="679"/>
      <c r="PSV163" s="679"/>
      <c r="PSW163" s="679"/>
      <c r="PSX163" s="679"/>
      <c r="PSY163" s="679"/>
      <c r="PSZ163" s="679"/>
      <c r="PTA163" s="679"/>
      <c r="PTB163" s="679"/>
      <c r="PTC163" s="679"/>
      <c r="PTD163" s="679"/>
      <c r="PTE163" s="679"/>
      <c r="PTF163" s="679"/>
      <c r="PTG163" s="679"/>
      <c r="PTH163" s="679"/>
      <c r="PTI163" s="679"/>
      <c r="PTJ163" s="679"/>
      <c r="PTK163" s="679"/>
      <c r="PTL163" s="679"/>
      <c r="PTM163" s="679"/>
      <c r="PTN163" s="679"/>
      <c r="PTO163" s="679"/>
      <c r="PTP163" s="679"/>
      <c r="PTQ163" s="679"/>
      <c r="PTR163" s="679"/>
      <c r="PTS163" s="679"/>
      <c r="PTT163" s="679"/>
      <c r="PTU163" s="679"/>
      <c r="PTV163" s="679"/>
      <c r="PTW163" s="679"/>
      <c r="PTX163" s="679"/>
      <c r="PTY163" s="679"/>
      <c r="PTZ163" s="679"/>
      <c r="PUA163" s="679"/>
      <c r="PUB163" s="679"/>
      <c r="PUC163" s="679"/>
      <c r="PUD163" s="679"/>
      <c r="PUE163" s="679"/>
      <c r="PUF163" s="679"/>
      <c r="PUG163" s="679"/>
      <c r="PUH163" s="679"/>
      <c r="PUI163" s="679"/>
      <c r="PUJ163" s="679"/>
      <c r="PUK163" s="679"/>
      <c r="PUL163" s="679"/>
      <c r="PUM163" s="679"/>
      <c r="PUN163" s="679"/>
      <c r="PUO163" s="679"/>
      <c r="PUP163" s="679"/>
      <c r="PUQ163" s="679"/>
      <c r="PUR163" s="679"/>
      <c r="PUS163" s="679"/>
      <c r="PUT163" s="679"/>
      <c r="PUU163" s="679"/>
      <c r="PUV163" s="679"/>
      <c r="PUW163" s="679"/>
      <c r="PUX163" s="679"/>
      <c r="PUY163" s="679"/>
      <c r="PUZ163" s="679"/>
      <c r="PVA163" s="679"/>
      <c r="PVB163" s="679"/>
      <c r="PVC163" s="679"/>
      <c r="PVD163" s="679"/>
      <c r="PVE163" s="679"/>
      <c r="PVF163" s="679"/>
      <c r="PVG163" s="679"/>
      <c r="PVH163" s="679"/>
      <c r="PVI163" s="679"/>
      <c r="PVJ163" s="679"/>
      <c r="PVK163" s="679"/>
      <c r="PVL163" s="679"/>
      <c r="PVM163" s="679"/>
      <c r="PVN163" s="679"/>
      <c r="PVO163" s="679"/>
      <c r="PVP163" s="679"/>
      <c r="PVQ163" s="679"/>
      <c r="PVR163" s="679"/>
      <c r="PVS163" s="679"/>
      <c r="PVT163" s="679"/>
      <c r="PVU163" s="679"/>
      <c r="PVV163" s="679"/>
      <c r="PVW163" s="679"/>
      <c r="PVX163" s="679"/>
      <c r="PVY163" s="679"/>
      <c r="PVZ163" s="679"/>
      <c r="PWA163" s="679"/>
      <c r="PWB163" s="679"/>
      <c r="PWC163" s="679"/>
      <c r="PWD163" s="679"/>
      <c r="PWE163" s="679"/>
      <c r="PWF163" s="679"/>
      <c r="PWG163" s="679"/>
      <c r="PWH163" s="679"/>
      <c r="PWI163" s="679"/>
      <c r="PWJ163" s="679"/>
      <c r="PWK163" s="679"/>
      <c r="PWL163" s="679"/>
      <c r="PWM163" s="679"/>
      <c r="PWN163" s="679"/>
      <c r="PWO163" s="679"/>
      <c r="PWP163" s="679"/>
      <c r="PWQ163" s="679"/>
      <c r="PWR163" s="679"/>
      <c r="PWS163" s="679"/>
      <c r="PWT163" s="679"/>
      <c r="PWU163" s="679"/>
      <c r="PWV163" s="679"/>
      <c r="PWW163" s="679"/>
      <c r="PWX163" s="679"/>
      <c r="PWY163" s="679"/>
      <c r="PWZ163" s="679"/>
      <c r="PXA163" s="679"/>
      <c r="PXB163" s="679"/>
      <c r="PXC163" s="679"/>
      <c r="PXD163" s="679"/>
      <c r="PXE163" s="679"/>
      <c r="PXF163" s="679"/>
      <c r="PXG163" s="679"/>
      <c r="PXH163" s="679"/>
      <c r="PXI163" s="679"/>
      <c r="PXJ163" s="679"/>
      <c r="PXK163" s="679"/>
      <c r="PXL163" s="679"/>
      <c r="PXM163" s="679"/>
      <c r="PXN163" s="679"/>
      <c r="PXO163" s="679"/>
      <c r="PXP163" s="679"/>
      <c r="PXQ163" s="679"/>
      <c r="PXR163" s="679"/>
      <c r="PXS163" s="679"/>
      <c r="PXT163" s="679"/>
      <c r="PXU163" s="679"/>
      <c r="PXV163" s="679"/>
      <c r="PXW163" s="679"/>
      <c r="PXX163" s="679"/>
      <c r="PXY163" s="679"/>
      <c r="PXZ163" s="679"/>
      <c r="PYA163" s="679"/>
      <c r="PYB163" s="679"/>
      <c r="PYC163" s="679"/>
      <c r="PYD163" s="679"/>
      <c r="PYE163" s="679"/>
      <c r="PYF163" s="679"/>
      <c r="PYG163" s="679"/>
      <c r="PYH163" s="679"/>
      <c r="PYI163" s="679"/>
      <c r="PYJ163" s="679"/>
      <c r="PYK163" s="679"/>
      <c r="PYL163" s="679"/>
      <c r="PYM163" s="679"/>
      <c r="PYN163" s="679"/>
      <c r="PYO163" s="679"/>
      <c r="PYP163" s="679"/>
      <c r="PYQ163" s="679"/>
      <c r="PYR163" s="679"/>
      <c r="PYS163" s="679"/>
      <c r="PYT163" s="679"/>
      <c r="PYU163" s="679"/>
      <c r="PYV163" s="679"/>
      <c r="PYW163" s="679"/>
      <c r="PYX163" s="679"/>
      <c r="PYY163" s="679"/>
      <c r="PYZ163" s="679"/>
      <c r="PZA163" s="679"/>
      <c r="PZB163" s="679"/>
      <c r="PZC163" s="679"/>
      <c r="PZD163" s="679"/>
      <c r="PZE163" s="679"/>
      <c r="PZF163" s="679"/>
      <c r="PZG163" s="679"/>
      <c r="PZH163" s="679"/>
      <c r="PZI163" s="679"/>
      <c r="PZJ163" s="679"/>
      <c r="PZK163" s="679"/>
      <c r="PZL163" s="679"/>
      <c r="PZM163" s="679"/>
      <c r="PZN163" s="679"/>
      <c r="PZO163" s="679"/>
      <c r="PZP163" s="679"/>
      <c r="PZQ163" s="679"/>
      <c r="PZR163" s="679"/>
      <c r="PZS163" s="679"/>
      <c r="PZT163" s="679"/>
      <c r="PZU163" s="679"/>
      <c r="PZV163" s="679"/>
      <c r="PZW163" s="679"/>
      <c r="PZX163" s="679"/>
      <c r="PZY163" s="679"/>
      <c r="PZZ163" s="679"/>
      <c r="QAA163" s="679"/>
      <c r="QAB163" s="679"/>
      <c r="QAC163" s="679"/>
      <c r="QAD163" s="679"/>
      <c r="QAE163" s="679"/>
      <c r="QAF163" s="679"/>
      <c r="QAG163" s="679"/>
      <c r="QAH163" s="679"/>
      <c r="QAI163" s="679"/>
      <c r="QAJ163" s="679"/>
      <c r="QAK163" s="679"/>
      <c r="QAL163" s="679"/>
      <c r="QAM163" s="679"/>
      <c r="QAN163" s="679"/>
      <c r="QAO163" s="679"/>
      <c r="QAP163" s="679"/>
      <c r="QAQ163" s="679"/>
      <c r="QAR163" s="679"/>
      <c r="QAS163" s="679"/>
      <c r="QAT163" s="679"/>
      <c r="QAU163" s="679"/>
      <c r="QAV163" s="679"/>
      <c r="QAW163" s="679"/>
      <c r="QAX163" s="679"/>
      <c r="QAY163" s="679"/>
      <c r="QAZ163" s="679"/>
      <c r="QBA163" s="679"/>
      <c r="QBB163" s="679"/>
      <c r="QBC163" s="679"/>
      <c r="QBD163" s="679"/>
      <c r="QBE163" s="679"/>
      <c r="QBF163" s="679"/>
      <c r="QBG163" s="679"/>
      <c r="QBH163" s="679"/>
      <c r="QBI163" s="679"/>
      <c r="QBJ163" s="679"/>
      <c r="QBK163" s="679"/>
      <c r="QBL163" s="679"/>
      <c r="QBM163" s="679"/>
      <c r="QBN163" s="679"/>
      <c r="QBO163" s="679"/>
      <c r="QBP163" s="679"/>
      <c r="QBQ163" s="679"/>
      <c r="QBR163" s="679"/>
      <c r="QBS163" s="679"/>
      <c r="QBT163" s="679"/>
      <c r="QBU163" s="679"/>
      <c r="QBV163" s="679"/>
      <c r="QBW163" s="679"/>
      <c r="QBX163" s="679"/>
      <c r="QBY163" s="679"/>
      <c r="QBZ163" s="679"/>
      <c r="QCA163" s="679"/>
      <c r="QCB163" s="679"/>
      <c r="QCC163" s="679"/>
      <c r="QCD163" s="679"/>
      <c r="QCE163" s="679"/>
      <c r="QCF163" s="679"/>
      <c r="QCG163" s="679"/>
      <c r="QCH163" s="679"/>
      <c r="QCI163" s="679"/>
      <c r="QCJ163" s="679"/>
      <c r="QCK163" s="679"/>
      <c r="QCL163" s="679"/>
      <c r="QCM163" s="679"/>
      <c r="QCN163" s="679"/>
      <c r="QCO163" s="679"/>
      <c r="QCP163" s="679"/>
      <c r="QCQ163" s="679"/>
      <c r="QCR163" s="679"/>
      <c r="QCS163" s="679"/>
      <c r="QCT163" s="679"/>
      <c r="QCU163" s="679"/>
      <c r="QCV163" s="679"/>
      <c r="QCW163" s="679"/>
      <c r="QCX163" s="679"/>
      <c r="QCY163" s="679"/>
      <c r="QCZ163" s="679"/>
      <c r="QDA163" s="679"/>
      <c r="QDB163" s="679"/>
      <c r="QDC163" s="679"/>
      <c r="QDD163" s="679"/>
      <c r="QDE163" s="679"/>
      <c r="QDF163" s="679"/>
      <c r="QDG163" s="679"/>
      <c r="QDH163" s="679"/>
      <c r="QDI163" s="679"/>
      <c r="QDJ163" s="679"/>
      <c r="QDK163" s="679"/>
      <c r="QDL163" s="679"/>
      <c r="QDM163" s="679"/>
      <c r="QDN163" s="679"/>
      <c r="QDO163" s="679"/>
      <c r="QDP163" s="679"/>
      <c r="QDQ163" s="679"/>
      <c r="QDR163" s="679"/>
      <c r="QDS163" s="679"/>
      <c r="QDT163" s="679"/>
      <c r="QDU163" s="679"/>
      <c r="QDV163" s="679"/>
      <c r="QDW163" s="679"/>
      <c r="QDX163" s="679"/>
      <c r="QDY163" s="679"/>
      <c r="QDZ163" s="679"/>
      <c r="QEA163" s="679"/>
      <c r="QEB163" s="679"/>
      <c r="QEC163" s="679"/>
      <c r="QED163" s="679"/>
      <c r="QEE163" s="679"/>
      <c r="QEF163" s="679"/>
      <c r="QEG163" s="679"/>
      <c r="QEH163" s="679"/>
      <c r="QEI163" s="679"/>
      <c r="QEJ163" s="679"/>
      <c r="QEK163" s="679"/>
      <c r="QEL163" s="679"/>
      <c r="QEM163" s="679"/>
      <c r="QEN163" s="679"/>
      <c r="QEO163" s="679"/>
      <c r="QEP163" s="679"/>
      <c r="QEQ163" s="679"/>
      <c r="QER163" s="679"/>
      <c r="QES163" s="679"/>
      <c r="QET163" s="679"/>
      <c r="QEU163" s="679"/>
      <c r="QEV163" s="679"/>
      <c r="QEW163" s="679"/>
      <c r="QEX163" s="679"/>
      <c r="QEY163" s="679"/>
      <c r="QEZ163" s="679"/>
      <c r="QFA163" s="679"/>
      <c r="QFB163" s="679"/>
      <c r="QFC163" s="679"/>
      <c r="QFD163" s="679"/>
      <c r="QFE163" s="679"/>
      <c r="QFF163" s="679"/>
      <c r="QFG163" s="679"/>
      <c r="QFH163" s="679"/>
      <c r="QFI163" s="679"/>
      <c r="QFJ163" s="679"/>
      <c r="QFK163" s="679"/>
      <c r="QFL163" s="679"/>
      <c r="QFM163" s="679"/>
      <c r="QFN163" s="679"/>
      <c r="QFO163" s="679"/>
      <c r="QFP163" s="679"/>
      <c r="QFQ163" s="679"/>
      <c r="QFR163" s="679"/>
      <c r="QFS163" s="679"/>
      <c r="QFT163" s="679"/>
      <c r="QFU163" s="679"/>
      <c r="QFV163" s="679"/>
      <c r="QFW163" s="679"/>
      <c r="QFX163" s="679"/>
      <c r="QFY163" s="679"/>
      <c r="QFZ163" s="679"/>
      <c r="QGA163" s="679"/>
      <c r="QGB163" s="679"/>
      <c r="QGC163" s="679"/>
      <c r="QGD163" s="679"/>
      <c r="QGE163" s="679"/>
      <c r="QGF163" s="679"/>
      <c r="QGG163" s="679"/>
      <c r="QGH163" s="679"/>
      <c r="QGI163" s="679"/>
      <c r="QGJ163" s="679"/>
      <c r="QGK163" s="679"/>
      <c r="QGL163" s="679"/>
      <c r="QGM163" s="679"/>
      <c r="QGN163" s="679"/>
      <c r="QGO163" s="679"/>
      <c r="QGP163" s="679"/>
      <c r="QGQ163" s="679"/>
      <c r="QGR163" s="679"/>
      <c r="QGS163" s="679"/>
      <c r="QGT163" s="679"/>
      <c r="QGU163" s="679"/>
      <c r="QGV163" s="679"/>
      <c r="QGW163" s="679"/>
      <c r="QGX163" s="679"/>
      <c r="QGY163" s="679"/>
      <c r="QGZ163" s="679"/>
      <c r="QHA163" s="679"/>
      <c r="QHB163" s="679"/>
      <c r="QHC163" s="679"/>
      <c r="QHD163" s="679"/>
      <c r="QHE163" s="679"/>
      <c r="QHF163" s="679"/>
      <c r="QHG163" s="679"/>
      <c r="QHH163" s="679"/>
      <c r="QHI163" s="679"/>
      <c r="QHJ163" s="679"/>
      <c r="QHK163" s="679"/>
      <c r="QHL163" s="679"/>
      <c r="QHM163" s="679"/>
      <c r="QHN163" s="679"/>
      <c r="QHO163" s="679"/>
      <c r="QHP163" s="679"/>
      <c r="QHQ163" s="679"/>
      <c r="QHR163" s="679"/>
      <c r="QHS163" s="679"/>
      <c r="QHT163" s="679"/>
      <c r="QHU163" s="679"/>
      <c r="QHV163" s="679"/>
      <c r="QHW163" s="679"/>
      <c r="QHX163" s="679"/>
      <c r="QHY163" s="679"/>
      <c r="QHZ163" s="679"/>
      <c r="QIA163" s="679"/>
      <c r="QIB163" s="679"/>
      <c r="QIC163" s="679"/>
      <c r="QID163" s="679"/>
      <c r="QIE163" s="679"/>
      <c r="QIF163" s="679"/>
      <c r="QIG163" s="679"/>
      <c r="QIH163" s="679"/>
      <c r="QII163" s="679"/>
      <c r="QIJ163" s="679"/>
      <c r="QIK163" s="679"/>
      <c r="QIL163" s="679"/>
      <c r="QIM163" s="679"/>
      <c r="QIN163" s="679"/>
      <c r="QIO163" s="679"/>
      <c r="QIP163" s="679"/>
      <c r="QIQ163" s="679"/>
      <c r="QIR163" s="679"/>
      <c r="QIS163" s="679"/>
      <c r="QIT163" s="679"/>
      <c r="QIU163" s="679"/>
      <c r="QIV163" s="679"/>
      <c r="QIW163" s="679"/>
      <c r="QIX163" s="679"/>
      <c r="QIY163" s="679"/>
      <c r="QIZ163" s="679"/>
      <c r="QJA163" s="679"/>
      <c r="QJB163" s="679"/>
      <c r="QJC163" s="679"/>
      <c r="QJD163" s="679"/>
      <c r="QJE163" s="679"/>
      <c r="QJF163" s="679"/>
      <c r="QJG163" s="679"/>
      <c r="QJH163" s="679"/>
      <c r="QJI163" s="679"/>
      <c r="QJJ163" s="679"/>
      <c r="QJK163" s="679"/>
      <c r="QJL163" s="679"/>
      <c r="QJM163" s="679"/>
      <c r="QJN163" s="679"/>
      <c r="QJO163" s="679"/>
      <c r="QJP163" s="679"/>
      <c r="QJQ163" s="679"/>
      <c r="QJR163" s="679"/>
      <c r="QJS163" s="679"/>
      <c r="QJT163" s="679"/>
      <c r="QJU163" s="679"/>
      <c r="QJV163" s="679"/>
      <c r="QJW163" s="679"/>
      <c r="QJX163" s="679"/>
      <c r="QJY163" s="679"/>
      <c r="QJZ163" s="679"/>
      <c r="QKA163" s="679"/>
      <c r="QKB163" s="679"/>
      <c r="QKC163" s="679"/>
      <c r="QKD163" s="679"/>
      <c r="QKE163" s="679"/>
      <c r="QKF163" s="679"/>
      <c r="QKG163" s="679"/>
      <c r="QKH163" s="679"/>
      <c r="QKI163" s="679"/>
      <c r="QKJ163" s="679"/>
      <c r="QKK163" s="679"/>
      <c r="QKL163" s="679"/>
      <c r="QKM163" s="679"/>
      <c r="QKN163" s="679"/>
      <c r="QKO163" s="679"/>
      <c r="QKP163" s="679"/>
      <c r="QKQ163" s="679"/>
      <c r="QKR163" s="679"/>
      <c r="QKS163" s="679"/>
      <c r="QKT163" s="679"/>
      <c r="QKU163" s="679"/>
      <c r="QKV163" s="679"/>
      <c r="QKW163" s="679"/>
      <c r="QKX163" s="679"/>
      <c r="QKY163" s="679"/>
      <c r="QKZ163" s="679"/>
      <c r="QLA163" s="679"/>
      <c r="QLB163" s="679"/>
      <c r="QLC163" s="679"/>
      <c r="QLD163" s="679"/>
      <c r="QLE163" s="679"/>
      <c r="QLF163" s="679"/>
      <c r="QLG163" s="679"/>
      <c r="QLH163" s="679"/>
      <c r="QLI163" s="679"/>
      <c r="QLJ163" s="679"/>
      <c r="QLK163" s="679"/>
      <c r="QLL163" s="679"/>
      <c r="QLM163" s="679"/>
      <c r="QLN163" s="679"/>
      <c r="QLO163" s="679"/>
      <c r="QLP163" s="679"/>
      <c r="QLQ163" s="679"/>
      <c r="QLR163" s="679"/>
      <c r="QLS163" s="679"/>
      <c r="QLT163" s="679"/>
      <c r="QLU163" s="679"/>
      <c r="QLV163" s="679"/>
      <c r="QLW163" s="679"/>
      <c r="QLX163" s="679"/>
      <c r="QLY163" s="679"/>
      <c r="QLZ163" s="679"/>
      <c r="QMA163" s="679"/>
      <c r="QMB163" s="679"/>
      <c r="QMC163" s="679"/>
      <c r="QMD163" s="679"/>
      <c r="QME163" s="679"/>
      <c r="QMF163" s="679"/>
      <c r="QMG163" s="679"/>
      <c r="QMH163" s="679"/>
      <c r="QMI163" s="679"/>
      <c r="QMJ163" s="679"/>
      <c r="QMK163" s="679"/>
      <c r="QML163" s="679"/>
      <c r="QMM163" s="679"/>
      <c r="QMN163" s="679"/>
      <c r="QMO163" s="679"/>
      <c r="QMP163" s="679"/>
      <c r="QMQ163" s="679"/>
      <c r="QMR163" s="679"/>
      <c r="QMS163" s="679"/>
      <c r="QMT163" s="679"/>
      <c r="QMU163" s="679"/>
      <c r="QMV163" s="679"/>
      <c r="QMW163" s="679"/>
      <c r="QMX163" s="679"/>
      <c r="QMY163" s="679"/>
      <c r="QMZ163" s="679"/>
      <c r="QNA163" s="679"/>
      <c r="QNB163" s="679"/>
      <c r="QNC163" s="679"/>
      <c r="QND163" s="679"/>
      <c r="QNE163" s="679"/>
      <c r="QNF163" s="679"/>
      <c r="QNG163" s="679"/>
      <c r="QNH163" s="679"/>
      <c r="QNI163" s="679"/>
      <c r="QNJ163" s="679"/>
      <c r="QNK163" s="679"/>
      <c r="QNL163" s="679"/>
      <c r="QNM163" s="679"/>
      <c r="QNN163" s="679"/>
      <c r="QNO163" s="679"/>
      <c r="QNP163" s="679"/>
      <c r="QNQ163" s="679"/>
      <c r="QNR163" s="679"/>
      <c r="QNS163" s="679"/>
      <c r="QNT163" s="679"/>
      <c r="QNU163" s="679"/>
      <c r="QNV163" s="679"/>
      <c r="QNW163" s="679"/>
      <c r="QNX163" s="679"/>
      <c r="QNY163" s="679"/>
      <c r="QNZ163" s="679"/>
      <c r="QOA163" s="679"/>
      <c r="QOB163" s="679"/>
      <c r="QOC163" s="679"/>
      <c r="QOD163" s="679"/>
      <c r="QOE163" s="679"/>
      <c r="QOF163" s="679"/>
      <c r="QOG163" s="679"/>
      <c r="QOH163" s="679"/>
      <c r="QOI163" s="679"/>
      <c r="QOJ163" s="679"/>
      <c r="QOK163" s="679"/>
      <c r="QOL163" s="679"/>
      <c r="QOM163" s="679"/>
      <c r="QON163" s="679"/>
      <c r="QOO163" s="679"/>
      <c r="QOP163" s="679"/>
      <c r="QOQ163" s="679"/>
      <c r="QOR163" s="679"/>
      <c r="QOS163" s="679"/>
      <c r="QOT163" s="679"/>
      <c r="QOU163" s="679"/>
      <c r="QOV163" s="679"/>
      <c r="QOW163" s="679"/>
      <c r="QOX163" s="679"/>
      <c r="QOY163" s="679"/>
      <c r="QOZ163" s="679"/>
      <c r="QPA163" s="679"/>
      <c r="QPB163" s="679"/>
      <c r="QPC163" s="679"/>
      <c r="QPD163" s="679"/>
      <c r="QPE163" s="679"/>
      <c r="QPF163" s="679"/>
      <c r="QPG163" s="679"/>
      <c r="QPH163" s="679"/>
      <c r="QPI163" s="679"/>
      <c r="QPJ163" s="679"/>
      <c r="QPK163" s="679"/>
      <c r="QPL163" s="679"/>
      <c r="QPM163" s="679"/>
      <c r="QPN163" s="679"/>
      <c r="QPO163" s="679"/>
      <c r="QPP163" s="679"/>
      <c r="QPQ163" s="679"/>
      <c r="QPR163" s="679"/>
      <c r="QPS163" s="679"/>
      <c r="QPT163" s="679"/>
      <c r="QPU163" s="679"/>
      <c r="QPV163" s="679"/>
      <c r="QPW163" s="679"/>
      <c r="QPX163" s="679"/>
      <c r="QPY163" s="679"/>
      <c r="QPZ163" s="679"/>
      <c r="QQA163" s="679"/>
      <c r="QQB163" s="679"/>
      <c r="QQC163" s="679"/>
      <c r="QQD163" s="679"/>
      <c r="QQE163" s="679"/>
      <c r="QQF163" s="679"/>
      <c r="QQG163" s="679"/>
      <c r="QQH163" s="679"/>
      <c r="QQI163" s="679"/>
      <c r="QQJ163" s="679"/>
      <c r="QQK163" s="679"/>
      <c r="QQL163" s="679"/>
      <c r="QQM163" s="679"/>
      <c r="QQN163" s="679"/>
      <c r="QQO163" s="679"/>
      <c r="QQP163" s="679"/>
      <c r="QQQ163" s="679"/>
      <c r="QQR163" s="679"/>
      <c r="QQS163" s="679"/>
      <c r="QQT163" s="679"/>
      <c r="QQU163" s="679"/>
      <c r="QQV163" s="679"/>
      <c r="QQW163" s="679"/>
      <c r="QQX163" s="679"/>
      <c r="QQY163" s="679"/>
      <c r="QQZ163" s="679"/>
      <c r="QRA163" s="679"/>
      <c r="QRB163" s="679"/>
      <c r="QRC163" s="679"/>
      <c r="QRD163" s="679"/>
      <c r="QRE163" s="679"/>
      <c r="QRF163" s="679"/>
      <c r="QRG163" s="679"/>
      <c r="QRH163" s="679"/>
      <c r="QRI163" s="679"/>
      <c r="QRJ163" s="679"/>
      <c r="QRK163" s="679"/>
      <c r="QRL163" s="679"/>
      <c r="QRM163" s="679"/>
      <c r="QRN163" s="679"/>
      <c r="QRO163" s="679"/>
      <c r="QRP163" s="679"/>
      <c r="QRQ163" s="679"/>
      <c r="QRR163" s="679"/>
      <c r="QRS163" s="679"/>
      <c r="QRT163" s="679"/>
      <c r="QRU163" s="679"/>
      <c r="QRV163" s="679"/>
      <c r="QRW163" s="679"/>
      <c r="QRX163" s="679"/>
      <c r="QRY163" s="679"/>
      <c r="QRZ163" s="679"/>
      <c r="QSA163" s="679"/>
      <c r="QSB163" s="679"/>
      <c r="QSC163" s="679"/>
      <c r="QSD163" s="679"/>
      <c r="QSE163" s="679"/>
      <c r="QSF163" s="679"/>
      <c r="QSG163" s="679"/>
      <c r="QSH163" s="679"/>
      <c r="QSI163" s="679"/>
      <c r="QSJ163" s="679"/>
      <c r="QSK163" s="679"/>
      <c r="QSL163" s="679"/>
      <c r="QSM163" s="679"/>
      <c r="QSN163" s="679"/>
      <c r="QSO163" s="679"/>
      <c r="QSP163" s="679"/>
      <c r="QSQ163" s="679"/>
      <c r="QSR163" s="679"/>
      <c r="QSS163" s="679"/>
      <c r="QST163" s="679"/>
      <c r="QSU163" s="679"/>
      <c r="QSV163" s="679"/>
      <c r="QSW163" s="679"/>
      <c r="QSX163" s="679"/>
      <c r="QSY163" s="679"/>
      <c r="QSZ163" s="679"/>
      <c r="QTA163" s="679"/>
      <c r="QTB163" s="679"/>
      <c r="QTC163" s="679"/>
      <c r="QTD163" s="679"/>
      <c r="QTE163" s="679"/>
      <c r="QTF163" s="679"/>
      <c r="QTG163" s="679"/>
      <c r="QTH163" s="679"/>
      <c r="QTI163" s="679"/>
      <c r="QTJ163" s="679"/>
      <c r="QTK163" s="679"/>
      <c r="QTL163" s="679"/>
      <c r="QTM163" s="679"/>
      <c r="QTN163" s="679"/>
      <c r="QTO163" s="679"/>
      <c r="QTP163" s="679"/>
      <c r="QTQ163" s="679"/>
      <c r="QTR163" s="679"/>
      <c r="QTS163" s="679"/>
      <c r="QTT163" s="679"/>
      <c r="QTU163" s="679"/>
      <c r="QTV163" s="679"/>
      <c r="QTW163" s="679"/>
      <c r="QTX163" s="679"/>
      <c r="QTY163" s="679"/>
      <c r="QTZ163" s="679"/>
      <c r="QUA163" s="679"/>
      <c r="QUB163" s="679"/>
      <c r="QUC163" s="679"/>
      <c r="QUD163" s="679"/>
      <c r="QUE163" s="679"/>
      <c r="QUF163" s="679"/>
      <c r="QUG163" s="679"/>
      <c r="QUH163" s="679"/>
      <c r="QUI163" s="679"/>
      <c r="QUJ163" s="679"/>
      <c r="QUK163" s="679"/>
      <c r="QUL163" s="679"/>
      <c r="QUM163" s="679"/>
      <c r="QUN163" s="679"/>
      <c r="QUO163" s="679"/>
      <c r="QUP163" s="679"/>
      <c r="QUQ163" s="679"/>
      <c r="QUR163" s="679"/>
      <c r="QUS163" s="679"/>
      <c r="QUT163" s="679"/>
      <c r="QUU163" s="679"/>
      <c r="QUV163" s="679"/>
      <c r="QUW163" s="679"/>
      <c r="QUX163" s="679"/>
      <c r="QUY163" s="679"/>
      <c r="QUZ163" s="679"/>
      <c r="QVA163" s="679"/>
      <c r="QVB163" s="679"/>
      <c r="QVC163" s="679"/>
      <c r="QVD163" s="679"/>
      <c r="QVE163" s="679"/>
      <c r="QVF163" s="679"/>
      <c r="QVG163" s="679"/>
      <c r="QVH163" s="679"/>
      <c r="QVI163" s="679"/>
      <c r="QVJ163" s="679"/>
      <c r="QVK163" s="679"/>
      <c r="QVL163" s="679"/>
      <c r="QVM163" s="679"/>
      <c r="QVN163" s="679"/>
      <c r="QVO163" s="679"/>
      <c r="QVP163" s="679"/>
      <c r="QVQ163" s="679"/>
      <c r="QVR163" s="679"/>
      <c r="QVS163" s="679"/>
      <c r="QVT163" s="679"/>
      <c r="QVU163" s="679"/>
      <c r="QVV163" s="679"/>
      <c r="QVW163" s="679"/>
      <c r="QVX163" s="679"/>
      <c r="QVY163" s="679"/>
      <c r="QVZ163" s="679"/>
      <c r="QWA163" s="679"/>
      <c r="QWB163" s="679"/>
      <c r="QWC163" s="679"/>
      <c r="QWD163" s="679"/>
      <c r="QWE163" s="679"/>
      <c r="QWF163" s="679"/>
      <c r="QWG163" s="679"/>
      <c r="QWH163" s="679"/>
      <c r="QWI163" s="679"/>
      <c r="QWJ163" s="679"/>
      <c r="QWK163" s="679"/>
      <c r="QWL163" s="679"/>
      <c r="QWM163" s="679"/>
      <c r="QWN163" s="679"/>
      <c r="QWO163" s="679"/>
      <c r="QWP163" s="679"/>
      <c r="QWQ163" s="679"/>
      <c r="QWR163" s="679"/>
      <c r="QWS163" s="679"/>
      <c r="QWT163" s="679"/>
      <c r="QWU163" s="679"/>
      <c r="QWV163" s="679"/>
      <c r="QWW163" s="679"/>
      <c r="QWX163" s="679"/>
      <c r="QWY163" s="679"/>
      <c r="QWZ163" s="679"/>
      <c r="QXA163" s="679"/>
      <c r="QXB163" s="679"/>
      <c r="QXC163" s="679"/>
      <c r="QXD163" s="679"/>
      <c r="QXE163" s="679"/>
      <c r="QXF163" s="679"/>
      <c r="QXG163" s="679"/>
      <c r="QXH163" s="679"/>
      <c r="QXI163" s="679"/>
      <c r="QXJ163" s="679"/>
      <c r="QXK163" s="679"/>
      <c r="QXL163" s="679"/>
      <c r="QXM163" s="679"/>
      <c r="QXN163" s="679"/>
      <c r="QXO163" s="679"/>
      <c r="QXP163" s="679"/>
      <c r="QXQ163" s="679"/>
      <c r="QXR163" s="679"/>
      <c r="QXS163" s="679"/>
      <c r="QXT163" s="679"/>
      <c r="QXU163" s="679"/>
      <c r="QXV163" s="679"/>
      <c r="QXW163" s="679"/>
      <c r="QXX163" s="679"/>
      <c r="QXY163" s="679"/>
      <c r="QXZ163" s="679"/>
      <c r="QYA163" s="679"/>
      <c r="QYB163" s="679"/>
      <c r="QYC163" s="679"/>
      <c r="QYD163" s="679"/>
      <c r="QYE163" s="679"/>
      <c r="QYF163" s="679"/>
      <c r="QYG163" s="679"/>
      <c r="QYH163" s="679"/>
      <c r="QYI163" s="679"/>
      <c r="QYJ163" s="679"/>
      <c r="QYK163" s="679"/>
      <c r="QYL163" s="679"/>
      <c r="QYM163" s="679"/>
      <c r="QYN163" s="679"/>
      <c r="QYO163" s="679"/>
      <c r="QYP163" s="679"/>
      <c r="QYQ163" s="679"/>
      <c r="QYR163" s="679"/>
      <c r="QYS163" s="679"/>
      <c r="QYT163" s="679"/>
      <c r="QYU163" s="679"/>
      <c r="QYV163" s="679"/>
      <c r="QYW163" s="679"/>
      <c r="QYX163" s="679"/>
      <c r="QYY163" s="679"/>
      <c r="QYZ163" s="679"/>
      <c r="QZA163" s="679"/>
      <c r="QZB163" s="679"/>
      <c r="QZC163" s="679"/>
      <c r="QZD163" s="679"/>
      <c r="QZE163" s="679"/>
      <c r="QZF163" s="679"/>
      <c r="QZG163" s="679"/>
      <c r="QZH163" s="679"/>
      <c r="QZI163" s="679"/>
      <c r="QZJ163" s="679"/>
      <c r="QZK163" s="679"/>
      <c r="QZL163" s="679"/>
      <c r="QZM163" s="679"/>
      <c r="QZN163" s="679"/>
      <c r="QZO163" s="679"/>
      <c r="QZP163" s="679"/>
      <c r="QZQ163" s="679"/>
      <c r="QZR163" s="679"/>
      <c r="QZS163" s="679"/>
      <c r="QZT163" s="679"/>
      <c r="QZU163" s="679"/>
      <c r="QZV163" s="679"/>
      <c r="QZW163" s="679"/>
      <c r="QZX163" s="679"/>
      <c r="QZY163" s="679"/>
      <c r="QZZ163" s="679"/>
      <c r="RAA163" s="679"/>
      <c r="RAB163" s="679"/>
      <c r="RAC163" s="679"/>
      <c r="RAD163" s="679"/>
      <c r="RAE163" s="679"/>
      <c r="RAF163" s="679"/>
      <c r="RAG163" s="679"/>
      <c r="RAH163" s="679"/>
      <c r="RAI163" s="679"/>
      <c r="RAJ163" s="679"/>
      <c r="RAK163" s="679"/>
      <c r="RAL163" s="679"/>
      <c r="RAM163" s="679"/>
      <c r="RAN163" s="679"/>
      <c r="RAO163" s="679"/>
      <c r="RAP163" s="679"/>
      <c r="RAQ163" s="679"/>
      <c r="RAR163" s="679"/>
      <c r="RAS163" s="679"/>
      <c r="RAT163" s="679"/>
      <c r="RAU163" s="679"/>
      <c r="RAV163" s="679"/>
      <c r="RAW163" s="679"/>
      <c r="RAX163" s="679"/>
      <c r="RAY163" s="679"/>
      <c r="RAZ163" s="679"/>
      <c r="RBA163" s="679"/>
      <c r="RBB163" s="679"/>
      <c r="RBC163" s="679"/>
      <c r="RBD163" s="679"/>
      <c r="RBE163" s="679"/>
      <c r="RBF163" s="679"/>
      <c r="RBG163" s="679"/>
      <c r="RBH163" s="679"/>
      <c r="RBI163" s="679"/>
      <c r="RBJ163" s="679"/>
      <c r="RBK163" s="679"/>
      <c r="RBL163" s="679"/>
      <c r="RBM163" s="679"/>
      <c r="RBN163" s="679"/>
      <c r="RBO163" s="679"/>
      <c r="RBP163" s="679"/>
      <c r="RBQ163" s="679"/>
      <c r="RBR163" s="679"/>
      <c r="RBS163" s="679"/>
      <c r="RBT163" s="679"/>
      <c r="RBU163" s="679"/>
      <c r="RBV163" s="679"/>
      <c r="RBW163" s="679"/>
      <c r="RBX163" s="679"/>
      <c r="RBY163" s="679"/>
      <c r="RBZ163" s="679"/>
      <c r="RCA163" s="679"/>
      <c r="RCB163" s="679"/>
      <c r="RCC163" s="679"/>
      <c r="RCD163" s="679"/>
      <c r="RCE163" s="679"/>
      <c r="RCF163" s="679"/>
      <c r="RCG163" s="679"/>
      <c r="RCH163" s="679"/>
      <c r="RCI163" s="679"/>
      <c r="RCJ163" s="679"/>
      <c r="RCK163" s="679"/>
      <c r="RCL163" s="679"/>
      <c r="RCM163" s="679"/>
      <c r="RCN163" s="679"/>
      <c r="RCO163" s="679"/>
      <c r="RCP163" s="679"/>
      <c r="RCQ163" s="679"/>
      <c r="RCR163" s="679"/>
      <c r="RCS163" s="679"/>
      <c r="RCT163" s="679"/>
      <c r="RCU163" s="679"/>
      <c r="RCV163" s="679"/>
      <c r="RCW163" s="679"/>
      <c r="RCX163" s="679"/>
      <c r="RCY163" s="679"/>
      <c r="RCZ163" s="679"/>
      <c r="RDA163" s="679"/>
      <c r="RDB163" s="679"/>
      <c r="RDC163" s="679"/>
      <c r="RDD163" s="679"/>
      <c r="RDE163" s="679"/>
      <c r="RDF163" s="679"/>
      <c r="RDG163" s="679"/>
      <c r="RDH163" s="679"/>
      <c r="RDI163" s="679"/>
      <c r="RDJ163" s="679"/>
      <c r="RDK163" s="679"/>
      <c r="RDL163" s="679"/>
      <c r="RDM163" s="679"/>
      <c r="RDN163" s="679"/>
      <c r="RDO163" s="679"/>
      <c r="RDP163" s="679"/>
      <c r="RDQ163" s="679"/>
      <c r="RDR163" s="679"/>
      <c r="RDS163" s="679"/>
      <c r="RDT163" s="679"/>
      <c r="RDU163" s="679"/>
      <c r="RDV163" s="679"/>
      <c r="RDW163" s="679"/>
      <c r="RDX163" s="679"/>
      <c r="RDY163" s="679"/>
      <c r="RDZ163" s="679"/>
      <c r="REA163" s="679"/>
      <c r="REB163" s="679"/>
      <c r="REC163" s="679"/>
      <c r="RED163" s="679"/>
      <c r="REE163" s="679"/>
      <c r="REF163" s="679"/>
      <c r="REG163" s="679"/>
      <c r="REH163" s="679"/>
      <c r="REI163" s="679"/>
      <c r="REJ163" s="679"/>
      <c r="REK163" s="679"/>
      <c r="REL163" s="679"/>
      <c r="REM163" s="679"/>
      <c r="REN163" s="679"/>
      <c r="REO163" s="679"/>
      <c r="REP163" s="679"/>
      <c r="REQ163" s="679"/>
      <c r="RER163" s="679"/>
      <c r="RES163" s="679"/>
      <c r="RET163" s="679"/>
      <c r="REU163" s="679"/>
      <c r="REV163" s="679"/>
      <c r="REW163" s="679"/>
      <c r="REX163" s="679"/>
      <c r="REY163" s="679"/>
      <c r="REZ163" s="679"/>
      <c r="RFA163" s="679"/>
      <c r="RFB163" s="679"/>
      <c r="RFC163" s="679"/>
      <c r="RFD163" s="679"/>
      <c r="RFE163" s="679"/>
      <c r="RFF163" s="679"/>
      <c r="RFG163" s="679"/>
      <c r="RFH163" s="679"/>
      <c r="RFI163" s="679"/>
      <c r="RFJ163" s="679"/>
      <c r="RFK163" s="679"/>
      <c r="RFL163" s="679"/>
      <c r="RFM163" s="679"/>
      <c r="RFN163" s="679"/>
      <c r="RFO163" s="679"/>
      <c r="RFP163" s="679"/>
      <c r="RFQ163" s="679"/>
      <c r="RFR163" s="679"/>
      <c r="RFS163" s="679"/>
      <c r="RFT163" s="679"/>
      <c r="RFU163" s="679"/>
      <c r="RFV163" s="679"/>
      <c r="RFW163" s="679"/>
      <c r="RFX163" s="679"/>
      <c r="RFY163" s="679"/>
      <c r="RFZ163" s="679"/>
      <c r="RGA163" s="679"/>
      <c r="RGB163" s="679"/>
      <c r="RGC163" s="679"/>
      <c r="RGD163" s="679"/>
      <c r="RGE163" s="679"/>
      <c r="RGF163" s="679"/>
      <c r="RGG163" s="679"/>
      <c r="RGH163" s="679"/>
      <c r="RGI163" s="679"/>
      <c r="RGJ163" s="679"/>
      <c r="RGK163" s="679"/>
      <c r="RGL163" s="679"/>
      <c r="RGM163" s="679"/>
      <c r="RGN163" s="679"/>
      <c r="RGO163" s="679"/>
      <c r="RGP163" s="679"/>
      <c r="RGQ163" s="679"/>
      <c r="RGR163" s="679"/>
      <c r="RGS163" s="679"/>
      <c r="RGT163" s="679"/>
      <c r="RGU163" s="679"/>
      <c r="RGV163" s="679"/>
      <c r="RGW163" s="679"/>
      <c r="RGX163" s="679"/>
      <c r="RGY163" s="679"/>
      <c r="RGZ163" s="679"/>
      <c r="RHA163" s="679"/>
      <c r="RHB163" s="679"/>
      <c r="RHC163" s="679"/>
      <c r="RHD163" s="679"/>
      <c r="RHE163" s="679"/>
      <c r="RHF163" s="679"/>
      <c r="RHG163" s="679"/>
      <c r="RHH163" s="679"/>
      <c r="RHI163" s="679"/>
      <c r="RHJ163" s="679"/>
      <c r="RHK163" s="679"/>
      <c r="RHL163" s="679"/>
      <c r="RHM163" s="679"/>
      <c r="RHN163" s="679"/>
      <c r="RHO163" s="679"/>
      <c r="RHP163" s="679"/>
      <c r="RHQ163" s="679"/>
      <c r="RHR163" s="679"/>
      <c r="RHS163" s="679"/>
      <c r="RHT163" s="679"/>
      <c r="RHU163" s="679"/>
      <c r="RHV163" s="679"/>
      <c r="RHW163" s="679"/>
      <c r="RHX163" s="679"/>
      <c r="RHY163" s="679"/>
      <c r="RHZ163" s="679"/>
      <c r="RIA163" s="679"/>
      <c r="RIB163" s="679"/>
      <c r="RIC163" s="679"/>
      <c r="RID163" s="679"/>
      <c r="RIE163" s="679"/>
      <c r="RIF163" s="679"/>
      <c r="RIG163" s="679"/>
      <c r="RIH163" s="679"/>
      <c r="RII163" s="679"/>
      <c r="RIJ163" s="679"/>
      <c r="RIK163" s="679"/>
      <c r="RIL163" s="679"/>
      <c r="RIM163" s="679"/>
      <c r="RIN163" s="679"/>
      <c r="RIO163" s="679"/>
      <c r="RIP163" s="679"/>
      <c r="RIQ163" s="679"/>
      <c r="RIR163" s="679"/>
      <c r="RIS163" s="679"/>
      <c r="RIT163" s="679"/>
      <c r="RIU163" s="679"/>
      <c r="RIV163" s="679"/>
      <c r="RIW163" s="679"/>
      <c r="RIX163" s="679"/>
      <c r="RIY163" s="679"/>
      <c r="RIZ163" s="679"/>
      <c r="RJA163" s="679"/>
      <c r="RJB163" s="679"/>
      <c r="RJC163" s="679"/>
      <c r="RJD163" s="679"/>
      <c r="RJE163" s="679"/>
      <c r="RJF163" s="679"/>
      <c r="RJG163" s="679"/>
      <c r="RJH163" s="679"/>
      <c r="RJI163" s="679"/>
      <c r="RJJ163" s="679"/>
      <c r="RJK163" s="679"/>
      <c r="RJL163" s="679"/>
      <c r="RJM163" s="679"/>
      <c r="RJN163" s="679"/>
      <c r="RJO163" s="679"/>
      <c r="RJP163" s="679"/>
      <c r="RJQ163" s="679"/>
      <c r="RJR163" s="679"/>
      <c r="RJS163" s="679"/>
      <c r="RJT163" s="679"/>
      <c r="RJU163" s="679"/>
      <c r="RJV163" s="679"/>
      <c r="RJW163" s="679"/>
      <c r="RJX163" s="679"/>
      <c r="RJY163" s="679"/>
      <c r="RJZ163" s="679"/>
      <c r="RKA163" s="679"/>
      <c r="RKB163" s="679"/>
      <c r="RKC163" s="679"/>
      <c r="RKD163" s="679"/>
      <c r="RKE163" s="679"/>
      <c r="RKF163" s="679"/>
      <c r="RKG163" s="679"/>
      <c r="RKH163" s="679"/>
      <c r="RKI163" s="679"/>
      <c r="RKJ163" s="679"/>
      <c r="RKK163" s="679"/>
      <c r="RKL163" s="679"/>
      <c r="RKM163" s="679"/>
      <c r="RKN163" s="679"/>
      <c r="RKO163" s="679"/>
      <c r="RKP163" s="679"/>
      <c r="RKQ163" s="679"/>
      <c r="RKR163" s="679"/>
      <c r="RKS163" s="679"/>
      <c r="RKT163" s="679"/>
      <c r="RKU163" s="679"/>
      <c r="RKV163" s="679"/>
      <c r="RKW163" s="679"/>
      <c r="RKX163" s="679"/>
      <c r="RKY163" s="679"/>
      <c r="RKZ163" s="679"/>
      <c r="RLA163" s="679"/>
      <c r="RLB163" s="679"/>
      <c r="RLC163" s="679"/>
      <c r="RLD163" s="679"/>
      <c r="RLE163" s="679"/>
      <c r="RLF163" s="679"/>
      <c r="RLG163" s="679"/>
      <c r="RLH163" s="679"/>
      <c r="RLI163" s="679"/>
      <c r="RLJ163" s="679"/>
      <c r="RLK163" s="679"/>
      <c r="RLL163" s="679"/>
      <c r="RLM163" s="679"/>
      <c r="RLN163" s="679"/>
      <c r="RLO163" s="679"/>
      <c r="RLP163" s="679"/>
      <c r="RLQ163" s="679"/>
      <c r="RLR163" s="679"/>
      <c r="RLS163" s="679"/>
      <c r="RLT163" s="679"/>
      <c r="RLU163" s="679"/>
      <c r="RLV163" s="679"/>
      <c r="RLW163" s="679"/>
      <c r="RLX163" s="679"/>
      <c r="RLY163" s="679"/>
      <c r="RLZ163" s="679"/>
      <c r="RMA163" s="679"/>
      <c r="RMB163" s="679"/>
      <c r="RMC163" s="679"/>
      <c r="RMD163" s="679"/>
      <c r="RME163" s="679"/>
      <c r="RMF163" s="679"/>
      <c r="RMG163" s="679"/>
      <c r="RMH163" s="679"/>
      <c r="RMI163" s="679"/>
      <c r="RMJ163" s="679"/>
      <c r="RMK163" s="679"/>
      <c r="RML163" s="679"/>
      <c r="RMM163" s="679"/>
      <c r="RMN163" s="679"/>
      <c r="RMO163" s="679"/>
      <c r="RMP163" s="679"/>
      <c r="RMQ163" s="679"/>
      <c r="RMR163" s="679"/>
      <c r="RMS163" s="679"/>
      <c r="RMT163" s="679"/>
      <c r="RMU163" s="679"/>
      <c r="RMV163" s="679"/>
      <c r="RMW163" s="679"/>
      <c r="RMX163" s="679"/>
      <c r="RMY163" s="679"/>
      <c r="RMZ163" s="679"/>
      <c r="RNA163" s="679"/>
      <c r="RNB163" s="679"/>
      <c r="RNC163" s="679"/>
      <c r="RND163" s="679"/>
      <c r="RNE163" s="679"/>
      <c r="RNF163" s="679"/>
      <c r="RNG163" s="679"/>
      <c r="RNH163" s="679"/>
      <c r="RNI163" s="679"/>
      <c r="RNJ163" s="679"/>
      <c r="RNK163" s="679"/>
      <c r="RNL163" s="679"/>
      <c r="RNM163" s="679"/>
      <c r="RNN163" s="679"/>
      <c r="RNO163" s="679"/>
      <c r="RNP163" s="679"/>
      <c r="RNQ163" s="679"/>
      <c r="RNR163" s="679"/>
      <c r="RNS163" s="679"/>
      <c r="RNT163" s="679"/>
      <c r="RNU163" s="679"/>
      <c r="RNV163" s="679"/>
      <c r="RNW163" s="679"/>
      <c r="RNX163" s="679"/>
      <c r="RNY163" s="679"/>
      <c r="RNZ163" s="679"/>
      <c r="ROA163" s="679"/>
      <c r="ROB163" s="679"/>
      <c r="ROC163" s="679"/>
      <c r="ROD163" s="679"/>
      <c r="ROE163" s="679"/>
      <c r="ROF163" s="679"/>
      <c r="ROG163" s="679"/>
      <c r="ROH163" s="679"/>
      <c r="ROI163" s="679"/>
      <c r="ROJ163" s="679"/>
      <c r="ROK163" s="679"/>
      <c r="ROL163" s="679"/>
      <c r="ROM163" s="679"/>
      <c r="RON163" s="679"/>
      <c r="ROO163" s="679"/>
      <c r="ROP163" s="679"/>
      <c r="ROQ163" s="679"/>
      <c r="ROR163" s="679"/>
      <c r="ROS163" s="679"/>
      <c r="ROT163" s="679"/>
      <c r="ROU163" s="679"/>
      <c r="ROV163" s="679"/>
      <c r="ROW163" s="679"/>
      <c r="ROX163" s="679"/>
      <c r="ROY163" s="679"/>
      <c r="ROZ163" s="679"/>
      <c r="RPA163" s="679"/>
      <c r="RPB163" s="679"/>
      <c r="RPC163" s="679"/>
      <c r="RPD163" s="679"/>
      <c r="RPE163" s="679"/>
      <c r="RPF163" s="679"/>
      <c r="RPG163" s="679"/>
      <c r="RPH163" s="679"/>
      <c r="RPI163" s="679"/>
      <c r="RPJ163" s="679"/>
      <c r="RPK163" s="679"/>
      <c r="RPL163" s="679"/>
      <c r="RPM163" s="679"/>
      <c r="RPN163" s="679"/>
      <c r="RPO163" s="679"/>
      <c r="RPP163" s="679"/>
      <c r="RPQ163" s="679"/>
      <c r="RPR163" s="679"/>
      <c r="RPS163" s="679"/>
      <c r="RPT163" s="679"/>
      <c r="RPU163" s="679"/>
      <c r="RPV163" s="679"/>
      <c r="RPW163" s="679"/>
      <c r="RPX163" s="679"/>
      <c r="RPY163" s="679"/>
      <c r="RPZ163" s="679"/>
      <c r="RQA163" s="679"/>
      <c r="RQB163" s="679"/>
      <c r="RQC163" s="679"/>
      <c r="RQD163" s="679"/>
      <c r="RQE163" s="679"/>
      <c r="RQF163" s="679"/>
      <c r="RQG163" s="679"/>
      <c r="RQH163" s="679"/>
      <c r="RQI163" s="679"/>
      <c r="RQJ163" s="679"/>
      <c r="RQK163" s="679"/>
      <c r="RQL163" s="679"/>
      <c r="RQM163" s="679"/>
      <c r="RQN163" s="679"/>
      <c r="RQO163" s="679"/>
      <c r="RQP163" s="679"/>
      <c r="RQQ163" s="679"/>
      <c r="RQR163" s="679"/>
      <c r="RQS163" s="679"/>
      <c r="RQT163" s="679"/>
      <c r="RQU163" s="679"/>
      <c r="RQV163" s="679"/>
      <c r="RQW163" s="679"/>
      <c r="RQX163" s="679"/>
      <c r="RQY163" s="679"/>
      <c r="RQZ163" s="679"/>
      <c r="RRA163" s="679"/>
      <c r="RRB163" s="679"/>
      <c r="RRC163" s="679"/>
      <c r="RRD163" s="679"/>
      <c r="RRE163" s="679"/>
      <c r="RRF163" s="679"/>
      <c r="RRG163" s="679"/>
      <c r="RRH163" s="679"/>
      <c r="RRI163" s="679"/>
      <c r="RRJ163" s="679"/>
      <c r="RRK163" s="679"/>
      <c r="RRL163" s="679"/>
      <c r="RRM163" s="679"/>
      <c r="RRN163" s="679"/>
      <c r="RRO163" s="679"/>
      <c r="RRP163" s="679"/>
      <c r="RRQ163" s="679"/>
      <c r="RRR163" s="679"/>
      <c r="RRS163" s="679"/>
      <c r="RRT163" s="679"/>
      <c r="RRU163" s="679"/>
      <c r="RRV163" s="679"/>
      <c r="RRW163" s="679"/>
      <c r="RRX163" s="679"/>
      <c r="RRY163" s="679"/>
      <c r="RRZ163" s="679"/>
      <c r="RSA163" s="679"/>
      <c r="RSB163" s="679"/>
      <c r="RSC163" s="679"/>
      <c r="RSD163" s="679"/>
      <c r="RSE163" s="679"/>
      <c r="RSF163" s="679"/>
      <c r="RSG163" s="679"/>
      <c r="RSH163" s="679"/>
      <c r="RSI163" s="679"/>
      <c r="RSJ163" s="679"/>
      <c r="RSK163" s="679"/>
      <c r="RSL163" s="679"/>
      <c r="RSM163" s="679"/>
      <c r="RSN163" s="679"/>
      <c r="RSO163" s="679"/>
      <c r="RSP163" s="679"/>
      <c r="RSQ163" s="679"/>
      <c r="RSR163" s="679"/>
      <c r="RSS163" s="679"/>
      <c r="RST163" s="679"/>
      <c r="RSU163" s="679"/>
      <c r="RSV163" s="679"/>
      <c r="RSW163" s="679"/>
      <c r="RSX163" s="679"/>
      <c r="RSY163" s="679"/>
      <c r="RSZ163" s="679"/>
      <c r="RTA163" s="679"/>
      <c r="RTB163" s="679"/>
      <c r="RTC163" s="679"/>
      <c r="RTD163" s="679"/>
      <c r="RTE163" s="679"/>
      <c r="RTF163" s="679"/>
      <c r="RTG163" s="679"/>
      <c r="RTH163" s="679"/>
      <c r="RTI163" s="679"/>
      <c r="RTJ163" s="679"/>
      <c r="RTK163" s="679"/>
      <c r="RTL163" s="679"/>
      <c r="RTM163" s="679"/>
      <c r="RTN163" s="679"/>
      <c r="RTO163" s="679"/>
      <c r="RTP163" s="679"/>
      <c r="RTQ163" s="679"/>
      <c r="RTR163" s="679"/>
      <c r="RTS163" s="679"/>
      <c r="RTT163" s="679"/>
      <c r="RTU163" s="679"/>
      <c r="RTV163" s="679"/>
      <c r="RTW163" s="679"/>
      <c r="RTX163" s="679"/>
      <c r="RTY163" s="679"/>
      <c r="RTZ163" s="679"/>
      <c r="RUA163" s="679"/>
      <c r="RUB163" s="679"/>
      <c r="RUC163" s="679"/>
      <c r="RUD163" s="679"/>
      <c r="RUE163" s="679"/>
      <c r="RUF163" s="679"/>
      <c r="RUG163" s="679"/>
      <c r="RUH163" s="679"/>
      <c r="RUI163" s="679"/>
      <c r="RUJ163" s="679"/>
      <c r="RUK163" s="679"/>
      <c r="RUL163" s="679"/>
      <c r="RUM163" s="679"/>
      <c r="RUN163" s="679"/>
      <c r="RUO163" s="679"/>
      <c r="RUP163" s="679"/>
      <c r="RUQ163" s="679"/>
      <c r="RUR163" s="679"/>
      <c r="RUS163" s="679"/>
      <c r="RUT163" s="679"/>
      <c r="RUU163" s="679"/>
      <c r="RUV163" s="679"/>
      <c r="RUW163" s="679"/>
      <c r="RUX163" s="679"/>
      <c r="RUY163" s="679"/>
      <c r="RUZ163" s="679"/>
      <c r="RVA163" s="679"/>
      <c r="RVB163" s="679"/>
      <c r="RVC163" s="679"/>
      <c r="RVD163" s="679"/>
      <c r="RVE163" s="679"/>
      <c r="RVF163" s="679"/>
      <c r="RVG163" s="679"/>
      <c r="RVH163" s="679"/>
      <c r="RVI163" s="679"/>
      <c r="RVJ163" s="679"/>
      <c r="RVK163" s="679"/>
      <c r="RVL163" s="679"/>
      <c r="RVM163" s="679"/>
      <c r="RVN163" s="679"/>
      <c r="RVO163" s="679"/>
      <c r="RVP163" s="679"/>
      <c r="RVQ163" s="679"/>
      <c r="RVR163" s="679"/>
      <c r="RVS163" s="679"/>
      <c r="RVT163" s="679"/>
      <c r="RVU163" s="679"/>
      <c r="RVV163" s="679"/>
      <c r="RVW163" s="679"/>
      <c r="RVX163" s="679"/>
      <c r="RVY163" s="679"/>
      <c r="RVZ163" s="679"/>
      <c r="RWA163" s="679"/>
      <c r="RWB163" s="679"/>
      <c r="RWC163" s="679"/>
      <c r="RWD163" s="679"/>
      <c r="RWE163" s="679"/>
      <c r="RWF163" s="679"/>
      <c r="RWG163" s="679"/>
      <c r="RWH163" s="679"/>
      <c r="RWI163" s="679"/>
      <c r="RWJ163" s="679"/>
      <c r="RWK163" s="679"/>
      <c r="RWL163" s="679"/>
      <c r="RWM163" s="679"/>
      <c r="RWN163" s="679"/>
      <c r="RWO163" s="679"/>
      <c r="RWP163" s="679"/>
      <c r="RWQ163" s="679"/>
      <c r="RWR163" s="679"/>
      <c r="RWS163" s="679"/>
      <c r="RWT163" s="679"/>
      <c r="RWU163" s="679"/>
      <c r="RWV163" s="679"/>
      <c r="RWW163" s="679"/>
      <c r="RWX163" s="679"/>
      <c r="RWY163" s="679"/>
      <c r="RWZ163" s="679"/>
      <c r="RXA163" s="679"/>
      <c r="RXB163" s="679"/>
      <c r="RXC163" s="679"/>
      <c r="RXD163" s="679"/>
      <c r="RXE163" s="679"/>
      <c r="RXF163" s="679"/>
      <c r="RXG163" s="679"/>
      <c r="RXH163" s="679"/>
      <c r="RXI163" s="679"/>
      <c r="RXJ163" s="679"/>
      <c r="RXK163" s="679"/>
      <c r="RXL163" s="679"/>
      <c r="RXM163" s="679"/>
      <c r="RXN163" s="679"/>
      <c r="RXO163" s="679"/>
      <c r="RXP163" s="679"/>
      <c r="RXQ163" s="679"/>
      <c r="RXR163" s="679"/>
      <c r="RXS163" s="679"/>
      <c r="RXT163" s="679"/>
      <c r="RXU163" s="679"/>
      <c r="RXV163" s="679"/>
      <c r="RXW163" s="679"/>
      <c r="RXX163" s="679"/>
      <c r="RXY163" s="679"/>
      <c r="RXZ163" s="679"/>
      <c r="RYA163" s="679"/>
      <c r="RYB163" s="679"/>
      <c r="RYC163" s="679"/>
      <c r="RYD163" s="679"/>
      <c r="RYE163" s="679"/>
      <c r="RYF163" s="679"/>
      <c r="RYG163" s="679"/>
      <c r="RYH163" s="679"/>
      <c r="RYI163" s="679"/>
      <c r="RYJ163" s="679"/>
      <c r="RYK163" s="679"/>
      <c r="RYL163" s="679"/>
      <c r="RYM163" s="679"/>
      <c r="RYN163" s="679"/>
      <c r="RYO163" s="679"/>
      <c r="RYP163" s="679"/>
      <c r="RYQ163" s="679"/>
      <c r="RYR163" s="679"/>
      <c r="RYS163" s="679"/>
      <c r="RYT163" s="679"/>
      <c r="RYU163" s="679"/>
      <c r="RYV163" s="679"/>
      <c r="RYW163" s="679"/>
      <c r="RYX163" s="679"/>
      <c r="RYY163" s="679"/>
      <c r="RYZ163" s="679"/>
      <c r="RZA163" s="679"/>
      <c r="RZB163" s="679"/>
      <c r="RZC163" s="679"/>
      <c r="RZD163" s="679"/>
      <c r="RZE163" s="679"/>
      <c r="RZF163" s="679"/>
      <c r="RZG163" s="679"/>
      <c r="RZH163" s="679"/>
      <c r="RZI163" s="679"/>
      <c r="RZJ163" s="679"/>
      <c r="RZK163" s="679"/>
      <c r="RZL163" s="679"/>
      <c r="RZM163" s="679"/>
      <c r="RZN163" s="679"/>
      <c r="RZO163" s="679"/>
      <c r="RZP163" s="679"/>
      <c r="RZQ163" s="679"/>
      <c r="RZR163" s="679"/>
      <c r="RZS163" s="679"/>
      <c r="RZT163" s="679"/>
      <c r="RZU163" s="679"/>
      <c r="RZV163" s="679"/>
      <c r="RZW163" s="679"/>
      <c r="RZX163" s="679"/>
      <c r="RZY163" s="679"/>
      <c r="RZZ163" s="679"/>
      <c r="SAA163" s="679"/>
      <c r="SAB163" s="679"/>
      <c r="SAC163" s="679"/>
      <c r="SAD163" s="679"/>
      <c r="SAE163" s="679"/>
      <c r="SAF163" s="679"/>
      <c r="SAG163" s="679"/>
      <c r="SAH163" s="679"/>
      <c r="SAI163" s="679"/>
      <c r="SAJ163" s="679"/>
      <c r="SAK163" s="679"/>
      <c r="SAL163" s="679"/>
      <c r="SAM163" s="679"/>
      <c r="SAN163" s="679"/>
      <c r="SAO163" s="679"/>
      <c r="SAP163" s="679"/>
      <c r="SAQ163" s="679"/>
      <c r="SAR163" s="679"/>
      <c r="SAS163" s="679"/>
      <c r="SAT163" s="679"/>
      <c r="SAU163" s="679"/>
      <c r="SAV163" s="679"/>
      <c r="SAW163" s="679"/>
      <c r="SAX163" s="679"/>
      <c r="SAY163" s="679"/>
      <c r="SAZ163" s="679"/>
      <c r="SBA163" s="679"/>
      <c r="SBB163" s="679"/>
      <c r="SBC163" s="679"/>
      <c r="SBD163" s="679"/>
      <c r="SBE163" s="679"/>
      <c r="SBF163" s="679"/>
      <c r="SBG163" s="679"/>
      <c r="SBH163" s="679"/>
      <c r="SBI163" s="679"/>
      <c r="SBJ163" s="679"/>
      <c r="SBK163" s="679"/>
      <c r="SBL163" s="679"/>
      <c r="SBM163" s="679"/>
      <c r="SBN163" s="679"/>
      <c r="SBO163" s="679"/>
      <c r="SBP163" s="679"/>
      <c r="SBQ163" s="679"/>
      <c r="SBR163" s="679"/>
      <c r="SBS163" s="679"/>
      <c r="SBT163" s="679"/>
      <c r="SBU163" s="679"/>
      <c r="SBV163" s="679"/>
      <c r="SBW163" s="679"/>
      <c r="SBX163" s="679"/>
      <c r="SBY163" s="679"/>
      <c r="SBZ163" s="679"/>
      <c r="SCA163" s="679"/>
      <c r="SCB163" s="679"/>
      <c r="SCC163" s="679"/>
      <c r="SCD163" s="679"/>
      <c r="SCE163" s="679"/>
      <c r="SCF163" s="679"/>
      <c r="SCG163" s="679"/>
      <c r="SCH163" s="679"/>
      <c r="SCI163" s="679"/>
      <c r="SCJ163" s="679"/>
      <c r="SCK163" s="679"/>
      <c r="SCL163" s="679"/>
      <c r="SCM163" s="679"/>
      <c r="SCN163" s="679"/>
      <c r="SCO163" s="679"/>
      <c r="SCP163" s="679"/>
      <c r="SCQ163" s="679"/>
      <c r="SCR163" s="679"/>
      <c r="SCS163" s="679"/>
      <c r="SCT163" s="679"/>
      <c r="SCU163" s="679"/>
      <c r="SCV163" s="679"/>
      <c r="SCW163" s="679"/>
      <c r="SCX163" s="679"/>
      <c r="SCY163" s="679"/>
      <c r="SCZ163" s="679"/>
      <c r="SDA163" s="679"/>
      <c r="SDB163" s="679"/>
      <c r="SDC163" s="679"/>
      <c r="SDD163" s="679"/>
      <c r="SDE163" s="679"/>
      <c r="SDF163" s="679"/>
      <c r="SDG163" s="679"/>
      <c r="SDH163" s="679"/>
      <c r="SDI163" s="679"/>
      <c r="SDJ163" s="679"/>
      <c r="SDK163" s="679"/>
      <c r="SDL163" s="679"/>
      <c r="SDM163" s="679"/>
      <c r="SDN163" s="679"/>
      <c r="SDO163" s="679"/>
      <c r="SDP163" s="679"/>
      <c r="SDQ163" s="679"/>
      <c r="SDR163" s="679"/>
      <c r="SDS163" s="679"/>
      <c r="SDT163" s="679"/>
      <c r="SDU163" s="679"/>
      <c r="SDV163" s="679"/>
      <c r="SDW163" s="679"/>
      <c r="SDX163" s="679"/>
      <c r="SDY163" s="679"/>
      <c r="SDZ163" s="679"/>
      <c r="SEA163" s="679"/>
      <c r="SEB163" s="679"/>
      <c r="SEC163" s="679"/>
      <c r="SED163" s="679"/>
      <c r="SEE163" s="679"/>
      <c r="SEF163" s="679"/>
      <c r="SEG163" s="679"/>
      <c r="SEH163" s="679"/>
      <c r="SEI163" s="679"/>
      <c r="SEJ163" s="679"/>
      <c r="SEK163" s="679"/>
      <c r="SEL163" s="679"/>
      <c r="SEM163" s="679"/>
      <c r="SEN163" s="679"/>
      <c r="SEO163" s="679"/>
      <c r="SEP163" s="679"/>
      <c r="SEQ163" s="679"/>
      <c r="SER163" s="679"/>
      <c r="SES163" s="679"/>
      <c r="SET163" s="679"/>
      <c r="SEU163" s="679"/>
      <c r="SEV163" s="679"/>
      <c r="SEW163" s="679"/>
      <c r="SEX163" s="679"/>
      <c r="SEY163" s="679"/>
      <c r="SEZ163" s="679"/>
      <c r="SFA163" s="679"/>
      <c r="SFB163" s="679"/>
      <c r="SFC163" s="679"/>
      <c r="SFD163" s="679"/>
      <c r="SFE163" s="679"/>
      <c r="SFF163" s="679"/>
      <c r="SFG163" s="679"/>
      <c r="SFH163" s="679"/>
      <c r="SFI163" s="679"/>
      <c r="SFJ163" s="679"/>
      <c r="SFK163" s="679"/>
      <c r="SFL163" s="679"/>
      <c r="SFM163" s="679"/>
      <c r="SFN163" s="679"/>
      <c r="SFO163" s="679"/>
      <c r="SFP163" s="679"/>
      <c r="SFQ163" s="679"/>
      <c r="SFR163" s="679"/>
      <c r="SFS163" s="679"/>
      <c r="SFT163" s="679"/>
      <c r="SFU163" s="679"/>
      <c r="SFV163" s="679"/>
      <c r="SFW163" s="679"/>
      <c r="SFX163" s="679"/>
      <c r="SFY163" s="679"/>
      <c r="SFZ163" s="679"/>
      <c r="SGA163" s="679"/>
      <c r="SGB163" s="679"/>
      <c r="SGC163" s="679"/>
      <c r="SGD163" s="679"/>
      <c r="SGE163" s="679"/>
      <c r="SGF163" s="679"/>
      <c r="SGG163" s="679"/>
      <c r="SGH163" s="679"/>
      <c r="SGI163" s="679"/>
      <c r="SGJ163" s="679"/>
      <c r="SGK163" s="679"/>
      <c r="SGL163" s="679"/>
      <c r="SGM163" s="679"/>
      <c r="SGN163" s="679"/>
      <c r="SGO163" s="679"/>
      <c r="SGP163" s="679"/>
      <c r="SGQ163" s="679"/>
      <c r="SGR163" s="679"/>
      <c r="SGS163" s="679"/>
      <c r="SGT163" s="679"/>
      <c r="SGU163" s="679"/>
      <c r="SGV163" s="679"/>
      <c r="SGW163" s="679"/>
      <c r="SGX163" s="679"/>
      <c r="SGY163" s="679"/>
      <c r="SGZ163" s="679"/>
      <c r="SHA163" s="679"/>
      <c r="SHB163" s="679"/>
      <c r="SHC163" s="679"/>
      <c r="SHD163" s="679"/>
      <c r="SHE163" s="679"/>
      <c r="SHF163" s="679"/>
      <c r="SHG163" s="679"/>
      <c r="SHH163" s="679"/>
      <c r="SHI163" s="679"/>
      <c r="SHJ163" s="679"/>
      <c r="SHK163" s="679"/>
      <c r="SHL163" s="679"/>
      <c r="SHM163" s="679"/>
      <c r="SHN163" s="679"/>
      <c r="SHO163" s="679"/>
      <c r="SHP163" s="679"/>
      <c r="SHQ163" s="679"/>
      <c r="SHR163" s="679"/>
      <c r="SHS163" s="679"/>
      <c r="SHT163" s="679"/>
      <c r="SHU163" s="679"/>
      <c r="SHV163" s="679"/>
      <c r="SHW163" s="679"/>
      <c r="SHX163" s="679"/>
      <c r="SHY163" s="679"/>
      <c r="SHZ163" s="679"/>
      <c r="SIA163" s="679"/>
      <c r="SIB163" s="679"/>
      <c r="SIC163" s="679"/>
      <c r="SID163" s="679"/>
      <c r="SIE163" s="679"/>
      <c r="SIF163" s="679"/>
      <c r="SIG163" s="679"/>
      <c r="SIH163" s="679"/>
      <c r="SII163" s="679"/>
      <c r="SIJ163" s="679"/>
      <c r="SIK163" s="679"/>
      <c r="SIL163" s="679"/>
      <c r="SIM163" s="679"/>
      <c r="SIN163" s="679"/>
      <c r="SIO163" s="679"/>
      <c r="SIP163" s="679"/>
      <c r="SIQ163" s="679"/>
      <c r="SIR163" s="679"/>
      <c r="SIS163" s="679"/>
      <c r="SIT163" s="679"/>
      <c r="SIU163" s="679"/>
      <c r="SIV163" s="679"/>
      <c r="SIW163" s="679"/>
      <c r="SIX163" s="679"/>
      <c r="SIY163" s="679"/>
      <c r="SIZ163" s="679"/>
      <c r="SJA163" s="679"/>
      <c r="SJB163" s="679"/>
      <c r="SJC163" s="679"/>
      <c r="SJD163" s="679"/>
      <c r="SJE163" s="679"/>
      <c r="SJF163" s="679"/>
      <c r="SJG163" s="679"/>
      <c r="SJH163" s="679"/>
      <c r="SJI163" s="679"/>
      <c r="SJJ163" s="679"/>
      <c r="SJK163" s="679"/>
      <c r="SJL163" s="679"/>
      <c r="SJM163" s="679"/>
      <c r="SJN163" s="679"/>
      <c r="SJO163" s="679"/>
      <c r="SJP163" s="679"/>
      <c r="SJQ163" s="679"/>
      <c r="SJR163" s="679"/>
      <c r="SJS163" s="679"/>
      <c r="SJT163" s="679"/>
      <c r="SJU163" s="679"/>
      <c r="SJV163" s="679"/>
      <c r="SJW163" s="679"/>
      <c r="SJX163" s="679"/>
      <c r="SJY163" s="679"/>
      <c r="SJZ163" s="679"/>
      <c r="SKA163" s="679"/>
      <c r="SKB163" s="679"/>
      <c r="SKC163" s="679"/>
      <c r="SKD163" s="679"/>
      <c r="SKE163" s="679"/>
      <c r="SKF163" s="679"/>
      <c r="SKG163" s="679"/>
      <c r="SKH163" s="679"/>
      <c r="SKI163" s="679"/>
      <c r="SKJ163" s="679"/>
      <c r="SKK163" s="679"/>
      <c r="SKL163" s="679"/>
      <c r="SKM163" s="679"/>
      <c r="SKN163" s="679"/>
      <c r="SKO163" s="679"/>
      <c r="SKP163" s="679"/>
      <c r="SKQ163" s="679"/>
      <c r="SKR163" s="679"/>
      <c r="SKS163" s="679"/>
      <c r="SKT163" s="679"/>
      <c r="SKU163" s="679"/>
      <c r="SKV163" s="679"/>
      <c r="SKW163" s="679"/>
      <c r="SKX163" s="679"/>
      <c r="SKY163" s="679"/>
      <c r="SKZ163" s="679"/>
      <c r="SLA163" s="679"/>
      <c r="SLB163" s="679"/>
      <c r="SLC163" s="679"/>
      <c r="SLD163" s="679"/>
      <c r="SLE163" s="679"/>
      <c r="SLF163" s="679"/>
      <c r="SLG163" s="679"/>
      <c r="SLH163" s="679"/>
      <c r="SLI163" s="679"/>
      <c r="SLJ163" s="679"/>
      <c r="SLK163" s="679"/>
      <c r="SLL163" s="679"/>
      <c r="SLM163" s="679"/>
      <c r="SLN163" s="679"/>
      <c r="SLO163" s="679"/>
      <c r="SLP163" s="679"/>
      <c r="SLQ163" s="679"/>
      <c r="SLR163" s="679"/>
      <c r="SLS163" s="679"/>
      <c r="SLT163" s="679"/>
      <c r="SLU163" s="679"/>
      <c r="SLV163" s="679"/>
      <c r="SLW163" s="679"/>
      <c r="SLX163" s="679"/>
      <c r="SLY163" s="679"/>
      <c r="SLZ163" s="679"/>
      <c r="SMA163" s="679"/>
      <c r="SMB163" s="679"/>
      <c r="SMC163" s="679"/>
      <c r="SMD163" s="679"/>
      <c r="SME163" s="679"/>
      <c r="SMF163" s="679"/>
      <c r="SMG163" s="679"/>
      <c r="SMH163" s="679"/>
      <c r="SMI163" s="679"/>
      <c r="SMJ163" s="679"/>
      <c r="SMK163" s="679"/>
      <c r="SML163" s="679"/>
      <c r="SMM163" s="679"/>
      <c r="SMN163" s="679"/>
      <c r="SMO163" s="679"/>
      <c r="SMP163" s="679"/>
      <c r="SMQ163" s="679"/>
      <c r="SMR163" s="679"/>
      <c r="SMS163" s="679"/>
      <c r="SMT163" s="679"/>
      <c r="SMU163" s="679"/>
      <c r="SMV163" s="679"/>
      <c r="SMW163" s="679"/>
      <c r="SMX163" s="679"/>
      <c r="SMY163" s="679"/>
      <c r="SMZ163" s="679"/>
      <c r="SNA163" s="679"/>
      <c r="SNB163" s="679"/>
      <c r="SNC163" s="679"/>
      <c r="SND163" s="679"/>
      <c r="SNE163" s="679"/>
      <c r="SNF163" s="679"/>
      <c r="SNG163" s="679"/>
      <c r="SNH163" s="679"/>
      <c r="SNI163" s="679"/>
      <c r="SNJ163" s="679"/>
      <c r="SNK163" s="679"/>
      <c r="SNL163" s="679"/>
      <c r="SNM163" s="679"/>
      <c r="SNN163" s="679"/>
      <c r="SNO163" s="679"/>
      <c r="SNP163" s="679"/>
      <c r="SNQ163" s="679"/>
      <c r="SNR163" s="679"/>
      <c r="SNS163" s="679"/>
      <c r="SNT163" s="679"/>
      <c r="SNU163" s="679"/>
      <c r="SNV163" s="679"/>
      <c r="SNW163" s="679"/>
      <c r="SNX163" s="679"/>
      <c r="SNY163" s="679"/>
      <c r="SNZ163" s="679"/>
      <c r="SOA163" s="679"/>
      <c r="SOB163" s="679"/>
      <c r="SOC163" s="679"/>
      <c r="SOD163" s="679"/>
      <c r="SOE163" s="679"/>
      <c r="SOF163" s="679"/>
      <c r="SOG163" s="679"/>
      <c r="SOH163" s="679"/>
      <c r="SOI163" s="679"/>
      <c r="SOJ163" s="679"/>
      <c r="SOK163" s="679"/>
      <c r="SOL163" s="679"/>
      <c r="SOM163" s="679"/>
      <c r="SON163" s="679"/>
      <c r="SOO163" s="679"/>
      <c r="SOP163" s="679"/>
      <c r="SOQ163" s="679"/>
      <c r="SOR163" s="679"/>
      <c r="SOS163" s="679"/>
      <c r="SOT163" s="679"/>
      <c r="SOU163" s="679"/>
      <c r="SOV163" s="679"/>
      <c r="SOW163" s="679"/>
      <c r="SOX163" s="679"/>
      <c r="SOY163" s="679"/>
      <c r="SOZ163" s="679"/>
      <c r="SPA163" s="679"/>
      <c r="SPB163" s="679"/>
      <c r="SPC163" s="679"/>
      <c r="SPD163" s="679"/>
      <c r="SPE163" s="679"/>
      <c r="SPF163" s="679"/>
      <c r="SPG163" s="679"/>
      <c r="SPH163" s="679"/>
      <c r="SPI163" s="679"/>
      <c r="SPJ163" s="679"/>
      <c r="SPK163" s="679"/>
      <c r="SPL163" s="679"/>
      <c r="SPM163" s="679"/>
      <c r="SPN163" s="679"/>
      <c r="SPO163" s="679"/>
      <c r="SPP163" s="679"/>
      <c r="SPQ163" s="679"/>
      <c r="SPR163" s="679"/>
      <c r="SPS163" s="679"/>
      <c r="SPT163" s="679"/>
      <c r="SPU163" s="679"/>
      <c r="SPV163" s="679"/>
      <c r="SPW163" s="679"/>
      <c r="SPX163" s="679"/>
      <c r="SPY163" s="679"/>
      <c r="SPZ163" s="679"/>
      <c r="SQA163" s="679"/>
      <c r="SQB163" s="679"/>
      <c r="SQC163" s="679"/>
      <c r="SQD163" s="679"/>
      <c r="SQE163" s="679"/>
      <c r="SQF163" s="679"/>
      <c r="SQG163" s="679"/>
      <c r="SQH163" s="679"/>
      <c r="SQI163" s="679"/>
      <c r="SQJ163" s="679"/>
      <c r="SQK163" s="679"/>
      <c r="SQL163" s="679"/>
      <c r="SQM163" s="679"/>
      <c r="SQN163" s="679"/>
      <c r="SQO163" s="679"/>
      <c r="SQP163" s="679"/>
      <c r="SQQ163" s="679"/>
      <c r="SQR163" s="679"/>
      <c r="SQS163" s="679"/>
      <c r="SQT163" s="679"/>
      <c r="SQU163" s="679"/>
      <c r="SQV163" s="679"/>
      <c r="SQW163" s="679"/>
      <c r="SQX163" s="679"/>
      <c r="SQY163" s="679"/>
      <c r="SQZ163" s="679"/>
      <c r="SRA163" s="679"/>
      <c r="SRB163" s="679"/>
      <c r="SRC163" s="679"/>
      <c r="SRD163" s="679"/>
      <c r="SRE163" s="679"/>
      <c r="SRF163" s="679"/>
      <c r="SRG163" s="679"/>
      <c r="SRH163" s="679"/>
      <c r="SRI163" s="679"/>
      <c r="SRJ163" s="679"/>
      <c r="SRK163" s="679"/>
      <c r="SRL163" s="679"/>
      <c r="SRM163" s="679"/>
      <c r="SRN163" s="679"/>
      <c r="SRO163" s="679"/>
      <c r="SRP163" s="679"/>
      <c r="SRQ163" s="679"/>
      <c r="SRR163" s="679"/>
      <c r="SRS163" s="679"/>
      <c r="SRT163" s="679"/>
      <c r="SRU163" s="679"/>
      <c r="SRV163" s="679"/>
      <c r="SRW163" s="679"/>
      <c r="SRX163" s="679"/>
      <c r="SRY163" s="679"/>
      <c r="SRZ163" s="679"/>
      <c r="SSA163" s="679"/>
      <c r="SSB163" s="679"/>
      <c r="SSC163" s="679"/>
      <c r="SSD163" s="679"/>
      <c r="SSE163" s="679"/>
      <c r="SSF163" s="679"/>
      <c r="SSG163" s="679"/>
      <c r="SSH163" s="679"/>
      <c r="SSI163" s="679"/>
      <c r="SSJ163" s="679"/>
      <c r="SSK163" s="679"/>
      <c r="SSL163" s="679"/>
      <c r="SSM163" s="679"/>
      <c r="SSN163" s="679"/>
      <c r="SSO163" s="679"/>
      <c r="SSP163" s="679"/>
      <c r="SSQ163" s="679"/>
      <c r="SSR163" s="679"/>
      <c r="SSS163" s="679"/>
      <c r="SST163" s="679"/>
      <c r="SSU163" s="679"/>
      <c r="SSV163" s="679"/>
      <c r="SSW163" s="679"/>
      <c r="SSX163" s="679"/>
      <c r="SSY163" s="679"/>
      <c r="SSZ163" s="679"/>
      <c r="STA163" s="679"/>
      <c r="STB163" s="679"/>
      <c r="STC163" s="679"/>
      <c r="STD163" s="679"/>
      <c r="STE163" s="679"/>
      <c r="STF163" s="679"/>
      <c r="STG163" s="679"/>
      <c r="STH163" s="679"/>
      <c r="STI163" s="679"/>
      <c r="STJ163" s="679"/>
      <c r="STK163" s="679"/>
      <c r="STL163" s="679"/>
      <c r="STM163" s="679"/>
      <c r="STN163" s="679"/>
      <c r="STO163" s="679"/>
      <c r="STP163" s="679"/>
      <c r="STQ163" s="679"/>
      <c r="STR163" s="679"/>
      <c r="STS163" s="679"/>
      <c r="STT163" s="679"/>
      <c r="STU163" s="679"/>
      <c r="STV163" s="679"/>
      <c r="STW163" s="679"/>
      <c r="STX163" s="679"/>
      <c r="STY163" s="679"/>
      <c r="STZ163" s="679"/>
      <c r="SUA163" s="679"/>
      <c r="SUB163" s="679"/>
      <c r="SUC163" s="679"/>
      <c r="SUD163" s="679"/>
      <c r="SUE163" s="679"/>
      <c r="SUF163" s="679"/>
      <c r="SUG163" s="679"/>
      <c r="SUH163" s="679"/>
      <c r="SUI163" s="679"/>
      <c r="SUJ163" s="679"/>
      <c r="SUK163" s="679"/>
      <c r="SUL163" s="679"/>
      <c r="SUM163" s="679"/>
      <c r="SUN163" s="679"/>
      <c r="SUO163" s="679"/>
      <c r="SUP163" s="679"/>
      <c r="SUQ163" s="679"/>
      <c r="SUR163" s="679"/>
      <c r="SUS163" s="679"/>
      <c r="SUT163" s="679"/>
      <c r="SUU163" s="679"/>
      <c r="SUV163" s="679"/>
      <c r="SUW163" s="679"/>
      <c r="SUX163" s="679"/>
      <c r="SUY163" s="679"/>
      <c r="SUZ163" s="679"/>
      <c r="SVA163" s="679"/>
      <c r="SVB163" s="679"/>
      <c r="SVC163" s="679"/>
      <c r="SVD163" s="679"/>
      <c r="SVE163" s="679"/>
      <c r="SVF163" s="679"/>
      <c r="SVG163" s="679"/>
      <c r="SVH163" s="679"/>
      <c r="SVI163" s="679"/>
      <c r="SVJ163" s="679"/>
      <c r="SVK163" s="679"/>
      <c r="SVL163" s="679"/>
      <c r="SVM163" s="679"/>
      <c r="SVN163" s="679"/>
      <c r="SVO163" s="679"/>
      <c r="SVP163" s="679"/>
      <c r="SVQ163" s="679"/>
      <c r="SVR163" s="679"/>
      <c r="SVS163" s="679"/>
      <c r="SVT163" s="679"/>
      <c r="SVU163" s="679"/>
      <c r="SVV163" s="679"/>
      <c r="SVW163" s="679"/>
      <c r="SVX163" s="679"/>
      <c r="SVY163" s="679"/>
      <c r="SVZ163" s="679"/>
      <c r="SWA163" s="679"/>
      <c r="SWB163" s="679"/>
      <c r="SWC163" s="679"/>
      <c r="SWD163" s="679"/>
      <c r="SWE163" s="679"/>
      <c r="SWF163" s="679"/>
      <c r="SWG163" s="679"/>
      <c r="SWH163" s="679"/>
      <c r="SWI163" s="679"/>
      <c r="SWJ163" s="679"/>
      <c r="SWK163" s="679"/>
      <c r="SWL163" s="679"/>
      <c r="SWM163" s="679"/>
      <c r="SWN163" s="679"/>
      <c r="SWO163" s="679"/>
      <c r="SWP163" s="679"/>
      <c r="SWQ163" s="679"/>
      <c r="SWR163" s="679"/>
      <c r="SWS163" s="679"/>
      <c r="SWT163" s="679"/>
      <c r="SWU163" s="679"/>
      <c r="SWV163" s="679"/>
      <c r="SWW163" s="679"/>
      <c r="SWX163" s="679"/>
      <c r="SWY163" s="679"/>
      <c r="SWZ163" s="679"/>
      <c r="SXA163" s="679"/>
      <c r="SXB163" s="679"/>
      <c r="SXC163" s="679"/>
      <c r="SXD163" s="679"/>
      <c r="SXE163" s="679"/>
      <c r="SXF163" s="679"/>
      <c r="SXG163" s="679"/>
      <c r="SXH163" s="679"/>
      <c r="SXI163" s="679"/>
      <c r="SXJ163" s="679"/>
      <c r="SXK163" s="679"/>
      <c r="SXL163" s="679"/>
      <c r="SXM163" s="679"/>
      <c r="SXN163" s="679"/>
      <c r="SXO163" s="679"/>
      <c r="SXP163" s="679"/>
      <c r="SXQ163" s="679"/>
      <c r="SXR163" s="679"/>
      <c r="SXS163" s="679"/>
      <c r="SXT163" s="679"/>
      <c r="SXU163" s="679"/>
      <c r="SXV163" s="679"/>
      <c r="SXW163" s="679"/>
      <c r="SXX163" s="679"/>
      <c r="SXY163" s="679"/>
      <c r="SXZ163" s="679"/>
      <c r="SYA163" s="679"/>
      <c r="SYB163" s="679"/>
      <c r="SYC163" s="679"/>
      <c r="SYD163" s="679"/>
      <c r="SYE163" s="679"/>
      <c r="SYF163" s="679"/>
      <c r="SYG163" s="679"/>
      <c r="SYH163" s="679"/>
      <c r="SYI163" s="679"/>
      <c r="SYJ163" s="679"/>
      <c r="SYK163" s="679"/>
      <c r="SYL163" s="679"/>
      <c r="SYM163" s="679"/>
      <c r="SYN163" s="679"/>
      <c r="SYO163" s="679"/>
      <c r="SYP163" s="679"/>
      <c r="SYQ163" s="679"/>
      <c r="SYR163" s="679"/>
      <c r="SYS163" s="679"/>
      <c r="SYT163" s="679"/>
      <c r="SYU163" s="679"/>
      <c r="SYV163" s="679"/>
      <c r="SYW163" s="679"/>
      <c r="SYX163" s="679"/>
      <c r="SYY163" s="679"/>
      <c r="SYZ163" s="679"/>
      <c r="SZA163" s="679"/>
      <c r="SZB163" s="679"/>
      <c r="SZC163" s="679"/>
      <c r="SZD163" s="679"/>
      <c r="SZE163" s="679"/>
      <c r="SZF163" s="679"/>
      <c r="SZG163" s="679"/>
      <c r="SZH163" s="679"/>
      <c r="SZI163" s="679"/>
      <c r="SZJ163" s="679"/>
      <c r="SZK163" s="679"/>
      <c r="SZL163" s="679"/>
      <c r="SZM163" s="679"/>
      <c r="SZN163" s="679"/>
      <c r="SZO163" s="679"/>
      <c r="SZP163" s="679"/>
      <c r="SZQ163" s="679"/>
      <c r="SZR163" s="679"/>
      <c r="SZS163" s="679"/>
      <c r="SZT163" s="679"/>
      <c r="SZU163" s="679"/>
      <c r="SZV163" s="679"/>
      <c r="SZW163" s="679"/>
      <c r="SZX163" s="679"/>
      <c r="SZY163" s="679"/>
      <c r="SZZ163" s="679"/>
      <c r="TAA163" s="679"/>
      <c r="TAB163" s="679"/>
      <c r="TAC163" s="679"/>
      <c r="TAD163" s="679"/>
      <c r="TAE163" s="679"/>
      <c r="TAF163" s="679"/>
      <c r="TAG163" s="679"/>
      <c r="TAH163" s="679"/>
      <c r="TAI163" s="679"/>
      <c r="TAJ163" s="679"/>
      <c r="TAK163" s="679"/>
      <c r="TAL163" s="679"/>
      <c r="TAM163" s="679"/>
      <c r="TAN163" s="679"/>
      <c r="TAO163" s="679"/>
      <c r="TAP163" s="679"/>
      <c r="TAQ163" s="679"/>
      <c r="TAR163" s="679"/>
      <c r="TAS163" s="679"/>
      <c r="TAT163" s="679"/>
      <c r="TAU163" s="679"/>
      <c r="TAV163" s="679"/>
      <c r="TAW163" s="679"/>
      <c r="TAX163" s="679"/>
      <c r="TAY163" s="679"/>
      <c r="TAZ163" s="679"/>
      <c r="TBA163" s="679"/>
      <c r="TBB163" s="679"/>
      <c r="TBC163" s="679"/>
      <c r="TBD163" s="679"/>
      <c r="TBE163" s="679"/>
      <c r="TBF163" s="679"/>
      <c r="TBG163" s="679"/>
      <c r="TBH163" s="679"/>
      <c r="TBI163" s="679"/>
      <c r="TBJ163" s="679"/>
      <c r="TBK163" s="679"/>
      <c r="TBL163" s="679"/>
      <c r="TBM163" s="679"/>
      <c r="TBN163" s="679"/>
      <c r="TBO163" s="679"/>
      <c r="TBP163" s="679"/>
      <c r="TBQ163" s="679"/>
      <c r="TBR163" s="679"/>
      <c r="TBS163" s="679"/>
      <c r="TBT163" s="679"/>
      <c r="TBU163" s="679"/>
      <c r="TBV163" s="679"/>
      <c r="TBW163" s="679"/>
      <c r="TBX163" s="679"/>
      <c r="TBY163" s="679"/>
      <c r="TBZ163" s="679"/>
      <c r="TCA163" s="679"/>
      <c r="TCB163" s="679"/>
      <c r="TCC163" s="679"/>
      <c r="TCD163" s="679"/>
      <c r="TCE163" s="679"/>
      <c r="TCF163" s="679"/>
      <c r="TCG163" s="679"/>
      <c r="TCH163" s="679"/>
      <c r="TCI163" s="679"/>
      <c r="TCJ163" s="679"/>
      <c r="TCK163" s="679"/>
      <c r="TCL163" s="679"/>
      <c r="TCM163" s="679"/>
      <c r="TCN163" s="679"/>
      <c r="TCO163" s="679"/>
      <c r="TCP163" s="679"/>
      <c r="TCQ163" s="679"/>
      <c r="TCR163" s="679"/>
      <c r="TCS163" s="679"/>
      <c r="TCT163" s="679"/>
      <c r="TCU163" s="679"/>
      <c r="TCV163" s="679"/>
      <c r="TCW163" s="679"/>
      <c r="TCX163" s="679"/>
      <c r="TCY163" s="679"/>
      <c r="TCZ163" s="679"/>
      <c r="TDA163" s="679"/>
      <c r="TDB163" s="679"/>
      <c r="TDC163" s="679"/>
      <c r="TDD163" s="679"/>
      <c r="TDE163" s="679"/>
      <c r="TDF163" s="679"/>
      <c r="TDG163" s="679"/>
      <c r="TDH163" s="679"/>
      <c r="TDI163" s="679"/>
      <c r="TDJ163" s="679"/>
      <c r="TDK163" s="679"/>
      <c r="TDL163" s="679"/>
      <c r="TDM163" s="679"/>
      <c r="TDN163" s="679"/>
      <c r="TDO163" s="679"/>
      <c r="TDP163" s="679"/>
      <c r="TDQ163" s="679"/>
      <c r="TDR163" s="679"/>
      <c r="TDS163" s="679"/>
      <c r="TDT163" s="679"/>
      <c r="TDU163" s="679"/>
      <c r="TDV163" s="679"/>
      <c r="TDW163" s="679"/>
      <c r="TDX163" s="679"/>
      <c r="TDY163" s="679"/>
      <c r="TDZ163" s="679"/>
      <c r="TEA163" s="679"/>
      <c r="TEB163" s="679"/>
      <c r="TEC163" s="679"/>
      <c r="TED163" s="679"/>
      <c r="TEE163" s="679"/>
      <c r="TEF163" s="679"/>
      <c r="TEG163" s="679"/>
      <c r="TEH163" s="679"/>
      <c r="TEI163" s="679"/>
      <c r="TEJ163" s="679"/>
      <c r="TEK163" s="679"/>
      <c r="TEL163" s="679"/>
      <c r="TEM163" s="679"/>
      <c r="TEN163" s="679"/>
      <c r="TEO163" s="679"/>
      <c r="TEP163" s="679"/>
      <c r="TEQ163" s="679"/>
      <c r="TER163" s="679"/>
      <c r="TES163" s="679"/>
      <c r="TET163" s="679"/>
      <c r="TEU163" s="679"/>
      <c r="TEV163" s="679"/>
      <c r="TEW163" s="679"/>
      <c r="TEX163" s="679"/>
      <c r="TEY163" s="679"/>
      <c r="TEZ163" s="679"/>
      <c r="TFA163" s="679"/>
      <c r="TFB163" s="679"/>
      <c r="TFC163" s="679"/>
      <c r="TFD163" s="679"/>
      <c r="TFE163" s="679"/>
      <c r="TFF163" s="679"/>
      <c r="TFG163" s="679"/>
      <c r="TFH163" s="679"/>
      <c r="TFI163" s="679"/>
      <c r="TFJ163" s="679"/>
      <c r="TFK163" s="679"/>
      <c r="TFL163" s="679"/>
      <c r="TFM163" s="679"/>
      <c r="TFN163" s="679"/>
      <c r="TFO163" s="679"/>
      <c r="TFP163" s="679"/>
      <c r="TFQ163" s="679"/>
      <c r="TFR163" s="679"/>
      <c r="TFS163" s="679"/>
      <c r="TFT163" s="679"/>
      <c r="TFU163" s="679"/>
      <c r="TFV163" s="679"/>
      <c r="TFW163" s="679"/>
      <c r="TFX163" s="679"/>
      <c r="TFY163" s="679"/>
      <c r="TFZ163" s="679"/>
      <c r="TGA163" s="679"/>
      <c r="TGB163" s="679"/>
      <c r="TGC163" s="679"/>
      <c r="TGD163" s="679"/>
      <c r="TGE163" s="679"/>
      <c r="TGF163" s="679"/>
      <c r="TGG163" s="679"/>
      <c r="TGH163" s="679"/>
      <c r="TGI163" s="679"/>
      <c r="TGJ163" s="679"/>
      <c r="TGK163" s="679"/>
      <c r="TGL163" s="679"/>
      <c r="TGM163" s="679"/>
      <c r="TGN163" s="679"/>
      <c r="TGO163" s="679"/>
      <c r="TGP163" s="679"/>
      <c r="TGQ163" s="679"/>
      <c r="TGR163" s="679"/>
      <c r="TGS163" s="679"/>
      <c r="TGT163" s="679"/>
      <c r="TGU163" s="679"/>
      <c r="TGV163" s="679"/>
      <c r="TGW163" s="679"/>
      <c r="TGX163" s="679"/>
      <c r="TGY163" s="679"/>
      <c r="TGZ163" s="679"/>
      <c r="THA163" s="679"/>
      <c r="THB163" s="679"/>
      <c r="THC163" s="679"/>
      <c r="THD163" s="679"/>
      <c r="THE163" s="679"/>
      <c r="THF163" s="679"/>
      <c r="THG163" s="679"/>
      <c r="THH163" s="679"/>
      <c r="THI163" s="679"/>
      <c r="THJ163" s="679"/>
      <c r="THK163" s="679"/>
      <c r="THL163" s="679"/>
      <c r="THM163" s="679"/>
      <c r="THN163" s="679"/>
      <c r="THO163" s="679"/>
      <c r="THP163" s="679"/>
      <c r="THQ163" s="679"/>
      <c r="THR163" s="679"/>
      <c r="THS163" s="679"/>
      <c r="THT163" s="679"/>
      <c r="THU163" s="679"/>
      <c r="THV163" s="679"/>
      <c r="THW163" s="679"/>
      <c r="THX163" s="679"/>
      <c r="THY163" s="679"/>
      <c r="THZ163" s="679"/>
      <c r="TIA163" s="679"/>
      <c r="TIB163" s="679"/>
      <c r="TIC163" s="679"/>
      <c r="TID163" s="679"/>
      <c r="TIE163" s="679"/>
      <c r="TIF163" s="679"/>
      <c r="TIG163" s="679"/>
      <c r="TIH163" s="679"/>
      <c r="TII163" s="679"/>
      <c r="TIJ163" s="679"/>
      <c r="TIK163" s="679"/>
      <c r="TIL163" s="679"/>
      <c r="TIM163" s="679"/>
      <c r="TIN163" s="679"/>
      <c r="TIO163" s="679"/>
      <c r="TIP163" s="679"/>
      <c r="TIQ163" s="679"/>
      <c r="TIR163" s="679"/>
      <c r="TIS163" s="679"/>
      <c r="TIT163" s="679"/>
      <c r="TIU163" s="679"/>
      <c r="TIV163" s="679"/>
      <c r="TIW163" s="679"/>
      <c r="TIX163" s="679"/>
      <c r="TIY163" s="679"/>
      <c r="TIZ163" s="679"/>
      <c r="TJA163" s="679"/>
      <c r="TJB163" s="679"/>
      <c r="TJC163" s="679"/>
      <c r="TJD163" s="679"/>
      <c r="TJE163" s="679"/>
      <c r="TJF163" s="679"/>
      <c r="TJG163" s="679"/>
      <c r="TJH163" s="679"/>
      <c r="TJI163" s="679"/>
      <c r="TJJ163" s="679"/>
      <c r="TJK163" s="679"/>
      <c r="TJL163" s="679"/>
      <c r="TJM163" s="679"/>
      <c r="TJN163" s="679"/>
      <c r="TJO163" s="679"/>
      <c r="TJP163" s="679"/>
      <c r="TJQ163" s="679"/>
      <c r="TJR163" s="679"/>
      <c r="TJS163" s="679"/>
      <c r="TJT163" s="679"/>
      <c r="TJU163" s="679"/>
      <c r="TJV163" s="679"/>
      <c r="TJW163" s="679"/>
      <c r="TJX163" s="679"/>
      <c r="TJY163" s="679"/>
      <c r="TJZ163" s="679"/>
      <c r="TKA163" s="679"/>
      <c r="TKB163" s="679"/>
      <c r="TKC163" s="679"/>
      <c r="TKD163" s="679"/>
      <c r="TKE163" s="679"/>
      <c r="TKF163" s="679"/>
      <c r="TKG163" s="679"/>
      <c r="TKH163" s="679"/>
      <c r="TKI163" s="679"/>
      <c r="TKJ163" s="679"/>
      <c r="TKK163" s="679"/>
      <c r="TKL163" s="679"/>
      <c r="TKM163" s="679"/>
      <c r="TKN163" s="679"/>
      <c r="TKO163" s="679"/>
      <c r="TKP163" s="679"/>
      <c r="TKQ163" s="679"/>
      <c r="TKR163" s="679"/>
      <c r="TKS163" s="679"/>
      <c r="TKT163" s="679"/>
      <c r="TKU163" s="679"/>
      <c r="TKV163" s="679"/>
      <c r="TKW163" s="679"/>
      <c r="TKX163" s="679"/>
      <c r="TKY163" s="679"/>
      <c r="TKZ163" s="679"/>
      <c r="TLA163" s="679"/>
      <c r="TLB163" s="679"/>
      <c r="TLC163" s="679"/>
      <c r="TLD163" s="679"/>
      <c r="TLE163" s="679"/>
      <c r="TLF163" s="679"/>
      <c r="TLG163" s="679"/>
      <c r="TLH163" s="679"/>
      <c r="TLI163" s="679"/>
      <c r="TLJ163" s="679"/>
      <c r="TLK163" s="679"/>
      <c r="TLL163" s="679"/>
      <c r="TLM163" s="679"/>
      <c r="TLN163" s="679"/>
      <c r="TLO163" s="679"/>
      <c r="TLP163" s="679"/>
      <c r="TLQ163" s="679"/>
      <c r="TLR163" s="679"/>
      <c r="TLS163" s="679"/>
      <c r="TLT163" s="679"/>
      <c r="TLU163" s="679"/>
      <c r="TLV163" s="679"/>
      <c r="TLW163" s="679"/>
      <c r="TLX163" s="679"/>
      <c r="TLY163" s="679"/>
      <c r="TLZ163" s="679"/>
      <c r="TMA163" s="679"/>
      <c r="TMB163" s="679"/>
      <c r="TMC163" s="679"/>
      <c r="TMD163" s="679"/>
      <c r="TME163" s="679"/>
      <c r="TMF163" s="679"/>
      <c r="TMG163" s="679"/>
      <c r="TMH163" s="679"/>
      <c r="TMI163" s="679"/>
      <c r="TMJ163" s="679"/>
      <c r="TMK163" s="679"/>
      <c r="TML163" s="679"/>
      <c r="TMM163" s="679"/>
      <c r="TMN163" s="679"/>
      <c r="TMO163" s="679"/>
      <c r="TMP163" s="679"/>
      <c r="TMQ163" s="679"/>
      <c r="TMR163" s="679"/>
      <c r="TMS163" s="679"/>
      <c r="TMT163" s="679"/>
      <c r="TMU163" s="679"/>
      <c r="TMV163" s="679"/>
      <c r="TMW163" s="679"/>
      <c r="TMX163" s="679"/>
      <c r="TMY163" s="679"/>
      <c r="TMZ163" s="679"/>
      <c r="TNA163" s="679"/>
      <c r="TNB163" s="679"/>
      <c r="TNC163" s="679"/>
      <c r="TND163" s="679"/>
      <c r="TNE163" s="679"/>
      <c r="TNF163" s="679"/>
      <c r="TNG163" s="679"/>
      <c r="TNH163" s="679"/>
      <c r="TNI163" s="679"/>
      <c r="TNJ163" s="679"/>
      <c r="TNK163" s="679"/>
      <c r="TNL163" s="679"/>
      <c r="TNM163" s="679"/>
      <c r="TNN163" s="679"/>
      <c r="TNO163" s="679"/>
      <c r="TNP163" s="679"/>
      <c r="TNQ163" s="679"/>
      <c r="TNR163" s="679"/>
      <c r="TNS163" s="679"/>
      <c r="TNT163" s="679"/>
      <c r="TNU163" s="679"/>
      <c r="TNV163" s="679"/>
      <c r="TNW163" s="679"/>
      <c r="TNX163" s="679"/>
      <c r="TNY163" s="679"/>
      <c r="TNZ163" s="679"/>
      <c r="TOA163" s="679"/>
      <c r="TOB163" s="679"/>
      <c r="TOC163" s="679"/>
      <c r="TOD163" s="679"/>
      <c r="TOE163" s="679"/>
      <c r="TOF163" s="679"/>
      <c r="TOG163" s="679"/>
      <c r="TOH163" s="679"/>
      <c r="TOI163" s="679"/>
      <c r="TOJ163" s="679"/>
      <c r="TOK163" s="679"/>
      <c r="TOL163" s="679"/>
      <c r="TOM163" s="679"/>
      <c r="TON163" s="679"/>
      <c r="TOO163" s="679"/>
      <c r="TOP163" s="679"/>
      <c r="TOQ163" s="679"/>
      <c r="TOR163" s="679"/>
      <c r="TOS163" s="679"/>
      <c r="TOT163" s="679"/>
      <c r="TOU163" s="679"/>
      <c r="TOV163" s="679"/>
      <c r="TOW163" s="679"/>
      <c r="TOX163" s="679"/>
      <c r="TOY163" s="679"/>
      <c r="TOZ163" s="679"/>
      <c r="TPA163" s="679"/>
      <c r="TPB163" s="679"/>
      <c r="TPC163" s="679"/>
      <c r="TPD163" s="679"/>
      <c r="TPE163" s="679"/>
      <c r="TPF163" s="679"/>
      <c r="TPG163" s="679"/>
      <c r="TPH163" s="679"/>
      <c r="TPI163" s="679"/>
      <c r="TPJ163" s="679"/>
      <c r="TPK163" s="679"/>
      <c r="TPL163" s="679"/>
      <c r="TPM163" s="679"/>
      <c r="TPN163" s="679"/>
      <c r="TPO163" s="679"/>
      <c r="TPP163" s="679"/>
      <c r="TPQ163" s="679"/>
      <c r="TPR163" s="679"/>
      <c r="TPS163" s="679"/>
      <c r="TPT163" s="679"/>
      <c r="TPU163" s="679"/>
      <c r="TPV163" s="679"/>
      <c r="TPW163" s="679"/>
      <c r="TPX163" s="679"/>
      <c r="TPY163" s="679"/>
      <c r="TPZ163" s="679"/>
      <c r="TQA163" s="679"/>
      <c r="TQB163" s="679"/>
      <c r="TQC163" s="679"/>
      <c r="TQD163" s="679"/>
      <c r="TQE163" s="679"/>
      <c r="TQF163" s="679"/>
      <c r="TQG163" s="679"/>
      <c r="TQH163" s="679"/>
      <c r="TQI163" s="679"/>
      <c r="TQJ163" s="679"/>
      <c r="TQK163" s="679"/>
      <c r="TQL163" s="679"/>
      <c r="TQM163" s="679"/>
      <c r="TQN163" s="679"/>
      <c r="TQO163" s="679"/>
      <c r="TQP163" s="679"/>
      <c r="TQQ163" s="679"/>
      <c r="TQR163" s="679"/>
      <c r="TQS163" s="679"/>
      <c r="TQT163" s="679"/>
      <c r="TQU163" s="679"/>
      <c r="TQV163" s="679"/>
      <c r="TQW163" s="679"/>
      <c r="TQX163" s="679"/>
      <c r="TQY163" s="679"/>
      <c r="TQZ163" s="679"/>
      <c r="TRA163" s="679"/>
      <c r="TRB163" s="679"/>
      <c r="TRC163" s="679"/>
      <c r="TRD163" s="679"/>
      <c r="TRE163" s="679"/>
      <c r="TRF163" s="679"/>
      <c r="TRG163" s="679"/>
      <c r="TRH163" s="679"/>
      <c r="TRI163" s="679"/>
      <c r="TRJ163" s="679"/>
      <c r="TRK163" s="679"/>
      <c r="TRL163" s="679"/>
      <c r="TRM163" s="679"/>
      <c r="TRN163" s="679"/>
      <c r="TRO163" s="679"/>
      <c r="TRP163" s="679"/>
      <c r="TRQ163" s="679"/>
      <c r="TRR163" s="679"/>
      <c r="TRS163" s="679"/>
      <c r="TRT163" s="679"/>
      <c r="TRU163" s="679"/>
      <c r="TRV163" s="679"/>
      <c r="TRW163" s="679"/>
      <c r="TRX163" s="679"/>
      <c r="TRY163" s="679"/>
      <c r="TRZ163" s="679"/>
      <c r="TSA163" s="679"/>
      <c r="TSB163" s="679"/>
      <c r="TSC163" s="679"/>
      <c r="TSD163" s="679"/>
      <c r="TSE163" s="679"/>
      <c r="TSF163" s="679"/>
      <c r="TSG163" s="679"/>
      <c r="TSH163" s="679"/>
      <c r="TSI163" s="679"/>
      <c r="TSJ163" s="679"/>
      <c r="TSK163" s="679"/>
      <c r="TSL163" s="679"/>
      <c r="TSM163" s="679"/>
      <c r="TSN163" s="679"/>
      <c r="TSO163" s="679"/>
      <c r="TSP163" s="679"/>
      <c r="TSQ163" s="679"/>
      <c r="TSR163" s="679"/>
      <c r="TSS163" s="679"/>
      <c r="TST163" s="679"/>
      <c r="TSU163" s="679"/>
      <c r="TSV163" s="679"/>
      <c r="TSW163" s="679"/>
      <c r="TSX163" s="679"/>
      <c r="TSY163" s="679"/>
      <c r="TSZ163" s="679"/>
      <c r="TTA163" s="679"/>
      <c r="TTB163" s="679"/>
      <c r="TTC163" s="679"/>
      <c r="TTD163" s="679"/>
      <c r="TTE163" s="679"/>
      <c r="TTF163" s="679"/>
      <c r="TTG163" s="679"/>
      <c r="TTH163" s="679"/>
      <c r="TTI163" s="679"/>
      <c r="TTJ163" s="679"/>
      <c r="TTK163" s="679"/>
      <c r="TTL163" s="679"/>
      <c r="TTM163" s="679"/>
      <c r="TTN163" s="679"/>
      <c r="TTO163" s="679"/>
      <c r="TTP163" s="679"/>
      <c r="TTQ163" s="679"/>
      <c r="TTR163" s="679"/>
      <c r="TTS163" s="679"/>
      <c r="TTT163" s="679"/>
      <c r="TTU163" s="679"/>
      <c r="TTV163" s="679"/>
      <c r="TTW163" s="679"/>
      <c r="TTX163" s="679"/>
      <c r="TTY163" s="679"/>
      <c r="TTZ163" s="679"/>
      <c r="TUA163" s="679"/>
      <c r="TUB163" s="679"/>
      <c r="TUC163" s="679"/>
      <c r="TUD163" s="679"/>
      <c r="TUE163" s="679"/>
      <c r="TUF163" s="679"/>
      <c r="TUG163" s="679"/>
      <c r="TUH163" s="679"/>
      <c r="TUI163" s="679"/>
      <c r="TUJ163" s="679"/>
      <c r="TUK163" s="679"/>
      <c r="TUL163" s="679"/>
      <c r="TUM163" s="679"/>
      <c r="TUN163" s="679"/>
      <c r="TUO163" s="679"/>
      <c r="TUP163" s="679"/>
      <c r="TUQ163" s="679"/>
      <c r="TUR163" s="679"/>
      <c r="TUS163" s="679"/>
      <c r="TUT163" s="679"/>
      <c r="TUU163" s="679"/>
      <c r="TUV163" s="679"/>
      <c r="TUW163" s="679"/>
      <c r="TUX163" s="679"/>
      <c r="TUY163" s="679"/>
      <c r="TUZ163" s="679"/>
      <c r="TVA163" s="679"/>
      <c r="TVB163" s="679"/>
      <c r="TVC163" s="679"/>
      <c r="TVD163" s="679"/>
      <c r="TVE163" s="679"/>
      <c r="TVF163" s="679"/>
      <c r="TVG163" s="679"/>
      <c r="TVH163" s="679"/>
      <c r="TVI163" s="679"/>
      <c r="TVJ163" s="679"/>
      <c r="TVK163" s="679"/>
      <c r="TVL163" s="679"/>
      <c r="TVM163" s="679"/>
      <c r="TVN163" s="679"/>
      <c r="TVO163" s="679"/>
      <c r="TVP163" s="679"/>
      <c r="TVQ163" s="679"/>
      <c r="TVR163" s="679"/>
      <c r="TVS163" s="679"/>
      <c r="TVT163" s="679"/>
      <c r="TVU163" s="679"/>
      <c r="TVV163" s="679"/>
      <c r="TVW163" s="679"/>
      <c r="TVX163" s="679"/>
      <c r="TVY163" s="679"/>
      <c r="TVZ163" s="679"/>
      <c r="TWA163" s="679"/>
      <c r="TWB163" s="679"/>
      <c r="TWC163" s="679"/>
      <c r="TWD163" s="679"/>
      <c r="TWE163" s="679"/>
      <c r="TWF163" s="679"/>
      <c r="TWG163" s="679"/>
      <c r="TWH163" s="679"/>
      <c r="TWI163" s="679"/>
      <c r="TWJ163" s="679"/>
      <c r="TWK163" s="679"/>
      <c r="TWL163" s="679"/>
      <c r="TWM163" s="679"/>
      <c r="TWN163" s="679"/>
      <c r="TWO163" s="679"/>
      <c r="TWP163" s="679"/>
      <c r="TWQ163" s="679"/>
      <c r="TWR163" s="679"/>
      <c r="TWS163" s="679"/>
      <c r="TWT163" s="679"/>
      <c r="TWU163" s="679"/>
      <c r="TWV163" s="679"/>
      <c r="TWW163" s="679"/>
      <c r="TWX163" s="679"/>
      <c r="TWY163" s="679"/>
      <c r="TWZ163" s="679"/>
      <c r="TXA163" s="679"/>
      <c r="TXB163" s="679"/>
      <c r="TXC163" s="679"/>
      <c r="TXD163" s="679"/>
      <c r="TXE163" s="679"/>
      <c r="TXF163" s="679"/>
      <c r="TXG163" s="679"/>
      <c r="TXH163" s="679"/>
      <c r="TXI163" s="679"/>
      <c r="TXJ163" s="679"/>
      <c r="TXK163" s="679"/>
      <c r="TXL163" s="679"/>
      <c r="TXM163" s="679"/>
      <c r="TXN163" s="679"/>
      <c r="TXO163" s="679"/>
      <c r="TXP163" s="679"/>
      <c r="TXQ163" s="679"/>
      <c r="TXR163" s="679"/>
      <c r="TXS163" s="679"/>
      <c r="TXT163" s="679"/>
      <c r="TXU163" s="679"/>
      <c r="TXV163" s="679"/>
      <c r="TXW163" s="679"/>
      <c r="TXX163" s="679"/>
      <c r="TXY163" s="679"/>
      <c r="TXZ163" s="679"/>
      <c r="TYA163" s="679"/>
      <c r="TYB163" s="679"/>
      <c r="TYC163" s="679"/>
      <c r="TYD163" s="679"/>
      <c r="TYE163" s="679"/>
      <c r="TYF163" s="679"/>
      <c r="TYG163" s="679"/>
      <c r="TYH163" s="679"/>
      <c r="TYI163" s="679"/>
      <c r="TYJ163" s="679"/>
      <c r="TYK163" s="679"/>
      <c r="TYL163" s="679"/>
      <c r="TYM163" s="679"/>
      <c r="TYN163" s="679"/>
      <c r="TYO163" s="679"/>
      <c r="TYP163" s="679"/>
      <c r="TYQ163" s="679"/>
      <c r="TYR163" s="679"/>
      <c r="TYS163" s="679"/>
      <c r="TYT163" s="679"/>
      <c r="TYU163" s="679"/>
      <c r="TYV163" s="679"/>
      <c r="TYW163" s="679"/>
      <c r="TYX163" s="679"/>
      <c r="TYY163" s="679"/>
      <c r="TYZ163" s="679"/>
      <c r="TZA163" s="679"/>
      <c r="TZB163" s="679"/>
      <c r="TZC163" s="679"/>
      <c r="TZD163" s="679"/>
      <c r="TZE163" s="679"/>
      <c r="TZF163" s="679"/>
      <c r="TZG163" s="679"/>
      <c r="TZH163" s="679"/>
      <c r="TZI163" s="679"/>
      <c r="TZJ163" s="679"/>
      <c r="TZK163" s="679"/>
      <c r="TZL163" s="679"/>
      <c r="TZM163" s="679"/>
      <c r="TZN163" s="679"/>
      <c r="TZO163" s="679"/>
      <c r="TZP163" s="679"/>
      <c r="TZQ163" s="679"/>
      <c r="TZR163" s="679"/>
      <c r="TZS163" s="679"/>
      <c r="TZT163" s="679"/>
      <c r="TZU163" s="679"/>
      <c r="TZV163" s="679"/>
      <c r="TZW163" s="679"/>
      <c r="TZX163" s="679"/>
      <c r="TZY163" s="679"/>
      <c r="TZZ163" s="679"/>
      <c r="UAA163" s="679"/>
      <c r="UAB163" s="679"/>
      <c r="UAC163" s="679"/>
      <c r="UAD163" s="679"/>
      <c r="UAE163" s="679"/>
      <c r="UAF163" s="679"/>
      <c r="UAG163" s="679"/>
      <c r="UAH163" s="679"/>
      <c r="UAI163" s="679"/>
      <c r="UAJ163" s="679"/>
      <c r="UAK163" s="679"/>
      <c r="UAL163" s="679"/>
      <c r="UAM163" s="679"/>
      <c r="UAN163" s="679"/>
      <c r="UAO163" s="679"/>
      <c r="UAP163" s="679"/>
      <c r="UAQ163" s="679"/>
      <c r="UAR163" s="679"/>
      <c r="UAS163" s="679"/>
      <c r="UAT163" s="679"/>
      <c r="UAU163" s="679"/>
      <c r="UAV163" s="679"/>
      <c r="UAW163" s="679"/>
      <c r="UAX163" s="679"/>
      <c r="UAY163" s="679"/>
      <c r="UAZ163" s="679"/>
      <c r="UBA163" s="679"/>
      <c r="UBB163" s="679"/>
      <c r="UBC163" s="679"/>
      <c r="UBD163" s="679"/>
      <c r="UBE163" s="679"/>
      <c r="UBF163" s="679"/>
      <c r="UBG163" s="679"/>
      <c r="UBH163" s="679"/>
      <c r="UBI163" s="679"/>
      <c r="UBJ163" s="679"/>
      <c r="UBK163" s="679"/>
      <c r="UBL163" s="679"/>
      <c r="UBM163" s="679"/>
      <c r="UBN163" s="679"/>
      <c r="UBO163" s="679"/>
      <c r="UBP163" s="679"/>
      <c r="UBQ163" s="679"/>
      <c r="UBR163" s="679"/>
      <c r="UBS163" s="679"/>
      <c r="UBT163" s="679"/>
      <c r="UBU163" s="679"/>
      <c r="UBV163" s="679"/>
      <c r="UBW163" s="679"/>
      <c r="UBX163" s="679"/>
      <c r="UBY163" s="679"/>
      <c r="UBZ163" s="679"/>
      <c r="UCA163" s="679"/>
      <c r="UCB163" s="679"/>
      <c r="UCC163" s="679"/>
      <c r="UCD163" s="679"/>
      <c r="UCE163" s="679"/>
      <c r="UCF163" s="679"/>
      <c r="UCG163" s="679"/>
      <c r="UCH163" s="679"/>
      <c r="UCI163" s="679"/>
      <c r="UCJ163" s="679"/>
      <c r="UCK163" s="679"/>
      <c r="UCL163" s="679"/>
      <c r="UCM163" s="679"/>
      <c r="UCN163" s="679"/>
      <c r="UCO163" s="679"/>
      <c r="UCP163" s="679"/>
      <c r="UCQ163" s="679"/>
      <c r="UCR163" s="679"/>
      <c r="UCS163" s="679"/>
      <c r="UCT163" s="679"/>
      <c r="UCU163" s="679"/>
      <c r="UCV163" s="679"/>
      <c r="UCW163" s="679"/>
      <c r="UCX163" s="679"/>
      <c r="UCY163" s="679"/>
      <c r="UCZ163" s="679"/>
      <c r="UDA163" s="679"/>
      <c r="UDB163" s="679"/>
      <c r="UDC163" s="679"/>
      <c r="UDD163" s="679"/>
      <c r="UDE163" s="679"/>
      <c r="UDF163" s="679"/>
      <c r="UDG163" s="679"/>
      <c r="UDH163" s="679"/>
      <c r="UDI163" s="679"/>
      <c r="UDJ163" s="679"/>
      <c r="UDK163" s="679"/>
      <c r="UDL163" s="679"/>
      <c r="UDM163" s="679"/>
      <c r="UDN163" s="679"/>
      <c r="UDO163" s="679"/>
      <c r="UDP163" s="679"/>
      <c r="UDQ163" s="679"/>
      <c r="UDR163" s="679"/>
      <c r="UDS163" s="679"/>
      <c r="UDT163" s="679"/>
      <c r="UDU163" s="679"/>
      <c r="UDV163" s="679"/>
      <c r="UDW163" s="679"/>
      <c r="UDX163" s="679"/>
      <c r="UDY163" s="679"/>
      <c r="UDZ163" s="679"/>
      <c r="UEA163" s="679"/>
      <c r="UEB163" s="679"/>
      <c r="UEC163" s="679"/>
      <c r="UED163" s="679"/>
      <c r="UEE163" s="679"/>
      <c r="UEF163" s="679"/>
      <c r="UEG163" s="679"/>
      <c r="UEH163" s="679"/>
      <c r="UEI163" s="679"/>
      <c r="UEJ163" s="679"/>
      <c r="UEK163" s="679"/>
      <c r="UEL163" s="679"/>
      <c r="UEM163" s="679"/>
      <c r="UEN163" s="679"/>
      <c r="UEO163" s="679"/>
      <c r="UEP163" s="679"/>
      <c r="UEQ163" s="679"/>
      <c r="UER163" s="679"/>
      <c r="UES163" s="679"/>
      <c r="UET163" s="679"/>
      <c r="UEU163" s="679"/>
      <c r="UEV163" s="679"/>
      <c r="UEW163" s="679"/>
      <c r="UEX163" s="679"/>
      <c r="UEY163" s="679"/>
      <c r="UEZ163" s="679"/>
      <c r="UFA163" s="679"/>
      <c r="UFB163" s="679"/>
      <c r="UFC163" s="679"/>
      <c r="UFD163" s="679"/>
      <c r="UFE163" s="679"/>
      <c r="UFF163" s="679"/>
      <c r="UFG163" s="679"/>
      <c r="UFH163" s="679"/>
      <c r="UFI163" s="679"/>
      <c r="UFJ163" s="679"/>
      <c r="UFK163" s="679"/>
      <c r="UFL163" s="679"/>
      <c r="UFM163" s="679"/>
      <c r="UFN163" s="679"/>
      <c r="UFO163" s="679"/>
      <c r="UFP163" s="679"/>
      <c r="UFQ163" s="679"/>
      <c r="UFR163" s="679"/>
      <c r="UFS163" s="679"/>
      <c r="UFT163" s="679"/>
      <c r="UFU163" s="679"/>
      <c r="UFV163" s="679"/>
      <c r="UFW163" s="679"/>
      <c r="UFX163" s="679"/>
      <c r="UFY163" s="679"/>
      <c r="UFZ163" s="679"/>
      <c r="UGA163" s="679"/>
      <c r="UGB163" s="679"/>
      <c r="UGC163" s="679"/>
      <c r="UGD163" s="679"/>
      <c r="UGE163" s="679"/>
      <c r="UGF163" s="679"/>
      <c r="UGG163" s="679"/>
      <c r="UGH163" s="679"/>
      <c r="UGI163" s="679"/>
      <c r="UGJ163" s="679"/>
      <c r="UGK163" s="679"/>
      <c r="UGL163" s="679"/>
      <c r="UGM163" s="679"/>
      <c r="UGN163" s="679"/>
      <c r="UGO163" s="679"/>
      <c r="UGP163" s="679"/>
      <c r="UGQ163" s="679"/>
      <c r="UGR163" s="679"/>
      <c r="UGS163" s="679"/>
      <c r="UGT163" s="679"/>
      <c r="UGU163" s="679"/>
      <c r="UGV163" s="679"/>
      <c r="UGW163" s="679"/>
      <c r="UGX163" s="679"/>
      <c r="UGY163" s="679"/>
      <c r="UGZ163" s="679"/>
      <c r="UHA163" s="679"/>
      <c r="UHB163" s="679"/>
      <c r="UHC163" s="679"/>
      <c r="UHD163" s="679"/>
      <c r="UHE163" s="679"/>
      <c r="UHF163" s="679"/>
      <c r="UHG163" s="679"/>
      <c r="UHH163" s="679"/>
      <c r="UHI163" s="679"/>
      <c r="UHJ163" s="679"/>
      <c r="UHK163" s="679"/>
      <c r="UHL163" s="679"/>
      <c r="UHM163" s="679"/>
      <c r="UHN163" s="679"/>
      <c r="UHO163" s="679"/>
      <c r="UHP163" s="679"/>
      <c r="UHQ163" s="679"/>
      <c r="UHR163" s="679"/>
      <c r="UHS163" s="679"/>
      <c r="UHT163" s="679"/>
      <c r="UHU163" s="679"/>
      <c r="UHV163" s="679"/>
      <c r="UHW163" s="679"/>
      <c r="UHX163" s="679"/>
      <c r="UHY163" s="679"/>
      <c r="UHZ163" s="679"/>
      <c r="UIA163" s="679"/>
      <c r="UIB163" s="679"/>
      <c r="UIC163" s="679"/>
      <c r="UID163" s="679"/>
      <c r="UIE163" s="679"/>
      <c r="UIF163" s="679"/>
      <c r="UIG163" s="679"/>
      <c r="UIH163" s="679"/>
      <c r="UII163" s="679"/>
      <c r="UIJ163" s="679"/>
      <c r="UIK163" s="679"/>
      <c r="UIL163" s="679"/>
      <c r="UIM163" s="679"/>
      <c r="UIN163" s="679"/>
      <c r="UIO163" s="679"/>
      <c r="UIP163" s="679"/>
      <c r="UIQ163" s="679"/>
      <c r="UIR163" s="679"/>
      <c r="UIS163" s="679"/>
      <c r="UIT163" s="679"/>
      <c r="UIU163" s="679"/>
      <c r="UIV163" s="679"/>
      <c r="UIW163" s="679"/>
      <c r="UIX163" s="679"/>
      <c r="UIY163" s="679"/>
      <c r="UIZ163" s="679"/>
      <c r="UJA163" s="679"/>
      <c r="UJB163" s="679"/>
      <c r="UJC163" s="679"/>
      <c r="UJD163" s="679"/>
      <c r="UJE163" s="679"/>
      <c r="UJF163" s="679"/>
      <c r="UJG163" s="679"/>
      <c r="UJH163" s="679"/>
      <c r="UJI163" s="679"/>
      <c r="UJJ163" s="679"/>
      <c r="UJK163" s="679"/>
      <c r="UJL163" s="679"/>
      <c r="UJM163" s="679"/>
      <c r="UJN163" s="679"/>
      <c r="UJO163" s="679"/>
      <c r="UJP163" s="679"/>
      <c r="UJQ163" s="679"/>
      <c r="UJR163" s="679"/>
      <c r="UJS163" s="679"/>
      <c r="UJT163" s="679"/>
      <c r="UJU163" s="679"/>
      <c r="UJV163" s="679"/>
      <c r="UJW163" s="679"/>
      <c r="UJX163" s="679"/>
      <c r="UJY163" s="679"/>
      <c r="UJZ163" s="679"/>
      <c r="UKA163" s="679"/>
      <c r="UKB163" s="679"/>
      <c r="UKC163" s="679"/>
      <c r="UKD163" s="679"/>
      <c r="UKE163" s="679"/>
      <c r="UKF163" s="679"/>
      <c r="UKG163" s="679"/>
      <c r="UKH163" s="679"/>
      <c r="UKI163" s="679"/>
      <c r="UKJ163" s="679"/>
      <c r="UKK163" s="679"/>
      <c r="UKL163" s="679"/>
      <c r="UKM163" s="679"/>
      <c r="UKN163" s="679"/>
      <c r="UKO163" s="679"/>
      <c r="UKP163" s="679"/>
      <c r="UKQ163" s="679"/>
      <c r="UKR163" s="679"/>
      <c r="UKS163" s="679"/>
      <c r="UKT163" s="679"/>
      <c r="UKU163" s="679"/>
      <c r="UKV163" s="679"/>
      <c r="UKW163" s="679"/>
      <c r="UKX163" s="679"/>
      <c r="UKY163" s="679"/>
      <c r="UKZ163" s="679"/>
      <c r="ULA163" s="679"/>
      <c r="ULB163" s="679"/>
      <c r="ULC163" s="679"/>
      <c r="ULD163" s="679"/>
      <c r="ULE163" s="679"/>
      <c r="ULF163" s="679"/>
      <c r="ULG163" s="679"/>
      <c r="ULH163" s="679"/>
      <c r="ULI163" s="679"/>
      <c r="ULJ163" s="679"/>
      <c r="ULK163" s="679"/>
      <c r="ULL163" s="679"/>
      <c r="ULM163" s="679"/>
      <c r="ULN163" s="679"/>
      <c r="ULO163" s="679"/>
      <c r="ULP163" s="679"/>
      <c r="ULQ163" s="679"/>
      <c r="ULR163" s="679"/>
      <c r="ULS163" s="679"/>
      <c r="ULT163" s="679"/>
      <c r="ULU163" s="679"/>
      <c r="ULV163" s="679"/>
      <c r="ULW163" s="679"/>
      <c r="ULX163" s="679"/>
      <c r="ULY163" s="679"/>
      <c r="ULZ163" s="679"/>
      <c r="UMA163" s="679"/>
      <c r="UMB163" s="679"/>
      <c r="UMC163" s="679"/>
      <c r="UMD163" s="679"/>
      <c r="UME163" s="679"/>
      <c r="UMF163" s="679"/>
      <c r="UMG163" s="679"/>
      <c r="UMH163" s="679"/>
      <c r="UMI163" s="679"/>
      <c r="UMJ163" s="679"/>
      <c r="UMK163" s="679"/>
      <c r="UML163" s="679"/>
      <c r="UMM163" s="679"/>
      <c r="UMN163" s="679"/>
      <c r="UMO163" s="679"/>
      <c r="UMP163" s="679"/>
      <c r="UMQ163" s="679"/>
      <c r="UMR163" s="679"/>
      <c r="UMS163" s="679"/>
      <c r="UMT163" s="679"/>
      <c r="UMU163" s="679"/>
      <c r="UMV163" s="679"/>
      <c r="UMW163" s="679"/>
      <c r="UMX163" s="679"/>
      <c r="UMY163" s="679"/>
      <c r="UMZ163" s="679"/>
      <c r="UNA163" s="679"/>
      <c r="UNB163" s="679"/>
      <c r="UNC163" s="679"/>
      <c r="UND163" s="679"/>
      <c r="UNE163" s="679"/>
      <c r="UNF163" s="679"/>
      <c r="UNG163" s="679"/>
      <c r="UNH163" s="679"/>
      <c r="UNI163" s="679"/>
      <c r="UNJ163" s="679"/>
      <c r="UNK163" s="679"/>
      <c r="UNL163" s="679"/>
      <c r="UNM163" s="679"/>
      <c r="UNN163" s="679"/>
      <c r="UNO163" s="679"/>
      <c r="UNP163" s="679"/>
      <c r="UNQ163" s="679"/>
      <c r="UNR163" s="679"/>
      <c r="UNS163" s="679"/>
      <c r="UNT163" s="679"/>
      <c r="UNU163" s="679"/>
      <c r="UNV163" s="679"/>
      <c r="UNW163" s="679"/>
      <c r="UNX163" s="679"/>
      <c r="UNY163" s="679"/>
      <c r="UNZ163" s="679"/>
      <c r="UOA163" s="679"/>
      <c r="UOB163" s="679"/>
      <c r="UOC163" s="679"/>
      <c r="UOD163" s="679"/>
      <c r="UOE163" s="679"/>
      <c r="UOF163" s="679"/>
      <c r="UOG163" s="679"/>
      <c r="UOH163" s="679"/>
      <c r="UOI163" s="679"/>
      <c r="UOJ163" s="679"/>
      <c r="UOK163" s="679"/>
      <c r="UOL163" s="679"/>
      <c r="UOM163" s="679"/>
      <c r="UON163" s="679"/>
      <c r="UOO163" s="679"/>
      <c r="UOP163" s="679"/>
      <c r="UOQ163" s="679"/>
      <c r="UOR163" s="679"/>
      <c r="UOS163" s="679"/>
      <c r="UOT163" s="679"/>
      <c r="UOU163" s="679"/>
      <c r="UOV163" s="679"/>
      <c r="UOW163" s="679"/>
      <c r="UOX163" s="679"/>
      <c r="UOY163" s="679"/>
      <c r="UOZ163" s="679"/>
      <c r="UPA163" s="679"/>
      <c r="UPB163" s="679"/>
      <c r="UPC163" s="679"/>
      <c r="UPD163" s="679"/>
      <c r="UPE163" s="679"/>
      <c r="UPF163" s="679"/>
      <c r="UPG163" s="679"/>
      <c r="UPH163" s="679"/>
      <c r="UPI163" s="679"/>
      <c r="UPJ163" s="679"/>
      <c r="UPK163" s="679"/>
      <c r="UPL163" s="679"/>
      <c r="UPM163" s="679"/>
      <c r="UPN163" s="679"/>
      <c r="UPO163" s="679"/>
      <c r="UPP163" s="679"/>
      <c r="UPQ163" s="679"/>
      <c r="UPR163" s="679"/>
      <c r="UPS163" s="679"/>
      <c r="UPT163" s="679"/>
      <c r="UPU163" s="679"/>
      <c r="UPV163" s="679"/>
      <c r="UPW163" s="679"/>
      <c r="UPX163" s="679"/>
      <c r="UPY163" s="679"/>
      <c r="UPZ163" s="679"/>
      <c r="UQA163" s="679"/>
      <c r="UQB163" s="679"/>
      <c r="UQC163" s="679"/>
      <c r="UQD163" s="679"/>
      <c r="UQE163" s="679"/>
      <c r="UQF163" s="679"/>
      <c r="UQG163" s="679"/>
      <c r="UQH163" s="679"/>
      <c r="UQI163" s="679"/>
      <c r="UQJ163" s="679"/>
      <c r="UQK163" s="679"/>
      <c r="UQL163" s="679"/>
      <c r="UQM163" s="679"/>
      <c r="UQN163" s="679"/>
      <c r="UQO163" s="679"/>
      <c r="UQP163" s="679"/>
      <c r="UQQ163" s="679"/>
      <c r="UQR163" s="679"/>
      <c r="UQS163" s="679"/>
      <c r="UQT163" s="679"/>
      <c r="UQU163" s="679"/>
      <c r="UQV163" s="679"/>
      <c r="UQW163" s="679"/>
      <c r="UQX163" s="679"/>
      <c r="UQY163" s="679"/>
      <c r="UQZ163" s="679"/>
      <c r="URA163" s="679"/>
      <c r="URB163" s="679"/>
      <c r="URC163" s="679"/>
      <c r="URD163" s="679"/>
      <c r="URE163" s="679"/>
      <c r="URF163" s="679"/>
      <c r="URG163" s="679"/>
      <c r="URH163" s="679"/>
      <c r="URI163" s="679"/>
      <c r="URJ163" s="679"/>
      <c r="URK163" s="679"/>
      <c r="URL163" s="679"/>
      <c r="URM163" s="679"/>
      <c r="URN163" s="679"/>
      <c r="URO163" s="679"/>
      <c r="URP163" s="679"/>
      <c r="URQ163" s="679"/>
      <c r="URR163" s="679"/>
      <c r="URS163" s="679"/>
      <c r="URT163" s="679"/>
      <c r="URU163" s="679"/>
      <c r="URV163" s="679"/>
      <c r="URW163" s="679"/>
      <c r="URX163" s="679"/>
      <c r="URY163" s="679"/>
      <c r="URZ163" s="679"/>
      <c r="USA163" s="679"/>
      <c r="USB163" s="679"/>
      <c r="USC163" s="679"/>
      <c r="USD163" s="679"/>
      <c r="USE163" s="679"/>
      <c r="USF163" s="679"/>
      <c r="USG163" s="679"/>
      <c r="USH163" s="679"/>
      <c r="USI163" s="679"/>
      <c r="USJ163" s="679"/>
      <c r="USK163" s="679"/>
      <c r="USL163" s="679"/>
      <c r="USM163" s="679"/>
      <c r="USN163" s="679"/>
      <c r="USO163" s="679"/>
      <c r="USP163" s="679"/>
      <c r="USQ163" s="679"/>
      <c r="USR163" s="679"/>
      <c r="USS163" s="679"/>
      <c r="UST163" s="679"/>
      <c r="USU163" s="679"/>
      <c r="USV163" s="679"/>
      <c r="USW163" s="679"/>
      <c r="USX163" s="679"/>
      <c r="USY163" s="679"/>
      <c r="USZ163" s="679"/>
      <c r="UTA163" s="679"/>
      <c r="UTB163" s="679"/>
      <c r="UTC163" s="679"/>
      <c r="UTD163" s="679"/>
      <c r="UTE163" s="679"/>
      <c r="UTF163" s="679"/>
      <c r="UTG163" s="679"/>
      <c r="UTH163" s="679"/>
      <c r="UTI163" s="679"/>
      <c r="UTJ163" s="679"/>
      <c r="UTK163" s="679"/>
      <c r="UTL163" s="679"/>
      <c r="UTM163" s="679"/>
      <c r="UTN163" s="679"/>
      <c r="UTO163" s="679"/>
      <c r="UTP163" s="679"/>
      <c r="UTQ163" s="679"/>
      <c r="UTR163" s="679"/>
      <c r="UTS163" s="679"/>
      <c r="UTT163" s="679"/>
      <c r="UTU163" s="679"/>
      <c r="UTV163" s="679"/>
      <c r="UTW163" s="679"/>
      <c r="UTX163" s="679"/>
      <c r="UTY163" s="679"/>
      <c r="UTZ163" s="679"/>
      <c r="UUA163" s="679"/>
      <c r="UUB163" s="679"/>
      <c r="UUC163" s="679"/>
      <c r="UUD163" s="679"/>
      <c r="UUE163" s="679"/>
      <c r="UUF163" s="679"/>
      <c r="UUG163" s="679"/>
      <c r="UUH163" s="679"/>
      <c r="UUI163" s="679"/>
      <c r="UUJ163" s="679"/>
      <c r="UUK163" s="679"/>
      <c r="UUL163" s="679"/>
      <c r="UUM163" s="679"/>
      <c r="UUN163" s="679"/>
      <c r="UUO163" s="679"/>
      <c r="UUP163" s="679"/>
      <c r="UUQ163" s="679"/>
      <c r="UUR163" s="679"/>
      <c r="UUS163" s="679"/>
      <c r="UUT163" s="679"/>
      <c r="UUU163" s="679"/>
      <c r="UUV163" s="679"/>
      <c r="UUW163" s="679"/>
      <c r="UUX163" s="679"/>
      <c r="UUY163" s="679"/>
      <c r="UUZ163" s="679"/>
      <c r="UVA163" s="679"/>
      <c r="UVB163" s="679"/>
      <c r="UVC163" s="679"/>
      <c r="UVD163" s="679"/>
      <c r="UVE163" s="679"/>
      <c r="UVF163" s="679"/>
      <c r="UVG163" s="679"/>
      <c r="UVH163" s="679"/>
      <c r="UVI163" s="679"/>
      <c r="UVJ163" s="679"/>
      <c r="UVK163" s="679"/>
      <c r="UVL163" s="679"/>
      <c r="UVM163" s="679"/>
      <c r="UVN163" s="679"/>
      <c r="UVO163" s="679"/>
      <c r="UVP163" s="679"/>
      <c r="UVQ163" s="679"/>
      <c r="UVR163" s="679"/>
      <c r="UVS163" s="679"/>
      <c r="UVT163" s="679"/>
      <c r="UVU163" s="679"/>
      <c r="UVV163" s="679"/>
      <c r="UVW163" s="679"/>
      <c r="UVX163" s="679"/>
      <c r="UVY163" s="679"/>
      <c r="UVZ163" s="679"/>
      <c r="UWA163" s="679"/>
      <c r="UWB163" s="679"/>
      <c r="UWC163" s="679"/>
      <c r="UWD163" s="679"/>
      <c r="UWE163" s="679"/>
      <c r="UWF163" s="679"/>
      <c r="UWG163" s="679"/>
      <c r="UWH163" s="679"/>
      <c r="UWI163" s="679"/>
      <c r="UWJ163" s="679"/>
      <c r="UWK163" s="679"/>
      <c r="UWL163" s="679"/>
      <c r="UWM163" s="679"/>
      <c r="UWN163" s="679"/>
      <c r="UWO163" s="679"/>
      <c r="UWP163" s="679"/>
      <c r="UWQ163" s="679"/>
      <c r="UWR163" s="679"/>
      <c r="UWS163" s="679"/>
      <c r="UWT163" s="679"/>
      <c r="UWU163" s="679"/>
      <c r="UWV163" s="679"/>
      <c r="UWW163" s="679"/>
      <c r="UWX163" s="679"/>
      <c r="UWY163" s="679"/>
      <c r="UWZ163" s="679"/>
      <c r="UXA163" s="679"/>
      <c r="UXB163" s="679"/>
      <c r="UXC163" s="679"/>
      <c r="UXD163" s="679"/>
      <c r="UXE163" s="679"/>
      <c r="UXF163" s="679"/>
      <c r="UXG163" s="679"/>
      <c r="UXH163" s="679"/>
      <c r="UXI163" s="679"/>
      <c r="UXJ163" s="679"/>
      <c r="UXK163" s="679"/>
      <c r="UXL163" s="679"/>
      <c r="UXM163" s="679"/>
      <c r="UXN163" s="679"/>
      <c r="UXO163" s="679"/>
      <c r="UXP163" s="679"/>
      <c r="UXQ163" s="679"/>
      <c r="UXR163" s="679"/>
      <c r="UXS163" s="679"/>
      <c r="UXT163" s="679"/>
      <c r="UXU163" s="679"/>
      <c r="UXV163" s="679"/>
      <c r="UXW163" s="679"/>
      <c r="UXX163" s="679"/>
      <c r="UXY163" s="679"/>
      <c r="UXZ163" s="679"/>
      <c r="UYA163" s="679"/>
      <c r="UYB163" s="679"/>
      <c r="UYC163" s="679"/>
      <c r="UYD163" s="679"/>
      <c r="UYE163" s="679"/>
      <c r="UYF163" s="679"/>
      <c r="UYG163" s="679"/>
      <c r="UYH163" s="679"/>
      <c r="UYI163" s="679"/>
      <c r="UYJ163" s="679"/>
      <c r="UYK163" s="679"/>
      <c r="UYL163" s="679"/>
      <c r="UYM163" s="679"/>
      <c r="UYN163" s="679"/>
      <c r="UYO163" s="679"/>
      <c r="UYP163" s="679"/>
      <c r="UYQ163" s="679"/>
      <c r="UYR163" s="679"/>
      <c r="UYS163" s="679"/>
      <c r="UYT163" s="679"/>
      <c r="UYU163" s="679"/>
      <c r="UYV163" s="679"/>
      <c r="UYW163" s="679"/>
      <c r="UYX163" s="679"/>
      <c r="UYY163" s="679"/>
      <c r="UYZ163" s="679"/>
      <c r="UZA163" s="679"/>
      <c r="UZB163" s="679"/>
      <c r="UZC163" s="679"/>
      <c r="UZD163" s="679"/>
      <c r="UZE163" s="679"/>
      <c r="UZF163" s="679"/>
      <c r="UZG163" s="679"/>
      <c r="UZH163" s="679"/>
      <c r="UZI163" s="679"/>
      <c r="UZJ163" s="679"/>
      <c r="UZK163" s="679"/>
      <c r="UZL163" s="679"/>
      <c r="UZM163" s="679"/>
      <c r="UZN163" s="679"/>
      <c r="UZO163" s="679"/>
      <c r="UZP163" s="679"/>
      <c r="UZQ163" s="679"/>
      <c r="UZR163" s="679"/>
      <c r="UZS163" s="679"/>
      <c r="UZT163" s="679"/>
      <c r="UZU163" s="679"/>
      <c r="UZV163" s="679"/>
      <c r="UZW163" s="679"/>
      <c r="UZX163" s="679"/>
      <c r="UZY163" s="679"/>
      <c r="UZZ163" s="679"/>
      <c r="VAA163" s="679"/>
      <c r="VAB163" s="679"/>
      <c r="VAC163" s="679"/>
      <c r="VAD163" s="679"/>
      <c r="VAE163" s="679"/>
      <c r="VAF163" s="679"/>
      <c r="VAG163" s="679"/>
      <c r="VAH163" s="679"/>
      <c r="VAI163" s="679"/>
      <c r="VAJ163" s="679"/>
      <c r="VAK163" s="679"/>
      <c r="VAL163" s="679"/>
      <c r="VAM163" s="679"/>
      <c r="VAN163" s="679"/>
      <c r="VAO163" s="679"/>
      <c r="VAP163" s="679"/>
      <c r="VAQ163" s="679"/>
      <c r="VAR163" s="679"/>
      <c r="VAS163" s="679"/>
      <c r="VAT163" s="679"/>
      <c r="VAU163" s="679"/>
      <c r="VAV163" s="679"/>
      <c r="VAW163" s="679"/>
      <c r="VAX163" s="679"/>
      <c r="VAY163" s="679"/>
      <c r="VAZ163" s="679"/>
      <c r="VBA163" s="679"/>
      <c r="VBB163" s="679"/>
      <c r="VBC163" s="679"/>
      <c r="VBD163" s="679"/>
      <c r="VBE163" s="679"/>
      <c r="VBF163" s="679"/>
      <c r="VBG163" s="679"/>
      <c r="VBH163" s="679"/>
      <c r="VBI163" s="679"/>
      <c r="VBJ163" s="679"/>
      <c r="VBK163" s="679"/>
      <c r="VBL163" s="679"/>
      <c r="VBM163" s="679"/>
      <c r="VBN163" s="679"/>
      <c r="VBO163" s="679"/>
      <c r="VBP163" s="679"/>
      <c r="VBQ163" s="679"/>
      <c r="VBR163" s="679"/>
      <c r="VBS163" s="679"/>
      <c r="VBT163" s="679"/>
      <c r="VBU163" s="679"/>
      <c r="VBV163" s="679"/>
      <c r="VBW163" s="679"/>
      <c r="VBX163" s="679"/>
      <c r="VBY163" s="679"/>
      <c r="VBZ163" s="679"/>
      <c r="VCA163" s="679"/>
      <c r="VCB163" s="679"/>
      <c r="VCC163" s="679"/>
      <c r="VCD163" s="679"/>
      <c r="VCE163" s="679"/>
      <c r="VCF163" s="679"/>
      <c r="VCG163" s="679"/>
      <c r="VCH163" s="679"/>
      <c r="VCI163" s="679"/>
      <c r="VCJ163" s="679"/>
      <c r="VCK163" s="679"/>
      <c r="VCL163" s="679"/>
      <c r="VCM163" s="679"/>
      <c r="VCN163" s="679"/>
      <c r="VCO163" s="679"/>
      <c r="VCP163" s="679"/>
      <c r="VCQ163" s="679"/>
      <c r="VCR163" s="679"/>
      <c r="VCS163" s="679"/>
      <c r="VCT163" s="679"/>
      <c r="VCU163" s="679"/>
      <c r="VCV163" s="679"/>
      <c r="VCW163" s="679"/>
      <c r="VCX163" s="679"/>
      <c r="VCY163" s="679"/>
      <c r="VCZ163" s="679"/>
      <c r="VDA163" s="679"/>
      <c r="VDB163" s="679"/>
      <c r="VDC163" s="679"/>
      <c r="VDD163" s="679"/>
      <c r="VDE163" s="679"/>
      <c r="VDF163" s="679"/>
      <c r="VDG163" s="679"/>
      <c r="VDH163" s="679"/>
      <c r="VDI163" s="679"/>
      <c r="VDJ163" s="679"/>
      <c r="VDK163" s="679"/>
      <c r="VDL163" s="679"/>
      <c r="VDM163" s="679"/>
      <c r="VDN163" s="679"/>
      <c r="VDO163" s="679"/>
      <c r="VDP163" s="679"/>
      <c r="VDQ163" s="679"/>
      <c r="VDR163" s="679"/>
      <c r="VDS163" s="679"/>
      <c r="VDT163" s="679"/>
      <c r="VDU163" s="679"/>
      <c r="VDV163" s="679"/>
      <c r="VDW163" s="679"/>
      <c r="VDX163" s="679"/>
      <c r="VDY163" s="679"/>
      <c r="VDZ163" s="679"/>
      <c r="VEA163" s="679"/>
      <c r="VEB163" s="679"/>
      <c r="VEC163" s="679"/>
      <c r="VED163" s="679"/>
      <c r="VEE163" s="679"/>
      <c r="VEF163" s="679"/>
      <c r="VEG163" s="679"/>
      <c r="VEH163" s="679"/>
      <c r="VEI163" s="679"/>
      <c r="VEJ163" s="679"/>
      <c r="VEK163" s="679"/>
      <c r="VEL163" s="679"/>
      <c r="VEM163" s="679"/>
      <c r="VEN163" s="679"/>
      <c r="VEO163" s="679"/>
      <c r="VEP163" s="679"/>
      <c r="VEQ163" s="679"/>
      <c r="VER163" s="679"/>
      <c r="VES163" s="679"/>
      <c r="VET163" s="679"/>
      <c r="VEU163" s="679"/>
      <c r="VEV163" s="679"/>
      <c r="VEW163" s="679"/>
      <c r="VEX163" s="679"/>
      <c r="VEY163" s="679"/>
      <c r="VEZ163" s="679"/>
      <c r="VFA163" s="679"/>
      <c r="VFB163" s="679"/>
      <c r="VFC163" s="679"/>
      <c r="VFD163" s="679"/>
      <c r="VFE163" s="679"/>
      <c r="VFF163" s="679"/>
      <c r="VFG163" s="679"/>
      <c r="VFH163" s="679"/>
      <c r="VFI163" s="679"/>
      <c r="VFJ163" s="679"/>
      <c r="VFK163" s="679"/>
      <c r="VFL163" s="679"/>
      <c r="VFM163" s="679"/>
      <c r="VFN163" s="679"/>
      <c r="VFO163" s="679"/>
      <c r="VFP163" s="679"/>
      <c r="VFQ163" s="679"/>
      <c r="VFR163" s="679"/>
      <c r="VFS163" s="679"/>
      <c r="VFT163" s="679"/>
      <c r="VFU163" s="679"/>
      <c r="VFV163" s="679"/>
      <c r="VFW163" s="679"/>
      <c r="VFX163" s="679"/>
      <c r="VFY163" s="679"/>
      <c r="VFZ163" s="679"/>
      <c r="VGA163" s="679"/>
      <c r="VGB163" s="679"/>
      <c r="VGC163" s="679"/>
      <c r="VGD163" s="679"/>
      <c r="VGE163" s="679"/>
      <c r="VGF163" s="679"/>
      <c r="VGG163" s="679"/>
      <c r="VGH163" s="679"/>
      <c r="VGI163" s="679"/>
      <c r="VGJ163" s="679"/>
      <c r="VGK163" s="679"/>
      <c r="VGL163" s="679"/>
      <c r="VGM163" s="679"/>
      <c r="VGN163" s="679"/>
      <c r="VGO163" s="679"/>
      <c r="VGP163" s="679"/>
      <c r="VGQ163" s="679"/>
      <c r="VGR163" s="679"/>
      <c r="VGS163" s="679"/>
      <c r="VGT163" s="679"/>
      <c r="VGU163" s="679"/>
      <c r="VGV163" s="679"/>
      <c r="VGW163" s="679"/>
      <c r="VGX163" s="679"/>
      <c r="VGY163" s="679"/>
      <c r="VGZ163" s="679"/>
      <c r="VHA163" s="679"/>
      <c r="VHB163" s="679"/>
      <c r="VHC163" s="679"/>
      <c r="VHD163" s="679"/>
      <c r="VHE163" s="679"/>
      <c r="VHF163" s="679"/>
      <c r="VHG163" s="679"/>
      <c r="VHH163" s="679"/>
      <c r="VHI163" s="679"/>
      <c r="VHJ163" s="679"/>
      <c r="VHK163" s="679"/>
      <c r="VHL163" s="679"/>
      <c r="VHM163" s="679"/>
      <c r="VHN163" s="679"/>
      <c r="VHO163" s="679"/>
      <c r="VHP163" s="679"/>
      <c r="VHQ163" s="679"/>
      <c r="VHR163" s="679"/>
      <c r="VHS163" s="679"/>
      <c r="VHT163" s="679"/>
      <c r="VHU163" s="679"/>
      <c r="VHV163" s="679"/>
      <c r="VHW163" s="679"/>
      <c r="VHX163" s="679"/>
      <c r="VHY163" s="679"/>
      <c r="VHZ163" s="679"/>
      <c r="VIA163" s="679"/>
      <c r="VIB163" s="679"/>
      <c r="VIC163" s="679"/>
      <c r="VID163" s="679"/>
      <c r="VIE163" s="679"/>
      <c r="VIF163" s="679"/>
      <c r="VIG163" s="679"/>
      <c r="VIH163" s="679"/>
      <c r="VII163" s="679"/>
      <c r="VIJ163" s="679"/>
      <c r="VIK163" s="679"/>
      <c r="VIL163" s="679"/>
      <c r="VIM163" s="679"/>
      <c r="VIN163" s="679"/>
      <c r="VIO163" s="679"/>
      <c r="VIP163" s="679"/>
      <c r="VIQ163" s="679"/>
      <c r="VIR163" s="679"/>
      <c r="VIS163" s="679"/>
      <c r="VIT163" s="679"/>
      <c r="VIU163" s="679"/>
      <c r="VIV163" s="679"/>
      <c r="VIW163" s="679"/>
      <c r="VIX163" s="679"/>
      <c r="VIY163" s="679"/>
      <c r="VIZ163" s="679"/>
      <c r="VJA163" s="679"/>
      <c r="VJB163" s="679"/>
      <c r="VJC163" s="679"/>
      <c r="VJD163" s="679"/>
      <c r="VJE163" s="679"/>
      <c r="VJF163" s="679"/>
      <c r="VJG163" s="679"/>
      <c r="VJH163" s="679"/>
      <c r="VJI163" s="679"/>
      <c r="VJJ163" s="679"/>
      <c r="VJK163" s="679"/>
      <c r="VJL163" s="679"/>
      <c r="VJM163" s="679"/>
      <c r="VJN163" s="679"/>
      <c r="VJO163" s="679"/>
      <c r="VJP163" s="679"/>
      <c r="VJQ163" s="679"/>
      <c r="VJR163" s="679"/>
      <c r="VJS163" s="679"/>
      <c r="VJT163" s="679"/>
      <c r="VJU163" s="679"/>
      <c r="VJV163" s="679"/>
      <c r="VJW163" s="679"/>
      <c r="VJX163" s="679"/>
      <c r="VJY163" s="679"/>
      <c r="VJZ163" s="679"/>
      <c r="VKA163" s="679"/>
      <c r="VKB163" s="679"/>
      <c r="VKC163" s="679"/>
      <c r="VKD163" s="679"/>
      <c r="VKE163" s="679"/>
      <c r="VKF163" s="679"/>
      <c r="VKG163" s="679"/>
      <c r="VKH163" s="679"/>
      <c r="VKI163" s="679"/>
      <c r="VKJ163" s="679"/>
      <c r="VKK163" s="679"/>
      <c r="VKL163" s="679"/>
      <c r="VKM163" s="679"/>
      <c r="VKN163" s="679"/>
      <c r="VKO163" s="679"/>
      <c r="VKP163" s="679"/>
      <c r="VKQ163" s="679"/>
      <c r="VKR163" s="679"/>
      <c r="VKS163" s="679"/>
      <c r="VKT163" s="679"/>
      <c r="VKU163" s="679"/>
      <c r="VKV163" s="679"/>
      <c r="VKW163" s="679"/>
      <c r="VKX163" s="679"/>
      <c r="VKY163" s="679"/>
      <c r="VKZ163" s="679"/>
      <c r="VLA163" s="679"/>
      <c r="VLB163" s="679"/>
      <c r="VLC163" s="679"/>
      <c r="VLD163" s="679"/>
      <c r="VLE163" s="679"/>
      <c r="VLF163" s="679"/>
      <c r="VLG163" s="679"/>
      <c r="VLH163" s="679"/>
      <c r="VLI163" s="679"/>
      <c r="VLJ163" s="679"/>
      <c r="VLK163" s="679"/>
      <c r="VLL163" s="679"/>
      <c r="VLM163" s="679"/>
      <c r="VLN163" s="679"/>
      <c r="VLO163" s="679"/>
      <c r="VLP163" s="679"/>
      <c r="VLQ163" s="679"/>
      <c r="VLR163" s="679"/>
      <c r="VLS163" s="679"/>
      <c r="VLT163" s="679"/>
      <c r="VLU163" s="679"/>
      <c r="VLV163" s="679"/>
      <c r="VLW163" s="679"/>
      <c r="VLX163" s="679"/>
      <c r="VLY163" s="679"/>
      <c r="VLZ163" s="679"/>
      <c r="VMA163" s="679"/>
      <c r="VMB163" s="679"/>
      <c r="VMC163" s="679"/>
      <c r="VMD163" s="679"/>
      <c r="VME163" s="679"/>
      <c r="VMF163" s="679"/>
      <c r="VMG163" s="679"/>
      <c r="VMH163" s="679"/>
      <c r="VMI163" s="679"/>
      <c r="VMJ163" s="679"/>
      <c r="VMK163" s="679"/>
      <c r="VML163" s="679"/>
      <c r="VMM163" s="679"/>
      <c r="VMN163" s="679"/>
      <c r="VMO163" s="679"/>
      <c r="VMP163" s="679"/>
      <c r="VMQ163" s="679"/>
      <c r="VMR163" s="679"/>
      <c r="VMS163" s="679"/>
      <c r="VMT163" s="679"/>
      <c r="VMU163" s="679"/>
      <c r="VMV163" s="679"/>
      <c r="VMW163" s="679"/>
      <c r="VMX163" s="679"/>
      <c r="VMY163" s="679"/>
      <c r="VMZ163" s="679"/>
      <c r="VNA163" s="679"/>
      <c r="VNB163" s="679"/>
      <c r="VNC163" s="679"/>
      <c r="VND163" s="679"/>
      <c r="VNE163" s="679"/>
      <c r="VNF163" s="679"/>
      <c r="VNG163" s="679"/>
      <c r="VNH163" s="679"/>
      <c r="VNI163" s="679"/>
      <c r="VNJ163" s="679"/>
      <c r="VNK163" s="679"/>
      <c r="VNL163" s="679"/>
      <c r="VNM163" s="679"/>
      <c r="VNN163" s="679"/>
      <c r="VNO163" s="679"/>
      <c r="VNP163" s="679"/>
      <c r="VNQ163" s="679"/>
      <c r="VNR163" s="679"/>
      <c r="VNS163" s="679"/>
      <c r="VNT163" s="679"/>
      <c r="VNU163" s="679"/>
      <c r="VNV163" s="679"/>
      <c r="VNW163" s="679"/>
      <c r="VNX163" s="679"/>
      <c r="VNY163" s="679"/>
      <c r="VNZ163" s="679"/>
      <c r="VOA163" s="679"/>
      <c r="VOB163" s="679"/>
      <c r="VOC163" s="679"/>
      <c r="VOD163" s="679"/>
      <c r="VOE163" s="679"/>
      <c r="VOF163" s="679"/>
      <c r="VOG163" s="679"/>
      <c r="VOH163" s="679"/>
      <c r="VOI163" s="679"/>
      <c r="VOJ163" s="679"/>
      <c r="VOK163" s="679"/>
      <c r="VOL163" s="679"/>
      <c r="VOM163" s="679"/>
      <c r="VON163" s="679"/>
      <c r="VOO163" s="679"/>
      <c r="VOP163" s="679"/>
      <c r="VOQ163" s="679"/>
      <c r="VOR163" s="679"/>
      <c r="VOS163" s="679"/>
      <c r="VOT163" s="679"/>
      <c r="VOU163" s="679"/>
      <c r="VOV163" s="679"/>
      <c r="VOW163" s="679"/>
      <c r="VOX163" s="679"/>
      <c r="VOY163" s="679"/>
      <c r="VOZ163" s="679"/>
      <c r="VPA163" s="679"/>
      <c r="VPB163" s="679"/>
      <c r="VPC163" s="679"/>
      <c r="VPD163" s="679"/>
      <c r="VPE163" s="679"/>
      <c r="VPF163" s="679"/>
      <c r="VPG163" s="679"/>
      <c r="VPH163" s="679"/>
      <c r="VPI163" s="679"/>
      <c r="VPJ163" s="679"/>
      <c r="VPK163" s="679"/>
      <c r="VPL163" s="679"/>
      <c r="VPM163" s="679"/>
      <c r="VPN163" s="679"/>
      <c r="VPO163" s="679"/>
      <c r="VPP163" s="679"/>
      <c r="VPQ163" s="679"/>
      <c r="VPR163" s="679"/>
      <c r="VPS163" s="679"/>
      <c r="VPT163" s="679"/>
      <c r="VPU163" s="679"/>
      <c r="VPV163" s="679"/>
      <c r="VPW163" s="679"/>
      <c r="VPX163" s="679"/>
      <c r="VPY163" s="679"/>
      <c r="VPZ163" s="679"/>
      <c r="VQA163" s="679"/>
      <c r="VQB163" s="679"/>
      <c r="VQC163" s="679"/>
      <c r="VQD163" s="679"/>
      <c r="VQE163" s="679"/>
      <c r="VQF163" s="679"/>
      <c r="VQG163" s="679"/>
      <c r="VQH163" s="679"/>
      <c r="VQI163" s="679"/>
      <c r="VQJ163" s="679"/>
      <c r="VQK163" s="679"/>
      <c r="VQL163" s="679"/>
      <c r="VQM163" s="679"/>
      <c r="VQN163" s="679"/>
      <c r="VQO163" s="679"/>
      <c r="VQP163" s="679"/>
      <c r="VQQ163" s="679"/>
      <c r="VQR163" s="679"/>
      <c r="VQS163" s="679"/>
      <c r="VQT163" s="679"/>
      <c r="VQU163" s="679"/>
      <c r="VQV163" s="679"/>
      <c r="VQW163" s="679"/>
      <c r="VQX163" s="679"/>
      <c r="VQY163" s="679"/>
      <c r="VQZ163" s="679"/>
      <c r="VRA163" s="679"/>
      <c r="VRB163" s="679"/>
      <c r="VRC163" s="679"/>
      <c r="VRD163" s="679"/>
      <c r="VRE163" s="679"/>
      <c r="VRF163" s="679"/>
      <c r="VRG163" s="679"/>
      <c r="VRH163" s="679"/>
      <c r="VRI163" s="679"/>
      <c r="VRJ163" s="679"/>
      <c r="VRK163" s="679"/>
      <c r="VRL163" s="679"/>
      <c r="VRM163" s="679"/>
      <c r="VRN163" s="679"/>
      <c r="VRO163" s="679"/>
      <c r="VRP163" s="679"/>
      <c r="VRQ163" s="679"/>
      <c r="VRR163" s="679"/>
      <c r="VRS163" s="679"/>
      <c r="VRT163" s="679"/>
      <c r="VRU163" s="679"/>
      <c r="VRV163" s="679"/>
      <c r="VRW163" s="679"/>
      <c r="VRX163" s="679"/>
      <c r="VRY163" s="679"/>
      <c r="VRZ163" s="679"/>
      <c r="VSA163" s="679"/>
      <c r="VSB163" s="679"/>
      <c r="VSC163" s="679"/>
      <c r="VSD163" s="679"/>
      <c r="VSE163" s="679"/>
      <c r="VSF163" s="679"/>
      <c r="VSG163" s="679"/>
      <c r="VSH163" s="679"/>
      <c r="VSI163" s="679"/>
      <c r="VSJ163" s="679"/>
      <c r="VSK163" s="679"/>
      <c r="VSL163" s="679"/>
      <c r="VSM163" s="679"/>
      <c r="VSN163" s="679"/>
      <c r="VSO163" s="679"/>
      <c r="VSP163" s="679"/>
      <c r="VSQ163" s="679"/>
      <c r="VSR163" s="679"/>
      <c r="VSS163" s="679"/>
      <c r="VST163" s="679"/>
      <c r="VSU163" s="679"/>
      <c r="VSV163" s="679"/>
      <c r="VSW163" s="679"/>
      <c r="VSX163" s="679"/>
      <c r="VSY163" s="679"/>
      <c r="VSZ163" s="679"/>
      <c r="VTA163" s="679"/>
      <c r="VTB163" s="679"/>
      <c r="VTC163" s="679"/>
      <c r="VTD163" s="679"/>
      <c r="VTE163" s="679"/>
      <c r="VTF163" s="679"/>
      <c r="VTG163" s="679"/>
      <c r="VTH163" s="679"/>
      <c r="VTI163" s="679"/>
      <c r="VTJ163" s="679"/>
      <c r="VTK163" s="679"/>
      <c r="VTL163" s="679"/>
      <c r="VTM163" s="679"/>
      <c r="VTN163" s="679"/>
      <c r="VTO163" s="679"/>
      <c r="VTP163" s="679"/>
      <c r="VTQ163" s="679"/>
      <c r="VTR163" s="679"/>
      <c r="VTS163" s="679"/>
      <c r="VTT163" s="679"/>
      <c r="VTU163" s="679"/>
      <c r="VTV163" s="679"/>
      <c r="VTW163" s="679"/>
      <c r="VTX163" s="679"/>
      <c r="VTY163" s="679"/>
      <c r="VTZ163" s="679"/>
      <c r="VUA163" s="679"/>
      <c r="VUB163" s="679"/>
      <c r="VUC163" s="679"/>
      <c r="VUD163" s="679"/>
      <c r="VUE163" s="679"/>
      <c r="VUF163" s="679"/>
      <c r="VUG163" s="679"/>
      <c r="VUH163" s="679"/>
      <c r="VUI163" s="679"/>
      <c r="VUJ163" s="679"/>
      <c r="VUK163" s="679"/>
      <c r="VUL163" s="679"/>
      <c r="VUM163" s="679"/>
      <c r="VUN163" s="679"/>
      <c r="VUO163" s="679"/>
      <c r="VUP163" s="679"/>
      <c r="VUQ163" s="679"/>
      <c r="VUR163" s="679"/>
      <c r="VUS163" s="679"/>
      <c r="VUT163" s="679"/>
      <c r="VUU163" s="679"/>
      <c r="VUV163" s="679"/>
      <c r="VUW163" s="679"/>
      <c r="VUX163" s="679"/>
      <c r="VUY163" s="679"/>
      <c r="VUZ163" s="679"/>
      <c r="VVA163" s="679"/>
      <c r="VVB163" s="679"/>
      <c r="VVC163" s="679"/>
      <c r="VVD163" s="679"/>
      <c r="VVE163" s="679"/>
      <c r="VVF163" s="679"/>
      <c r="VVG163" s="679"/>
      <c r="VVH163" s="679"/>
      <c r="VVI163" s="679"/>
      <c r="VVJ163" s="679"/>
      <c r="VVK163" s="679"/>
      <c r="VVL163" s="679"/>
      <c r="VVM163" s="679"/>
      <c r="VVN163" s="679"/>
      <c r="VVO163" s="679"/>
      <c r="VVP163" s="679"/>
      <c r="VVQ163" s="679"/>
      <c r="VVR163" s="679"/>
      <c r="VVS163" s="679"/>
      <c r="VVT163" s="679"/>
      <c r="VVU163" s="679"/>
      <c r="VVV163" s="679"/>
      <c r="VVW163" s="679"/>
      <c r="VVX163" s="679"/>
      <c r="VVY163" s="679"/>
      <c r="VVZ163" s="679"/>
      <c r="VWA163" s="679"/>
      <c r="VWB163" s="679"/>
      <c r="VWC163" s="679"/>
      <c r="VWD163" s="679"/>
      <c r="VWE163" s="679"/>
      <c r="VWF163" s="679"/>
      <c r="VWG163" s="679"/>
      <c r="VWH163" s="679"/>
      <c r="VWI163" s="679"/>
      <c r="VWJ163" s="679"/>
      <c r="VWK163" s="679"/>
      <c r="VWL163" s="679"/>
      <c r="VWM163" s="679"/>
      <c r="VWN163" s="679"/>
      <c r="VWO163" s="679"/>
      <c r="VWP163" s="679"/>
      <c r="VWQ163" s="679"/>
      <c r="VWR163" s="679"/>
      <c r="VWS163" s="679"/>
      <c r="VWT163" s="679"/>
      <c r="VWU163" s="679"/>
      <c r="VWV163" s="679"/>
      <c r="VWW163" s="679"/>
      <c r="VWX163" s="679"/>
      <c r="VWY163" s="679"/>
      <c r="VWZ163" s="679"/>
      <c r="VXA163" s="679"/>
      <c r="VXB163" s="679"/>
      <c r="VXC163" s="679"/>
      <c r="VXD163" s="679"/>
      <c r="VXE163" s="679"/>
      <c r="VXF163" s="679"/>
      <c r="VXG163" s="679"/>
      <c r="VXH163" s="679"/>
      <c r="VXI163" s="679"/>
      <c r="VXJ163" s="679"/>
      <c r="VXK163" s="679"/>
      <c r="VXL163" s="679"/>
      <c r="VXM163" s="679"/>
      <c r="VXN163" s="679"/>
      <c r="VXO163" s="679"/>
      <c r="VXP163" s="679"/>
      <c r="VXQ163" s="679"/>
      <c r="VXR163" s="679"/>
      <c r="VXS163" s="679"/>
      <c r="VXT163" s="679"/>
      <c r="VXU163" s="679"/>
      <c r="VXV163" s="679"/>
      <c r="VXW163" s="679"/>
      <c r="VXX163" s="679"/>
      <c r="VXY163" s="679"/>
      <c r="VXZ163" s="679"/>
      <c r="VYA163" s="679"/>
      <c r="VYB163" s="679"/>
      <c r="VYC163" s="679"/>
      <c r="VYD163" s="679"/>
      <c r="VYE163" s="679"/>
      <c r="VYF163" s="679"/>
      <c r="VYG163" s="679"/>
      <c r="VYH163" s="679"/>
      <c r="VYI163" s="679"/>
      <c r="VYJ163" s="679"/>
      <c r="VYK163" s="679"/>
      <c r="VYL163" s="679"/>
      <c r="VYM163" s="679"/>
      <c r="VYN163" s="679"/>
      <c r="VYO163" s="679"/>
      <c r="VYP163" s="679"/>
      <c r="VYQ163" s="679"/>
      <c r="VYR163" s="679"/>
      <c r="VYS163" s="679"/>
      <c r="VYT163" s="679"/>
      <c r="VYU163" s="679"/>
      <c r="VYV163" s="679"/>
      <c r="VYW163" s="679"/>
      <c r="VYX163" s="679"/>
      <c r="VYY163" s="679"/>
      <c r="VYZ163" s="679"/>
      <c r="VZA163" s="679"/>
      <c r="VZB163" s="679"/>
      <c r="VZC163" s="679"/>
      <c r="VZD163" s="679"/>
      <c r="VZE163" s="679"/>
      <c r="VZF163" s="679"/>
      <c r="VZG163" s="679"/>
      <c r="VZH163" s="679"/>
      <c r="VZI163" s="679"/>
      <c r="VZJ163" s="679"/>
      <c r="VZK163" s="679"/>
      <c r="VZL163" s="679"/>
      <c r="VZM163" s="679"/>
      <c r="VZN163" s="679"/>
      <c r="VZO163" s="679"/>
      <c r="VZP163" s="679"/>
      <c r="VZQ163" s="679"/>
      <c r="VZR163" s="679"/>
      <c r="VZS163" s="679"/>
      <c r="VZT163" s="679"/>
      <c r="VZU163" s="679"/>
      <c r="VZV163" s="679"/>
      <c r="VZW163" s="679"/>
      <c r="VZX163" s="679"/>
      <c r="VZY163" s="679"/>
      <c r="VZZ163" s="679"/>
      <c r="WAA163" s="679"/>
      <c r="WAB163" s="679"/>
      <c r="WAC163" s="679"/>
      <c r="WAD163" s="679"/>
      <c r="WAE163" s="679"/>
      <c r="WAF163" s="679"/>
      <c r="WAG163" s="679"/>
      <c r="WAH163" s="679"/>
      <c r="WAI163" s="679"/>
      <c r="WAJ163" s="679"/>
      <c r="WAK163" s="679"/>
      <c r="WAL163" s="679"/>
      <c r="WAM163" s="679"/>
      <c r="WAN163" s="679"/>
      <c r="WAO163" s="679"/>
      <c r="WAP163" s="679"/>
      <c r="WAQ163" s="679"/>
      <c r="WAR163" s="679"/>
      <c r="WAS163" s="679"/>
      <c r="WAT163" s="679"/>
      <c r="WAU163" s="679"/>
      <c r="WAV163" s="679"/>
      <c r="WAW163" s="679"/>
      <c r="WAX163" s="679"/>
      <c r="WAY163" s="679"/>
      <c r="WAZ163" s="679"/>
      <c r="WBA163" s="679"/>
      <c r="WBB163" s="679"/>
      <c r="WBC163" s="679"/>
      <c r="WBD163" s="679"/>
      <c r="WBE163" s="679"/>
      <c r="WBF163" s="679"/>
      <c r="WBG163" s="679"/>
      <c r="WBH163" s="679"/>
      <c r="WBI163" s="679"/>
      <c r="WBJ163" s="679"/>
      <c r="WBK163" s="679"/>
      <c r="WBL163" s="679"/>
      <c r="WBM163" s="679"/>
      <c r="WBN163" s="679"/>
      <c r="WBO163" s="679"/>
      <c r="WBP163" s="679"/>
      <c r="WBQ163" s="679"/>
      <c r="WBR163" s="679"/>
      <c r="WBS163" s="679"/>
      <c r="WBT163" s="679"/>
      <c r="WBU163" s="679"/>
      <c r="WBV163" s="679"/>
      <c r="WBW163" s="679"/>
      <c r="WBX163" s="679"/>
      <c r="WBY163" s="679"/>
      <c r="WBZ163" s="679"/>
      <c r="WCA163" s="679"/>
      <c r="WCB163" s="679"/>
      <c r="WCC163" s="679"/>
      <c r="WCD163" s="679"/>
      <c r="WCE163" s="679"/>
      <c r="WCF163" s="679"/>
      <c r="WCG163" s="679"/>
      <c r="WCH163" s="679"/>
      <c r="WCI163" s="679"/>
      <c r="WCJ163" s="679"/>
      <c r="WCK163" s="679"/>
      <c r="WCL163" s="679"/>
      <c r="WCM163" s="679"/>
      <c r="WCN163" s="679"/>
      <c r="WCO163" s="679"/>
      <c r="WCP163" s="679"/>
      <c r="WCQ163" s="679"/>
      <c r="WCR163" s="679"/>
      <c r="WCS163" s="679"/>
      <c r="WCT163" s="679"/>
      <c r="WCU163" s="679"/>
      <c r="WCV163" s="679"/>
      <c r="WCW163" s="679"/>
      <c r="WCX163" s="679"/>
      <c r="WCY163" s="679"/>
      <c r="WCZ163" s="679"/>
      <c r="WDA163" s="679"/>
      <c r="WDB163" s="679"/>
      <c r="WDC163" s="679"/>
      <c r="WDD163" s="679"/>
      <c r="WDE163" s="679"/>
      <c r="WDF163" s="679"/>
      <c r="WDG163" s="679"/>
      <c r="WDH163" s="679"/>
      <c r="WDI163" s="679"/>
      <c r="WDJ163" s="679"/>
      <c r="WDK163" s="679"/>
      <c r="WDL163" s="679"/>
      <c r="WDM163" s="679"/>
      <c r="WDN163" s="679"/>
      <c r="WDO163" s="679"/>
      <c r="WDP163" s="679"/>
      <c r="WDQ163" s="679"/>
      <c r="WDR163" s="679"/>
      <c r="WDS163" s="679"/>
      <c r="WDT163" s="679"/>
      <c r="WDU163" s="679"/>
      <c r="WDV163" s="679"/>
      <c r="WDW163" s="679"/>
      <c r="WDX163" s="679"/>
      <c r="WDY163" s="679"/>
      <c r="WDZ163" s="679"/>
      <c r="WEA163" s="679"/>
      <c r="WEB163" s="679"/>
      <c r="WEC163" s="679"/>
      <c r="WED163" s="679"/>
      <c r="WEE163" s="679"/>
      <c r="WEF163" s="679"/>
      <c r="WEG163" s="679"/>
      <c r="WEH163" s="679"/>
      <c r="WEI163" s="679"/>
      <c r="WEJ163" s="679"/>
      <c r="WEK163" s="679"/>
      <c r="WEL163" s="679"/>
      <c r="WEM163" s="679"/>
      <c r="WEN163" s="679"/>
      <c r="WEO163" s="679"/>
      <c r="WEP163" s="679"/>
      <c r="WEQ163" s="679"/>
      <c r="WER163" s="679"/>
      <c r="WES163" s="679"/>
      <c r="WET163" s="679"/>
      <c r="WEU163" s="679"/>
      <c r="WEV163" s="679"/>
      <c r="WEW163" s="679"/>
      <c r="WEX163" s="679"/>
      <c r="WEY163" s="679"/>
      <c r="WEZ163" s="679"/>
      <c r="WFA163" s="679"/>
      <c r="WFB163" s="679"/>
      <c r="WFC163" s="679"/>
      <c r="WFD163" s="679"/>
      <c r="WFE163" s="679"/>
      <c r="WFF163" s="679"/>
      <c r="WFG163" s="679"/>
      <c r="WFH163" s="679"/>
      <c r="WFI163" s="679"/>
      <c r="WFJ163" s="679"/>
      <c r="WFK163" s="679"/>
      <c r="WFL163" s="679"/>
      <c r="WFM163" s="679"/>
      <c r="WFN163" s="679"/>
      <c r="WFO163" s="679"/>
      <c r="WFP163" s="679"/>
      <c r="WFQ163" s="679"/>
      <c r="WFR163" s="679"/>
      <c r="WFS163" s="679"/>
      <c r="WFT163" s="679"/>
      <c r="WFU163" s="679"/>
      <c r="WFV163" s="679"/>
      <c r="WFW163" s="679"/>
      <c r="WFX163" s="679"/>
      <c r="WFY163" s="679"/>
      <c r="WFZ163" s="679"/>
      <c r="WGA163" s="679"/>
      <c r="WGB163" s="679"/>
      <c r="WGC163" s="679"/>
      <c r="WGD163" s="679"/>
      <c r="WGE163" s="679"/>
      <c r="WGF163" s="679"/>
      <c r="WGG163" s="679"/>
      <c r="WGH163" s="679"/>
      <c r="WGI163" s="679"/>
      <c r="WGJ163" s="679"/>
      <c r="WGK163" s="679"/>
      <c r="WGL163" s="679"/>
      <c r="WGM163" s="679"/>
      <c r="WGN163" s="679"/>
      <c r="WGO163" s="679"/>
      <c r="WGP163" s="679"/>
      <c r="WGQ163" s="679"/>
      <c r="WGR163" s="679"/>
      <c r="WGS163" s="679"/>
      <c r="WGT163" s="679"/>
      <c r="WGU163" s="679"/>
      <c r="WGV163" s="679"/>
      <c r="WGW163" s="679"/>
      <c r="WGX163" s="679"/>
      <c r="WGY163" s="679"/>
      <c r="WGZ163" s="679"/>
      <c r="WHA163" s="679"/>
      <c r="WHB163" s="679"/>
      <c r="WHC163" s="679"/>
      <c r="WHD163" s="679"/>
      <c r="WHE163" s="679"/>
      <c r="WHF163" s="679"/>
      <c r="WHG163" s="679"/>
      <c r="WHH163" s="679"/>
      <c r="WHI163" s="679"/>
      <c r="WHJ163" s="679"/>
      <c r="WHK163" s="679"/>
      <c r="WHL163" s="679"/>
      <c r="WHM163" s="679"/>
      <c r="WHN163" s="679"/>
      <c r="WHO163" s="679"/>
      <c r="WHP163" s="679"/>
      <c r="WHQ163" s="679"/>
      <c r="WHR163" s="679"/>
      <c r="WHS163" s="679"/>
      <c r="WHT163" s="679"/>
      <c r="WHU163" s="679"/>
      <c r="WHV163" s="679"/>
      <c r="WHW163" s="679"/>
      <c r="WHX163" s="679"/>
      <c r="WHY163" s="679"/>
      <c r="WHZ163" s="679"/>
      <c r="WIA163" s="679"/>
      <c r="WIB163" s="679"/>
      <c r="WIC163" s="679"/>
      <c r="WID163" s="679"/>
      <c r="WIE163" s="679"/>
      <c r="WIF163" s="679"/>
      <c r="WIG163" s="679"/>
      <c r="WIH163" s="679"/>
      <c r="WII163" s="679"/>
      <c r="WIJ163" s="679"/>
      <c r="WIK163" s="679"/>
      <c r="WIL163" s="679"/>
      <c r="WIM163" s="679"/>
      <c r="WIN163" s="679"/>
      <c r="WIO163" s="679"/>
      <c r="WIP163" s="679"/>
      <c r="WIQ163" s="679"/>
      <c r="WIR163" s="679"/>
      <c r="WIS163" s="679"/>
      <c r="WIT163" s="679"/>
      <c r="WIU163" s="679"/>
      <c r="WIV163" s="679"/>
      <c r="WIW163" s="679"/>
      <c r="WIX163" s="679"/>
      <c r="WIY163" s="679"/>
      <c r="WIZ163" s="679"/>
      <c r="WJA163" s="679"/>
      <c r="WJB163" s="679"/>
      <c r="WJC163" s="679"/>
      <c r="WJD163" s="679"/>
      <c r="WJE163" s="679"/>
      <c r="WJF163" s="679"/>
      <c r="WJG163" s="679"/>
      <c r="WJH163" s="679"/>
      <c r="WJI163" s="679"/>
      <c r="WJJ163" s="679"/>
      <c r="WJK163" s="679"/>
      <c r="WJL163" s="679"/>
      <c r="WJM163" s="679"/>
      <c r="WJN163" s="679"/>
      <c r="WJO163" s="679"/>
      <c r="WJP163" s="679"/>
      <c r="WJQ163" s="679"/>
      <c r="WJR163" s="679"/>
      <c r="WJS163" s="679"/>
      <c r="WJT163" s="679"/>
      <c r="WJU163" s="679"/>
      <c r="WJV163" s="679"/>
      <c r="WJW163" s="679"/>
      <c r="WJX163" s="679"/>
      <c r="WJY163" s="679"/>
      <c r="WJZ163" s="679"/>
      <c r="WKA163" s="679"/>
      <c r="WKB163" s="679"/>
      <c r="WKC163" s="679"/>
      <c r="WKD163" s="679"/>
      <c r="WKE163" s="679"/>
      <c r="WKF163" s="679"/>
      <c r="WKG163" s="679"/>
      <c r="WKH163" s="679"/>
      <c r="WKI163" s="679"/>
      <c r="WKJ163" s="679"/>
      <c r="WKK163" s="679"/>
      <c r="WKL163" s="679"/>
      <c r="WKM163" s="679"/>
      <c r="WKN163" s="679"/>
      <c r="WKO163" s="679"/>
      <c r="WKP163" s="679"/>
      <c r="WKQ163" s="679"/>
      <c r="WKR163" s="679"/>
      <c r="WKS163" s="679"/>
      <c r="WKT163" s="679"/>
      <c r="WKU163" s="679"/>
      <c r="WKV163" s="679"/>
      <c r="WKW163" s="679"/>
      <c r="WKX163" s="679"/>
      <c r="WKY163" s="679"/>
      <c r="WKZ163" s="679"/>
      <c r="WLA163" s="679"/>
      <c r="WLB163" s="679"/>
      <c r="WLC163" s="679"/>
      <c r="WLD163" s="679"/>
      <c r="WLE163" s="679"/>
      <c r="WLF163" s="679"/>
      <c r="WLG163" s="679"/>
      <c r="WLH163" s="679"/>
      <c r="WLI163" s="679"/>
      <c r="WLJ163" s="679"/>
      <c r="WLK163" s="679"/>
      <c r="WLL163" s="679"/>
      <c r="WLM163" s="679"/>
      <c r="WLN163" s="679"/>
      <c r="WLO163" s="679"/>
      <c r="WLP163" s="679"/>
      <c r="WLQ163" s="679"/>
      <c r="WLR163" s="679"/>
      <c r="WLS163" s="679"/>
      <c r="WLT163" s="679"/>
      <c r="WLU163" s="679"/>
      <c r="WLV163" s="679"/>
      <c r="WLW163" s="679"/>
      <c r="WLX163" s="679"/>
      <c r="WLY163" s="679"/>
      <c r="WLZ163" s="679"/>
      <c r="WMA163" s="679"/>
      <c r="WMB163" s="679"/>
      <c r="WMC163" s="679"/>
      <c r="WMD163" s="679"/>
      <c r="WME163" s="679"/>
      <c r="WMF163" s="679"/>
      <c r="WMG163" s="679"/>
      <c r="WMH163" s="679"/>
      <c r="WMI163" s="679"/>
      <c r="WMJ163" s="679"/>
      <c r="WMK163" s="679"/>
      <c r="WML163" s="679"/>
      <c r="WMM163" s="679"/>
      <c r="WMN163" s="679"/>
      <c r="WMO163" s="679"/>
      <c r="WMP163" s="679"/>
      <c r="WMQ163" s="679"/>
      <c r="WMR163" s="679"/>
      <c r="WMS163" s="679"/>
      <c r="WMT163" s="679"/>
      <c r="WMU163" s="679"/>
      <c r="WMV163" s="679"/>
      <c r="WMW163" s="679"/>
      <c r="WMX163" s="679"/>
      <c r="WMY163" s="679"/>
      <c r="WMZ163" s="679"/>
      <c r="WNA163" s="679"/>
      <c r="WNB163" s="679"/>
      <c r="WNC163" s="679"/>
      <c r="WND163" s="679"/>
      <c r="WNE163" s="679"/>
      <c r="WNF163" s="679"/>
      <c r="WNG163" s="679"/>
      <c r="WNH163" s="679"/>
      <c r="WNI163" s="679"/>
      <c r="WNJ163" s="679"/>
      <c r="WNK163" s="679"/>
      <c r="WNL163" s="679"/>
      <c r="WNM163" s="679"/>
      <c r="WNN163" s="679"/>
      <c r="WNO163" s="679"/>
      <c r="WNP163" s="679"/>
      <c r="WNQ163" s="679"/>
      <c r="WNR163" s="679"/>
      <c r="WNS163" s="679"/>
      <c r="WNT163" s="679"/>
      <c r="WNU163" s="679"/>
      <c r="WNV163" s="679"/>
      <c r="WNW163" s="679"/>
      <c r="WNX163" s="679"/>
      <c r="WNY163" s="679"/>
      <c r="WNZ163" s="679"/>
      <c r="WOA163" s="679"/>
      <c r="WOB163" s="679"/>
      <c r="WOC163" s="679"/>
      <c r="WOD163" s="679"/>
      <c r="WOE163" s="679"/>
      <c r="WOF163" s="679"/>
      <c r="WOG163" s="679"/>
      <c r="WOH163" s="679"/>
      <c r="WOI163" s="679"/>
      <c r="WOJ163" s="679"/>
      <c r="WOK163" s="679"/>
      <c r="WOL163" s="679"/>
      <c r="WOM163" s="679"/>
      <c r="WON163" s="679"/>
      <c r="WOO163" s="679"/>
      <c r="WOP163" s="679"/>
      <c r="WOQ163" s="679"/>
      <c r="WOR163" s="679"/>
      <c r="WOS163" s="679"/>
      <c r="WOT163" s="679"/>
      <c r="WOU163" s="679"/>
      <c r="WOV163" s="679"/>
      <c r="WOW163" s="679"/>
      <c r="WOX163" s="679"/>
      <c r="WOY163" s="679"/>
      <c r="WOZ163" s="679"/>
      <c r="WPA163" s="679"/>
      <c r="WPB163" s="679"/>
      <c r="WPC163" s="679"/>
      <c r="WPD163" s="679"/>
      <c r="WPE163" s="679"/>
      <c r="WPF163" s="679"/>
      <c r="WPG163" s="679"/>
      <c r="WPH163" s="679"/>
      <c r="WPI163" s="679"/>
      <c r="WPJ163" s="679"/>
      <c r="WPK163" s="679"/>
      <c r="WPL163" s="679"/>
      <c r="WPM163" s="679"/>
      <c r="WPN163" s="679"/>
      <c r="WPO163" s="679"/>
      <c r="WPP163" s="679"/>
      <c r="WPQ163" s="679"/>
      <c r="WPR163" s="679"/>
      <c r="WPS163" s="679"/>
      <c r="WPT163" s="679"/>
      <c r="WPU163" s="679"/>
      <c r="WPV163" s="679"/>
      <c r="WPW163" s="679"/>
      <c r="WPX163" s="679"/>
      <c r="WPY163" s="679"/>
      <c r="WPZ163" s="679"/>
      <c r="WQA163" s="679"/>
      <c r="WQB163" s="679"/>
      <c r="WQC163" s="679"/>
      <c r="WQD163" s="679"/>
      <c r="WQE163" s="679"/>
      <c r="WQF163" s="679"/>
      <c r="WQG163" s="679"/>
      <c r="WQH163" s="679"/>
      <c r="WQI163" s="679"/>
      <c r="WQJ163" s="679"/>
      <c r="WQK163" s="679"/>
      <c r="WQL163" s="679"/>
      <c r="WQM163" s="679"/>
      <c r="WQN163" s="679"/>
      <c r="WQO163" s="679"/>
      <c r="WQP163" s="679"/>
      <c r="WQQ163" s="679"/>
      <c r="WQR163" s="679"/>
      <c r="WQS163" s="679"/>
      <c r="WQT163" s="679"/>
      <c r="WQU163" s="679"/>
      <c r="WQV163" s="679"/>
      <c r="WQW163" s="679"/>
      <c r="WQX163" s="679"/>
      <c r="WQY163" s="679"/>
      <c r="WQZ163" s="679"/>
      <c r="WRA163" s="679"/>
      <c r="WRB163" s="679"/>
      <c r="WRC163" s="679"/>
      <c r="WRD163" s="679"/>
      <c r="WRE163" s="679"/>
      <c r="WRF163" s="679"/>
      <c r="WRG163" s="679"/>
      <c r="WRH163" s="679"/>
      <c r="WRI163" s="679"/>
      <c r="WRJ163" s="679"/>
      <c r="WRK163" s="679"/>
      <c r="WRL163" s="679"/>
      <c r="WRM163" s="679"/>
      <c r="WRN163" s="679"/>
      <c r="WRO163" s="679"/>
      <c r="WRP163" s="679"/>
      <c r="WRQ163" s="679"/>
      <c r="WRR163" s="679"/>
      <c r="WRS163" s="679"/>
      <c r="WRT163" s="679"/>
      <c r="WRU163" s="679"/>
      <c r="WRV163" s="679"/>
      <c r="WRW163" s="679"/>
      <c r="WRX163" s="679"/>
      <c r="WRY163" s="679"/>
      <c r="WRZ163" s="679"/>
      <c r="WSA163" s="679"/>
      <c r="WSB163" s="679"/>
      <c r="WSC163" s="679"/>
      <c r="WSD163" s="679"/>
      <c r="WSE163" s="679"/>
      <c r="WSF163" s="679"/>
      <c r="WSG163" s="679"/>
      <c r="WSH163" s="679"/>
      <c r="WSI163" s="679"/>
      <c r="WSJ163" s="679"/>
      <c r="WSK163" s="679"/>
      <c r="WSL163" s="679"/>
      <c r="WSM163" s="679"/>
      <c r="WSN163" s="679"/>
      <c r="WSO163" s="679"/>
      <c r="WSP163" s="679"/>
      <c r="WSQ163" s="679"/>
      <c r="WSR163" s="679"/>
      <c r="WSS163" s="679"/>
      <c r="WST163" s="679"/>
      <c r="WSU163" s="679"/>
      <c r="WSV163" s="679"/>
      <c r="WSW163" s="679"/>
      <c r="WSX163" s="679"/>
      <c r="WSY163" s="679"/>
      <c r="WSZ163" s="679"/>
      <c r="WTA163" s="679"/>
      <c r="WTB163" s="679"/>
      <c r="WTC163" s="679"/>
      <c r="WTD163" s="679"/>
      <c r="WTE163" s="679"/>
      <c r="WTF163" s="679"/>
      <c r="WTG163" s="679"/>
      <c r="WTH163" s="679"/>
      <c r="WTI163" s="679"/>
      <c r="WTJ163" s="679"/>
      <c r="WTK163" s="679"/>
      <c r="WTL163" s="679"/>
      <c r="WTM163" s="679"/>
      <c r="WTN163" s="679"/>
      <c r="WTO163" s="679"/>
      <c r="WTP163" s="679"/>
      <c r="WTQ163" s="679"/>
      <c r="WTR163" s="679"/>
      <c r="WTS163" s="679"/>
      <c r="WTT163" s="679"/>
      <c r="WTU163" s="679"/>
      <c r="WTV163" s="679"/>
      <c r="WTW163" s="679"/>
      <c r="WTX163" s="679"/>
      <c r="WTY163" s="679"/>
      <c r="WTZ163" s="679"/>
      <c r="WUA163" s="679"/>
      <c r="WUB163" s="679"/>
      <c r="WUC163" s="679"/>
      <c r="WUD163" s="679"/>
      <c r="WUE163" s="679"/>
      <c r="WUF163" s="679"/>
      <c r="WUG163" s="679"/>
      <c r="WUH163" s="679"/>
      <c r="WUI163" s="679"/>
      <c r="WUJ163" s="679"/>
      <c r="WUK163" s="679"/>
      <c r="WUL163" s="679"/>
      <c r="WUM163" s="679"/>
      <c r="WUN163" s="679"/>
      <c r="WUO163" s="679"/>
      <c r="WUP163" s="679"/>
      <c r="WUQ163" s="679"/>
      <c r="WUR163" s="679"/>
      <c r="WUS163" s="679"/>
      <c r="WUT163" s="679"/>
      <c r="WUU163" s="679"/>
      <c r="WUV163" s="679"/>
      <c r="WUW163" s="679"/>
      <c r="WUX163" s="679"/>
      <c r="WUY163" s="679"/>
      <c r="WUZ163" s="679"/>
      <c r="WVA163" s="679"/>
      <c r="WVB163" s="679"/>
      <c r="WVC163" s="679"/>
      <c r="WVD163" s="679"/>
      <c r="WVE163" s="679"/>
      <c r="WVF163" s="679"/>
      <c r="WVG163" s="679"/>
      <c r="WVH163" s="679"/>
      <c r="WVI163" s="679"/>
      <c r="WVJ163" s="679"/>
      <c r="WVK163" s="679"/>
      <c r="WVL163" s="679"/>
      <c r="WVM163" s="679"/>
      <c r="WVN163" s="679"/>
      <c r="WVO163" s="679"/>
      <c r="WVP163" s="679"/>
      <c r="WVQ163" s="679"/>
      <c r="WVR163" s="679"/>
      <c r="WVS163" s="679"/>
    </row>
    <row r="164" spans="1:16139">
      <c r="A164" s="679" t="s">
        <v>970</v>
      </c>
      <c r="B164" s="679" t="s">
        <v>1157</v>
      </c>
      <c r="C164" s="679" t="s">
        <v>1158</v>
      </c>
      <c r="D164" s="679" t="s">
        <v>1147</v>
      </c>
      <c r="E164" s="679" t="s">
        <v>792</v>
      </c>
      <c r="F164" s="679" t="s">
        <v>818</v>
      </c>
      <c r="G164" s="679" t="s">
        <v>1136</v>
      </c>
      <c r="H164" s="679">
        <v>60094</v>
      </c>
      <c r="I164" s="679" t="s">
        <v>1148</v>
      </c>
      <c r="J164" s="679">
        <v>78</v>
      </c>
    </row>
    <row r="165" spans="1:16139">
      <c r="A165" s="679" t="s">
        <v>970</v>
      </c>
      <c r="B165" s="679" t="s">
        <v>1157</v>
      </c>
      <c r="C165" s="679" t="s">
        <v>1159</v>
      </c>
      <c r="D165" s="679" t="s">
        <v>1147</v>
      </c>
      <c r="E165" s="679" t="s">
        <v>792</v>
      </c>
      <c r="F165" s="679" t="s">
        <v>818</v>
      </c>
      <c r="G165" s="679" t="s">
        <v>1136</v>
      </c>
      <c r="J165" s="679">
        <v>78</v>
      </c>
    </row>
    <row r="166" spans="1:16139">
      <c r="A166" s="679" t="s">
        <v>815</v>
      </c>
      <c r="B166" s="679">
        <v>15363</v>
      </c>
      <c r="C166" s="679" t="s">
        <v>828</v>
      </c>
      <c r="D166" s="679" t="s">
        <v>829</v>
      </c>
      <c r="E166" s="679" t="s">
        <v>792</v>
      </c>
      <c r="F166" s="679" t="s">
        <v>830</v>
      </c>
      <c r="G166" s="679" t="s">
        <v>1160</v>
      </c>
      <c r="H166" s="679">
        <v>53736</v>
      </c>
      <c r="I166" s="679" t="s">
        <v>1124</v>
      </c>
      <c r="J166" s="679">
        <v>78</v>
      </c>
    </row>
    <row r="167" spans="1:16139">
      <c r="A167" s="679" t="s">
        <v>815</v>
      </c>
      <c r="B167" s="679">
        <v>15364</v>
      </c>
      <c r="C167" s="679" t="s">
        <v>832</v>
      </c>
      <c r="D167" s="679" t="s">
        <v>829</v>
      </c>
      <c r="E167" s="679" t="s">
        <v>792</v>
      </c>
      <c r="F167" s="679" t="s">
        <v>830</v>
      </c>
      <c r="G167" s="679" t="s">
        <v>1160</v>
      </c>
      <c r="H167" s="679">
        <v>53737</v>
      </c>
      <c r="I167" s="679" t="s">
        <v>1124</v>
      </c>
      <c r="J167" s="679">
        <v>78</v>
      </c>
    </row>
    <row r="168" spans="1:16139">
      <c r="A168" s="679" t="s">
        <v>815</v>
      </c>
      <c r="B168" s="679">
        <v>15365</v>
      </c>
      <c r="C168" s="679" t="s">
        <v>833</v>
      </c>
      <c r="D168" s="679" t="s">
        <v>829</v>
      </c>
      <c r="E168" s="679" t="s">
        <v>792</v>
      </c>
      <c r="F168" s="679" t="s">
        <v>830</v>
      </c>
      <c r="G168" s="679" t="s">
        <v>1160</v>
      </c>
      <c r="H168" s="679">
        <v>53738</v>
      </c>
      <c r="I168" s="679" t="s">
        <v>1124</v>
      </c>
      <c r="J168" s="679">
        <v>78</v>
      </c>
    </row>
    <row r="169" spans="1:16139">
      <c r="A169" s="679" t="s">
        <v>815</v>
      </c>
      <c r="B169" s="679">
        <v>15366</v>
      </c>
      <c r="C169" s="679" t="s">
        <v>834</v>
      </c>
      <c r="D169" s="679" t="s">
        <v>829</v>
      </c>
      <c r="E169" s="679" t="s">
        <v>792</v>
      </c>
      <c r="F169" s="679" t="s">
        <v>830</v>
      </c>
      <c r="G169" s="679" t="s">
        <v>1160</v>
      </c>
      <c r="H169" s="679">
        <v>53739</v>
      </c>
      <c r="I169" s="679" t="s">
        <v>1124</v>
      </c>
      <c r="J169" s="679">
        <v>78</v>
      </c>
    </row>
    <row r="170" spans="1:16139">
      <c r="A170" s="679" t="s">
        <v>815</v>
      </c>
      <c r="B170" s="679">
        <v>15367</v>
      </c>
      <c r="C170" s="679" t="s">
        <v>837</v>
      </c>
      <c r="D170" s="679" t="s">
        <v>829</v>
      </c>
      <c r="E170" s="679" t="s">
        <v>792</v>
      </c>
      <c r="F170" s="679" t="s">
        <v>830</v>
      </c>
      <c r="G170" s="679" t="s">
        <v>1160</v>
      </c>
      <c r="H170" s="679">
        <v>53740</v>
      </c>
      <c r="I170" s="679" t="s">
        <v>1124</v>
      </c>
      <c r="J170" s="679">
        <v>78</v>
      </c>
    </row>
    <row r="171" spans="1:16139">
      <c r="A171" s="679" t="s">
        <v>815</v>
      </c>
      <c r="B171" s="679">
        <v>15368</v>
      </c>
      <c r="C171" s="679" t="s">
        <v>838</v>
      </c>
      <c r="D171" s="679" t="s">
        <v>829</v>
      </c>
      <c r="E171" s="679" t="s">
        <v>792</v>
      </c>
      <c r="F171" s="679" t="s">
        <v>830</v>
      </c>
      <c r="G171" s="679" t="s">
        <v>1160</v>
      </c>
      <c r="H171" s="679">
        <v>53741</v>
      </c>
      <c r="I171" s="679" t="s">
        <v>1124</v>
      </c>
      <c r="J171" s="679">
        <v>78</v>
      </c>
    </row>
    <row r="172" spans="1:16139">
      <c r="A172" s="679" t="s">
        <v>815</v>
      </c>
      <c r="B172" s="679">
        <v>15369</v>
      </c>
      <c r="C172" s="679" t="s">
        <v>839</v>
      </c>
      <c r="D172" s="679" t="s">
        <v>829</v>
      </c>
      <c r="E172" s="679" t="s">
        <v>792</v>
      </c>
      <c r="F172" s="679" t="s">
        <v>830</v>
      </c>
      <c r="G172" s="679" t="s">
        <v>1160</v>
      </c>
      <c r="H172" s="679">
        <v>53742</v>
      </c>
      <c r="I172" s="679" t="s">
        <v>1124</v>
      </c>
      <c r="J172" s="679">
        <v>78</v>
      </c>
    </row>
    <row r="173" spans="1:16139">
      <c r="A173" s="679" t="s">
        <v>815</v>
      </c>
      <c r="B173" s="679">
        <v>15370</v>
      </c>
      <c r="C173" s="679" t="s">
        <v>840</v>
      </c>
      <c r="D173" s="679" t="s">
        <v>829</v>
      </c>
      <c r="E173" s="679" t="s">
        <v>792</v>
      </c>
      <c r="F173" s="679" t="s">
        <v>830</v>
      </c>
      <c r="G173" s="679" t="s">
        <v>1160</v>
      </c>
      <c r="H173" s="679">
        <v>53743</v>
      </c>
      <c r="I173" s="679" t="s">
        <v>1124</v>
      </c>
      <c r="J173" s="679">
        <v>78</v>
      </c>
    </row>
    <row r="174" spans="1:16139">
      <c r="A174" s="679" t="s">
        <v>815</v>
      </c>
      <c r="B174" s="679">
        <v>15371</v>
      </c>
      <c r="C174" s="679" t="s">
        <v>816</v>
      </c>
      <c r="D174" s="679" t="s">
        <v>1102</v>
      </c>
      <c r="E174" s="679" t="s">
        <v>792</v>
      </c>
      <c r="F174" s="679" t="s">
        <v>818</v>
      </c>
      <c r="G174" s="679" t="s">
        <v>1160</v>
      </c>
      <c r="H174" s="679">
        <v>53662</v>
      </c>
      <c r="I174" s="679" t="s">
        <v>1161</v>
      </c>
      <c r="J174" s="679">
        <v>78</v>
      </c>
    </row>
    <row r="175" spans="1:16139">
      <c r="A175" s="679" t="s">
        <v>815</v>
      </c>
      <c r="B175" s="679">
        <v>15372</v>
      </c>
      <c r="C175" s="679" t="s">
        <v>821</v>
      </c>
      <c r="D175" s="679" t="s">
        <v>1102</v>
      </c>
      <c r="E175" s="679" t="s">
        <v>792</v>
      </c>
      <c r="F175" s="679" t="s">
        <v>818</v>
      </c>
      <c r="G175" s="679" t="s">
        <v>1160</v>
      </c>
      <c r="H175" s="679">
        <v>53706</v>
      </c>
      <c r="I175" s="679" t="s">
        <v>1161</v>
      </c>
      <c r="J175" s="679">
        <v>78</v>
      </c>
    </row>
    <row r="176" spans="1:16139">
      <c r="A176" s="679" t="s">
        <v>815</v>
      </c>
      <c r="B176" s="679">
        <v>15373</v>
      </c>
      <c r="C176" s="679" t="s">
        <v>822</v>
      </c>
      <c r="D176" s="679" t="s">
        <v>1102</v>
      </c>
      <c r="E176" s="679" t="s">
        <v>792</v>
      </c>
      <c r="F176" s="679" t="s">
        <v>818</v>
      </c>
      <c r="G176" s="679" t="s">
        <v>1160</v>
      </c>
      <c r="H176" s="679">
        <v>53707</v>
      </c>
      <c r="I176" s="679" t="s">
        <v>1161</v>
      </c>
      <c r="J176" s="679">
        <v>78</v>
      </c>
    </row>
    <row r="177" spans="1:11">
      <c r="A177" s="679" t="s">
        <v>815</v>
      </c>
      <c r="B177" s="679">
        <v>15374</v>
      </c>
      <c r="C177" s="679" t="s">
        <v>823</v>
      </c>
      <c r="D177" s="679" t="s">
        <v>1102</v>
      </c>
      <c r="E177" s="679" t="s">
        <v>792</v>
      </c>
      <c r="F177" s="679" t="s">
        <v>818</v>
      </c>
      <c r="G177" s="679" t="s">
        <v>1160</v>
      </c>
      <c r="H177" s="679">
        <v>53708</v>
      </c>
      <c r="I177" s="679" t="s">
        <v>1161</v>
      </c>
      <c r="J177" s="679">
        <v>78</v>
      </c>
    </row>
    <row r="178" spans="1:11">
      <c r="A178" s="679" t="s">
        <v>815</v>
      </c>
      <c r="B178" s="679">
        <v>15375</v>
      </c>
      <c r="C178" s="679" t="s">
        <v>824</v>
      </c>
      <c r="D178" s="679" t="s">
        <v>1102</v>
      </c>
      <c r="E178" s="679" t="s">
        <v>792</v>
      </c>
      <c r="F178" s="679" t="s">
        <v>818</v>
      </c>
      <c r="G178" s="679" t="s">
        <v>1160</v>
      </c>
      <c r="H178" s="679">
        <v>53709</v>
      </c>
      <c r="I178" s="679" t="s">
        <v>1161</v>
      </c>
      <c r="J178" s="679">
        <v>78</v>
      </c>
    </row>
    <row r="179" spans="1:11">
      <c r="A179" s="679" t="s">
        <v>815</v>
      </c>
      <c r="B179" s="679">
        <v>15376</v>
      </c>
      <c r="C179" s="679" t="s">
        <v>825</v>
      </c>
      <c r="D179" s="679" t="s">
        <v>1102</v>
      </c>
      <c r="E179" s="679" t="s">
        <v>792</v>
      </c>
      <c r="F179" s="679" t="s">
        <v>818</v>
      </c>
      <c r="G179" s="679" t="s">
        <v>1160</v>
      </c>
      <c r="H179" s="679">
        <v>53711</v>
      </c>
      <c r="I179" s="679" t="s">
        <v>1161</v>
      </c>
      <c r="J179" s="679">
        <v>78</v>
      </c>
    </row>
    <row r="180" spans="1:11">
      <c r="A180" s="679" t="s">
        <v>815</v>
      </c>
      <c r="B180" s="679">
        <v>15377</v>
      </c>
      <c r="C180" s="679" t="s">
        <v>826</v>
      </c>
      <c r="D180" s="679" t="s">
        <v>1102</v>
      </c>
      <c r="E180" s="679" t="s">
        <v>792</v>
      </c>
      <c r="F180" s="679" t="s">
        <v>818</v>
      </c>
      <c r="G180" s="679" t="s">
        <v>1160</v>
      </c>
      <c r="H180" s="679">
        <v>53712</v>
      </c>
      <c r="I180" s="679" t="s">
        <v>1161</v>
      </c>
      <c r="J180" s="679">
        <v>78</v>
      </c>
    </row>
    <row r="181" spans="1:11">
      <c r="A181" s="679" t="s">
        <v>815</v>
      </c>
      <c r="B181" s="679">
        <v>15378</v>
      </c>
      <c r="C181" s="679" t="s">
        <v>827</v>
      </c>
      <c r="D181" s="679" t="s">
        <v>1102</v>
      </c>
      <c r="E181" s="679" t="s">
        <v>792</v>
      </c>
      <c r="F181" s="679" t="s">
        <v>818</v>
      </c>
      <c r="G181" s="679" t="s">
        <v>1160</v>
      </c>
      <c r="H181" s="679">
        <v>53713</v>
      </c>
      <c r="I181" s="679" t="s">
        <v>1161</v>
      </c>
      <c r="J181" s="679">
        <v>78</v>
      </c>
    </row>
    <row r="182" spans="1:11">
      <c r="A182" s="679" t="s">
        <v>815</v>
      </c>
      <c r="B182" s="679" t="s">
        <v>1162</v>
      </c>
      <c r="C182" s="679" t="s">
        <v>1163</v>
      </c>
      <c r="D182" s="679" t="s">
        <v>1102</v>
      </c>
      <c r="E182" s="679" t="s">
        <v>792</v>
      </c>
      <c r="F182" s="679" t="s">
        <v>818</v>
      </c>
      <c r="G182" s="679" t="s">
        <v>1160</v>
      </c>
      <c r="I182" s="679" t="s">
        <v>1164</v>
      </c>
      <c r="J182" s="679">
        <v>78</v>
      </c>
      <c r="K182" s="679" t="s">
        <v>1165</v>
      </c>
    </row>
    <row r="183" spans="1:11">
      <c r="A183" s="679" t="s">
        <v>815</v>
      </c>
      <c r="B183" s="679">
        <v>15387</v>
      </c>
      <c r="C183" s="679" t="s">
        <v>1166</v>
      </c>
      <c r="D183" s="679" t="s">
        <v>1026</v>
      </c>
      <c r="E183" s="679" t="s">
        <v>792</v>
      </c>
      <c r="F183" s="679" t="s">
        <v>793</v>
      </c>
      <c r="G183" s="679" t="s">
        <v>1160</v>
      </c>
      <c r="H183" s="679">
        <v>53746</v>
      </c>
      <c r="I183" s="679" t="s">
        <v>1167</v>
      </c>
      <c r="J183" s="679">
        <v>5</v>
      </c>
    </row>
    <row r="184" spans="1:11">
      <c r="A184" s="679" t="s">
        <v>815</v>
      </c>
      <c r="B184" s="679">
        <v>15388</v>
      </c>
      <c r="C184" s="679" t="s">
        <v>1168</v>
      </c>
      <c r="D184" s="679" t="s">
        <v>1026</v>
      </c>
      <c r="E184" s="679" t="s">
        <v>792</v>
      </c>
      <c r="F184" s="679" t="s">
        <v>793</v>
      </c>
      <c r="G184" s="679" t="s">
        <v>1160</v>
      </c>
      <c r="H184" s="679">
        <v>53747</v>
      </c>
      <c r="I184" s="679" t="s">
        <v>1169</v>
      </c>
      <c r="J184" s="679">
        <v>2.5</v>
      </c>
    </row>
    <row r="185" spans="1:11">
      <c r="A185" s="679" t="s">
        <v>815</v>
      </c>
      <c r="B185" s="679">
        <v>15389</v>
      </c>
      <c r="C185" s="679" t="s">
        <v>832</v>
      </c>
      <c r="D185" s="679" t="s">
        <v>1026</v>
      </c>
      <c r="E185" s="679" t="s">
        <v>792</v>
      </c>
      <c r="F185" s="679" t="s">
        <v>793</v>
      </c>
      <c r="G185" s="679" t="s">
        <v>1160</v>
      </c>
      <c r="H185" s="679">
        <v>53748</v>
      </c>
      <c r="I185" s="679" t="s">
        <v>1169</v>
      </c>
      <c r="J185" s="679">
        <v>2</v>
      </c>
    </row>
    <row r="186" spans="1:11">
      <c r="A186" s="679" t="s">
        <v>815</v>
      </c>
      <c r="B186" s="679" t="s">
        <v>1170</v>
      </c>
      <c r="C186" s="679" t="s">
        <v>841</v>
      </c>
      <c r="D186" s="679" t="s">
        <v>829</v>
      </c>
      <c r="E186" s="679" t="s">
        <v>792</v>
      </c>
      <c r="F186" s="679" t="s">
        <v>830</v>
      </c>
      <c r="G186" s="679" t="s">
        <v>1160</v>
      </c>
      <c r="J186" s="679">
        <v>80</v>
      </c>
      <c r="K186" s="679" t="s">
        <v>1171</v>
      </c>
    </row>
    <row r="187" spans="1:11">
      <c r="A187" s="679" t="s">
        <v>815</v>
      </c>
      <c r="B187" s="679">
        <v>121493</v>
      </c>
      <c r="C187" s="679" t="s">
        <v>1096</v>
      </c>
      <c r="D187" s="679" t="s">
        <v>1102</v>
      </c>
      <c r="E187" s="679" t="s">
        <v>792</v>
      </c>
      <c r="F187" s="679" t="s">
        <v>1089</v>
      </c>
      <c r="G187" s="679" t="s">
        <v>1160</v>
      </c>
      <c r="H187" s="679">
        <v>53750</v>
      </c>
      <c r="I187" s="679" t="s">
        <v>1172</v>
      </c>
      <c r="J187" s="679">
        <v>2.5</v>
      </c>
    </row>
    <row r="188" spans="1:11">
      <c r="A188" s="679" t="s">
        <v>815</v>
      </c>
      <c r="B188" s="679">
        <v>121494</v>
      </c>
      <c r="C188" s="679" t="s">
        <v>1094</v>
      </c>
      <c r="D188" s="679" t="s">
        <v>1102</v>
      </c>
      <c r="E188" s="679" t="s">
        <v>792</v>
      </c>
      <c r="F188" s="679" t="s">
        <v>1089</v>
      </c>
      <c r="G188" s="679" t="s">
        <v>1160</v>
      </c>
      <c r="H188" s="679">
        <v>53749</v>
      </c>
      <c r="I188" s="679" t="s">
        <v>1173</v>
      </c>
      <c r="J188" s="679">
        <v>5</v>
      </c>
    </row>
    <row r="189" spans="1:11">
      <c r="A189" s="679" t="s">
        <v>815</v>
      </c>
      <c r="B189" s="679">
        <v>121498</v>
      </c>
      <c r="C189" s="679" t="s">
        <v>1174</v>
      </c>
      <c r="D189" s="679" t="s">
        <v>1102</v>
      </c>
      <c r="E189" s="679" t="s">
        <v>792</v>
      </c>
      <c r="F189" s="679" t="s">
        <v>1089</v>
      </c>
      <c r="G189" s="679" t="s">
        <v>1160</v>
      </c>
      <c r="H189" s="679">
        <v>53745</v>
      </c>
      <c r="I189" s="679" t="s">
        <v>1175</v>
      </c>
      <c r="J189" s="679">
        <v>80</v>
      </c>
    </row>
    <row r="190" spans="1:11">
      <c r="A190" s="679" t="s">
        <v>843</v>
      </c>
      <c r="B190" s="679" t="s">
        <v>1176</v>
      </c>
      <c r="C190" s="679" t="s">
        <v>1177</v>
      </c>
      <c r="D190" s="679" t="s">
        <v>1178</v>
      </c>
      <c r="E190" s="679" t="s">
        <v>792</v>
      </c>
      <c r="F190" s="679" t="s">
        <v>793</v>
      </c>
      <c r="G190" s="679" t="s">
        <v>1179</v>
      </c>
      <c r="H190" s="679">
        <v>65115</v>
      </c>
      <c r="I190" s="679" t="s">
        <v>1180</v>
      </c>
      <c r="J190" s="679">
        <v>10</v>
      </c>
    </row>
    <row r="191" spans="1:11">
      <c r="A191" s="679" t="s">
        <v>843</v>
      </c>
      <c r="B191" s="679" t="s">
        <v>1181</v>
      </c>
      <c r="C191" s="679" t="s">
        <v>1182</v>
      </c>
      <c r="D191" s="679" t="s">
        <v>1183</v>
      </c>
      <c r="E191" s="679" t="s">
        <v>792</v>
      </c>
      <c r="F191" s="679" t="s">
        <v>793</v>
      </c>
      <c r="G191" s="679" t="s">
        <v>1179</v>
      </c>
      <c r="H191" s="679">
        <v>65116</v>
      </c>
      <c r="I191" s="679" t="s">
        <v>1184</v>
      </c>
      <c r="J191" s="679">
        <v>7.2</v>
      </c>
    </row>
    <row r="192" spans="1:11">
      <c r="A192" s="679" t="s">
        <v>843</v>
      </c>
      <c r="B192" s="679" t="s">
        <v>1185</v>
      </c>
      <c r="C192" s="679" t="s">
        <v>1186</v>
      </c>
      <c r="D192" s="679" t="s">
        <v>1187</v>
      </c>
      <c r="E192" s="679" t="s">
        <v>792</v>
      </c>
      <c r="F192" s="679" t="s">
        <v>1188</v>
      </c>
      <c r="G192" s="679" t="s">
        <v>1179</v>
      </c>
      <c r="H192" s="679">
        <v>59788</v>
      </c>
      <c r="K192" s="679" t="s">
        <v>1189</v>
      </c>
    </row>
    <row r="193" spans="1:11">
      <c r="A193" s="679" t="s">
        <v>843</v>
      </c>
      <c r="B193" s="679" t="s">
        <v>1190</v>
      </c>
      <c r="C193" s="679" t="s">
        <v>1191</v>
      </c>
      <c r="D193" s="679" t="s">
        <v>1187</v>
      </c>
      <c r="E193" s="679" t="s">
        <v>792</v>
      </c>
      <c r="F193" s="679" t="s">
        <v>1188</v>
      </c>
      <c r="G193" s="679" t="s">
        <v>1179</v>
      </c>
      <c r="H193" s="679">
        <v>59792</v>
      </c>
      <c r="K193" s="679" t="s">
        <v>1189</v>
      </c>
    </row>
    <row r="194" spans="1:11">
      <c r="A194" s="679" t="s">
        <v>843</v>
      </c>
      <c r="B194" s="679" t="s">
        <v>1192</v>
      </c>
      <c r="C194" s="679" t="s">
        <v>1193</v>
      </c>
      <c r="D194" s="679" t="s">
        <v>1187</v>
      </c>
      <c r="E194" s="679" t="s">
        <v>792</v>
      </c>
      <c r="F194" s="679" t="s">
        <v>1188</v>
      </c>
      <c r="G194" s="679" t="s">
        <v>1179</v>
      </c>
      <c r="H194" s="679">
        <v>59791</v>
      </c>
      <c r="K194" s="679" t="s">
        <v>1189</v>
      </c>
    </row>
    <row r="195" spans="1:11">
      <c r="A195" s="679" t="s">
        <v>843</v>
      </c>
      <c r="B195" s="679" t="s">
        <v>1194</v>
      </c>
      <c r="C195" s="679" t="s">
        <v>1195</v>
      </c>
      <c r="D195" s="679" t="s">
        <v>1187</v>
      </c>
      <c r="E195" s="679" t="s">
        <v>792</v>
      </c>
      <c r="F195" s="679" t="s">
        <v>1188</v>
      </c>
      <c r="G195" s="679" t="s">
        <v>1179</v>
      </c>
      <c r="H195" s="679">
        <v>59800</v>
      </c>
      <c r="J195" s="679" t="s">
        <v>150</v>
      </c>
      <c r="K195" s="679" t="s">
        <v>1189</v>
      </c>
    </row>
    <row r="196" spans="1:11">
      <c r="A196" s="679" t="s">
        <v>843</v>
      </c>
      <c r="B196" s="679" t="s">
        <v>1196</v>
      </c>
      <c r="C196" s="679" t="s">
        <v>1195</v>
      </c>
      <c r="D196" s="679" t="s">
        <v>1187</v>
      </c>
      <c r="E196" s="679" t="s">
        <v>792</v>
      </c>
      <c r="F196" s="679" t="s">
        <v>1188</v>
      </c>
      <c r="G196" s="679" t="s">
        <v>1179</v>
      </c>
      <c r="H196" s="679">
        <v>59801</v>
      </c>
      <c r="J196" s="679" t="s">
        <v>150</v>
      </c>
      <c r="K196" s="679" t="s">
        <v>1189</v>
      </c>
    </row>
    <row r="197" spans="1:11">
      <c r="A197" s="679" t="s">
        <v>843</v>
      </c>
      <c r="B197" s="679" t="s">
        <v>1197</v>
      </c>
      <c r="C197" s="679" t="s">
        <v>1195</v>
      </c>
      <c r="D197" s="679" t="s">
        <v>1187</v>
      </c>
      <c r="E197" s="679" t="s">
        <v>792</v>
      </c>
      <c r="F197" s="679" t="s">
        <v>1188</v>
      </c>
      <c r="G197" s="679" t="s">
        <v>1179</v>
      </c>
      <c r="H197" s="679">
        <v>59802</v>
      </c>
      <c r="J197" s="679" t="s">
        <v>150</v>
      </c>
      <c r="K197" s="679" t="s">
        <v>1189</v>
      </c>
    </row>
    <row r="198" spans="1:11">
      <c r="A198" s="679" t="s">
        <v>843</v>
      </c>
      <c r="B198" s="679" t="s">
        <v>1198</v>
      </c>
      <c r="C198" s="679" t="s">
        <v>1199</v>
      </c>
      <c r="D198" s="679" t="s">
        <v>1187</v>
      </c>
      <c r="E198" s="679" t="s">
        <v>792</v>
      </c>
      <c r="F198" s="679" t="s">
        <v>1200</v>
      </c>
      <c r="G198" s="679" t="s">
        <v>1179</v>
      </c>
      <c r="H198" s="679">
        <v>59808</v>
      </c>
      <c r="I198" s="679" t="s">
        <v>1201</v>
      </c>
      <c r="J198" s="679">
        <v>60</v>
      </c>
      <c r="K198" s="679" t="s">
        <v>1202</v>
      </c>
    </row>
    <row r="199" spans="1:11">
      <c r="A199" s="679" t="s">
        <v>843</v>
      </c>
      <c r="B199" s="679" t="s">
        <v>1203</v>
      </c>
      <c r="C199" s="679" t="s">
        <v>1204</v>
      </c>
      <c r="D199" s="679" t="s">
        <v>1205</v>
      </c>
      <c r="E199" s="679" t="s">
        <v>792</v>
      </c>
      <c r="F199" s="679" t="s">
        <v>1188</v>
      </c>
      <c r="G199" s="679" t="s">
        <v>1179</v>
      </c>
      <c r="H199" s="679">
        <v>59838</v>
      </c>
      <c r="J199" s="679">
        <v>60</v>
      </c>
      <c r="K199" s="679" t="s">
        <v>1206</v>
      </c>
    </row>
    <row r="200" spans="1:11">
      <c r="A200" s="679" t="s">
        <v>843</v>
      </c>
      <c r="B200" s="679" t="s">
        <v>1207</v>
      </c>
      <c r="C200" s="679" t="s">
        <v>1208</v>
      </c>
      <c r="D200" s="679" t="s">
        <v>1205</v>
      </c>
      <c r="E200" s="679" t="s">
        <v>792</v>
      </c>
      <c r="F200" s="679" t="s">
        <v>1188</v>
      </c>
      <c r="G200" s="679" t="s">
        <v>1179</v>
      </c>
      <c r="H200" s="679">
        <v>59839</v>
      </c>
      <c r="J200" s="679">
        <v>60</v>
      </c>
      <c r="K200" s="679" t="s">
        <v>1206</v>
      </c>
    </row>
    <row r="201" spans="1:11">
      <c r="A201" s="679" t="s">
        <v>843</v>
      </c>
      <c r="B201" s="679" t="s">
        <v>1209</v>
      </c>
      <c r="C201" s="679" t="s">
        <v>833</v>
      </c>
      <c r="D201" s="679" t="s">
        <v>1210</v>
      </c>
      <c r="E201" s="679" t="s">
        <v>792</v>
      </c>
      <c r="F201" s="679" t="s">
        <v>793</v>
      </c>
      <c r="G201" s="679" t="s">
        <v>1179</v>
      </c>
      <c r="H201" s="679">
        <v>59893</v>
      </c>
      <c r="I201" s="679" t="s">
        <v>1211</v>
      </c>
      <c r="J201" s="679">
        <v>60</v>
      </c>
    </row>
    <row r="202" spans="1:11">
      <c r="A202" s="679" t="s">
        <v>843</v>
      </c>
      <c r="B202" s="679" t="s">
        <v>1212</v>
      </c>
      <c r="C202" s="679" t="s">
        <v>832</v>
      </c>
      <c r="D202" s="679" t="s">
        <v>1210</v>
      </c>
      <c r="E202" s="679" t="s">
        <v>792</v>
      </c>
      <c r="F202" s="679" t="s">
        <v>793</v>
      </c>
      <c r="G202" s="679" t="s">
        <v>1179</v>
      </c>
      <c r="H202" s="679">
        <v>59894</v>
      </c>
      <c r="I202" s="679" t="s">
        <v>1211</v>
      </c>
      <c r="J202" s="679">
        <v>60</v>
      </c>
    </row>
    <row r="203" spans="1:11">
      <c r="A203" s="679" t="s">
        <v>843</v>
      </c>
      <c r="B203" s="679" t="s">
        <v>1213</v>
      </c>
      <c r="C203" s="679" t="s">
        <v>828</v>
      </c>
      <c r="D203" s="679" t="s">
        <v>1210</v>
      </c>
      <c r="E203" s="679" t="s">
        <v>792</v>
      </c>
      <c r="F203" s="679" t="s">
        <v>793</v>
      </c>
      <c r="G203" s="679" t="s">
        <v>1179</v>
      </c>
      <c r="H203" s="679">
        <v>59895</v>
      </c>
      <c r="I203" s="679" t="s">
        <v>1214</v>
      </c>
      <c r="J203" s="679">
        <v>60</v>
      </c>
    </row>
    <row r="204" spans="1:11">
      <c r="A204" s="679" t="s">
        <v>843</v>
      </c>
      <c r="B204" s="679" t="s">
        <v>1215</v>
      </c>
      <c r="C204" s="679" t="s">
        <v>1216</v>
      </c>
      <c r="D204" s="679" t="s">
        <v>1217</v>
      </c>
      <c r="E204" s="679" t="s">
        <v>792</v>
      </c>
      <c r="F204" s="679" t="s">
        <v>1188</v>
      </c>
      <c r="G204" s="679" t="s">
        <v>1179</v>
      </c>
      <c r="H204" s="679">
        <v>59897</v>
      </c>
      <c r="I204" s="679" t="s">
        <v>1218</v>
      </c>
      <c r="J204" s="679" t="s">
        <v>150</v>
      </c>
      <c r="K204" s="679" t="s">
        <v>1219</v>
      </c>
    </row>
    <row r="205" spans="1:11">
      <c r="A205" s="679" t="s">
        <v>843</v>
      </c>
      <c r="B205" s="679" t="s">
        <v>1220</v>
      </c>
      <c r="C205" s="679" t="s">
        <v>1221</v>
      </c>
      <c r="D205" s="679" t="s">
        <v>1217</v>
      </c>
      <c r="E205" s="679" t="s">
        <v>792</v>
      </c>
      <c r="F205" s="679" t="s">
        <v>793</v>
      </c>
      <c r="G205" s="679" t="s">
        <v>1179</v>
      </c>
      <c r="H205" s="679">
        <v>59900</v>
      </c>
      <c r="I205" s="679" t="s">
        <v>1222</v>
      </c>
      <c r="J205" s="679">
        <v>5</v>
      </c>
    </row>
    <row r="206" spans="1:11">
      <c r="A206" s="679" t="s">
        <v>843</v>
      </c>
      <c r="B206" s="679" t="s">
        <v>1223</v>
      </c>
      <c r="C206" s="679" t="s">
        <v>1224</v>
      </c>
      <c r="D206" s="679" t="s">
        <v>1217</v>
      </c>
      <c r="E206" s="679" t="s">
        <v>792</v>
      </c>
      <c r="F206" s="679" t="s">
        <v>793</v>
      </c>
      <c r="G206" s="679" t="s">
        <v>1179</v>
      </c>
      <c r="H206" s="679">
        <v>59901</v>
      </c>
      <c r="I206" s="679" t="s">
        <v>1222</v>
      </c>
      <c r="J206" s="679">
        <v>5</v>
      </c>
    </row>
    <row r="207" spans="1:11">
      <c r="A207" s="679" t="s">
        <v>843</v>
      </c>
      <c r="B207" s="679" t="s">
        <v>1225</v>
      </c>
      <c r="C207" s="679" t="s">
        <v>1226</v>
      </c>
      <c r="D207" s="679" t="s">
        <v>1227</v>
      </c>
      <c r="E207" s="679" t="s">
        <v>792</v>
      </c>
      <c r="F207" s="679" t="s">
        <v>793</v>
      </c>
      <c r="G207" s="679" t="s">
        <v>1179</v>
      </c>
      <c r="H207" s="679">
        <v>59902</v>
      </c>
      <c r="I207" s="679" t="s">
        <v>1228</v>
      </c>
      <c r="J207" s="679">
        <v>100</v>
      </c>
    </row>
    <row r="208" spans="1:11">
      <c r="A208" s="679" t="s">
        <v>843</v>
      </c>
      <c r="B208" s="679" t="s">
        <v>1229</v>
      </c>
      <c r="C208" s="679" t="s">
        <v>1230</v>
      </c>
      <c r="D208" s="679" t="s">
        <v>1183</v>
      </c>
      <c r="E208" s="679" t="s">
        <v>792</v>
      </c>
      <c r="F208" s="679" t="s">
        <v>793</v>
      </c>
      <c r="G208" s="679" t="s">
        <v>1179</v>
      </c>
      <c r="H208" s="679">
        <v>59903</v>
      </c>
      <c r="I208" s="679" t="s">
        <v>1231</v>
      </c>
      <c r="J208" s="679">
        <v>5</v>
      </c>
    </row>
    <row r="209" spans="1:11">
      <c r="A209" s="679" t="s">
        <v>843</v>
      </c>
      <c r="B209" s="679" t="s">
        <v>1232</v>
      </c>
      <c r="C209" s="679" t="s">
        <v>1233</v>
      </c>
      <c r="D209" s="679" t="s">
        <v>1234</v>
      </c>
      <c r="E209" s="679" t="s">
        <v>792</v>
      </c>
      <c r="F209" s="679" t="s">
        <v>793</v>
      </c>
      <c r="G209" s="679" t="s">
        <v>1179</v>
      </c>
      <c r="H209" s="679">
        <v>59905</v>
      </c>
      <c r="I209" s="679" t="s">
        <v>1235</v>
      </c>
      <c r="J209" s="679">
        <v>3</v>
      </c>
    </row>
    <row r="210" spans="1:11">
      <c r="A210" s="679" t="s">
        <v>843</v>
      </c>
      <c r="B210" s="679" t="s">
        <v>1236</v>
      </c>
      <c r="C210" s="679" t="s">
        <v>1237</v>
      </c>
      <c r="D210" s="679" t="s">
        <v>1183</v>
      </c>
      <c r="E210" s="679" t="s">
        <v>792</v>
      </c>
      <c r="F210" s="679" t="s">
        <v>793</v>
      </c>
      <c r="G210" s="679" t="s">
        <v>1179</v>
      </c>
      <c r="H210" s="679">
        <v>59909</v>
      </c>
      <c r="I210" s="679" t="s">
        <v>1238</v>
      </c>
      <c r="J210" s="679">
        <v>5</v>
      </c>
    </row>
    <row r="211" spans="1:11">
      <c r="A211" s="679" t="s">
        <v>843</v>
      </c>
      <c r="B211" s="679" t="s">
        <v>1239</v>
      </c>
      <c r="C211" s="679" t="s">
        <v>1237</v>
      </c>
      <c r="D211" s="679" t="s">
        <v>1183</v>
      </c>
      <c r="E211" s="679" t="s">
        <v>792</v>
      </c>
      <c r="F211" s="679" t="s">
        <v>793</v>
      </c>
      <c r="G211" s="679" t="s">
        <v>1179</v>
      </c>
      <c r="H211" s="679">
        <v>59910</v>
      </c>
      <c r="I211" s="679" t="s">
        <v>1238</v>
      </c>
      <c r="J211" s="679">
        <v>5</v>
      </c>
    </row>
    <row r="212" spans="1:11">
      <c r="A212" s="679" t="s">
        <v>843</v>
      </c>
      <c r="B212" s="679" t="s">
        <v>1240</v>
      </c>
      <c r="C212" s="679" t="s">
        <v>1233</v>
      </c>
      <c r="D212" s="679" t="s">
        <v>1234</v>
      </c>
      <c r="E212" s="679" t="s">
        <v>792</v>
      </c>
      <c r="F212" s="679" t="s">
        <v>793</v>
      </c>
      <c r="G212" s="679" t="s">
        <v>1179</v>
      </c>
      <c r="H212" s="679">
        <v>59917</v>
      </c>
      <c r="I212" s="679" t="s">
        <v>1241</v>
      </c>
      <c r="J212" s="679">
        <v>5</v>
      </c>
    </row>
    <row r="213" spans="1:11">
      <c r="A213" s="679" t="s">
        <v>843</v>
      </c>
      <c r="B213" s="679" t="s">
        <v>1242</v>
      </c>
      <c r="C213" s="679" t="s">
        <v>1243</v>
      </c>
      <c r="D213" s="679" t="s">
        <v>1244</v>
      </c>
      <c r="E213" s="679" t="s">
        <v>792</v>
      </c>
      <c r="F213" s="679" t="s">
        <v>818</v>
      </c>
      <c r="G213" s="679" t="s">
        <v>1179</v>
      </c>
      <c r="H213" s="679">
        <v>59918</v>
      </c>
      <c r="I213" s="679" t="s">
        <v>1245</v>
      </c>
      <c r="J213" s="679">
        <v>100</v>
      </c>
      <c r="K213" s="679" t="s">
        <v>1246</v>
      </c>
    </row>
    <row r="214" spans="1:11">
      <c r="A214" s="679" t="s">
        <v>843</v>
      </c>
      <c r="B214" s="679" t="s">
        <v>1247</v>
      </c>
      <c r="C214" s="679" t="s">
        <v>1248</v>
      </c>
      <c r="D214" s="679" t="s">
        <v>1249</v>
      </c>
      <c r="E214" s="679" t="s">
        <v>792</v>
      </c>
      <c r="F214" s="679" t="s">
        <v>793</v>
      </c>
      <c r="G214" s="679" t="s">
        <v>1179</v>
      </c>
      <c r="H214" s="679">
        <v>62409</v>
      </c>
      <c r="I214" s="679" t="s">
        <v>1250</v>
      </c>
      <c r="J214" s="679">
        <v>70</v>
      </c>
    </row>
    <row r="215" spans="1:11">
      <c r="A215" s="679" t="s">
        <v>843</v>
      </c>
      <c r="B215" s="679" t="s">
        <v>1251</v>
      </c>
      <c r="C215" s="679" t="s">
        <v>1252</v>
      </c>
      <c r="D215" s="679" t="s">
        <v>1249</v>
      </c>
      <c r="E215" s="679" t="s">
        <v>792</v>
      </c>
      <c r="F215" s="679" t="s">
        <v>793</v>
      </c>
      <c r="G215" s="679" t="s">
        <v>1179</v>
      </c>
      <c r="H215" s="679">
        <v>62410</v>
      </c>
      <c r="I215" s="679" t="s">
        <v>1253</v>
      </c>
      <c r="J215" s="679">
        <v>70</v>
      </c>
    </row>
    <row r="216" spans="1:11">
      <c r="A216" s="679" t="s">
        <v>1099</v>
      </c>
      <c r="B216" s="679" t="s">
        <v>1254</v>
      </c>
      <c r="C216" s="679" t="s">
        <v>828</v>
      </c>
      <c r="D216" s="679" t="s">
        <v>1255</v>
      </c>
      <c r="E216" s="679" t="s">
        <v>792</v>
      </c>
      <c r="F216" s="679" t="s">
        <v>793</v>
      </c>
      <c r="G216" s="679" t="s">
        <v>1256</v>
      </c>
      <c r="H216" s="679">
        <v>54047</v>
      </c>
      <c r="I216" s="679" t="s">
        <v>1257</v>
      </c>
      <c r="J216" s="679">
        <v>43</v>
      </c>
    </row>
    <row r="217" spans="1:11">
      <c r="A217" s="679" t="s">
        <v>1099</v>
      </c>
      <c r="B217" s="679" t="s">
        <v>1258</v>
      </c>
      <c r="C217" s="679" t="s">
        <v>832</v>
      </c>
      <c r="D217" s="679" t="s">
        <v>1255</v>
      </c>
      <c r="E217" s="679" t="s">
        <v>792</v>
      </c>
      <c r="F217" s="679" t="s">
        <v>793</v>
      </c>
      <c r="G217" s="679" t="s">
        <v>1256</v>
      </c>
      <c r="H217" s="679">
        <v>54048</v>
      </c>
      <c r="I217" s="679" t="s">
        <v>1259</v>
      </c>
      <c r="J217" s="679">
        <v>43</v>
      </c>
    </row>
    <row r="218" spans="1:11">
      <c r="A218" s="679" t="s">
        <v>1099</v>
      </c>
      <c r="B218" s="679" t="s">
        <v>1260</v>
      </c>
      <c r="C218" s="679" t="s">
        <v>833</v>
      </c>
      <c r="D218" s="679" t="s">
        <v>1255</v>
      </c>
      <c r="E218" s="679" t="s">
        <v>792</v>
      </c>
      <c r="F218" s="679" t="s">
        <v>793</v>
      </c>
      <c r="G218" s="679" t="s">
        <v>1256</v>
      </c>
      <c r="H218" s="679">
        <v>54049</v>
      </c>
      <c r="I218" s="679" t="s">
        <v>1261</v>
      </c>
      <c r="J218" s="679">
        <v>43</v>
      </c>
    </row>
    <row r="219" spans="1:11">
      <c r="A219" s="679" t="s">
        <v>1099</v>
      </c>
      <c r="B219" s="679" t="s">
        <v>1262</v>
      </c>
      <c r="C219" s="679" t="s">
        <v>1263</v>
      </c>
      <c r="D219" s="679" t="s">
        <v>1264</v>
      </c>
      <c r="E219" s="679" t="s">
        <v>792</v>
      </c>
      <c r="F219" s="679" t="s">
        <v>793</v>
      </c>
      <c r="G219" s="679" t="s">
        <v>1256</v>
      </c>
      <c r="H219" s="679">
        <v>54021</v>
      </c>
      <c r="I219" s="679" t="s">
        <v>1261</v>
      </c>
      <c r="J219" s="679">
        <v>50</v>
      </c>
    </row>
    <row r="220" spans="1:11">
      <c r="A220" s="679" t="s">
        <v>1099</v>
      </c>
      <c r="B220" s="679" t="s">
        <v>1265</v>
      </c>
      <c r="C220" s="679" t="s">
        <v>1266</v>
      </c>
      <c r="D220" s="679" t="s">
        <v>1264</v>
      </c>
      <c r="E220" s="679" t="s">
        <v>792</v>
      </c>
      <c r="F220" s="679" t="s">
        <v>793</v>
      </c>
      <c r="G220" s="679" t="s">
        <v>1256</v>
      </c>
      <c r="H220" s="679">
        <v>54022</v>
      </c>
      <c r="I220" s="679" t="s">
        <v>1261</v>
      </c>
      <c r="J220" s="679">
        <v>50</v>
      </c>
    </row>
    <row r="221" spans="1:11">
      <c r="A221" s="679" t="s">
        <v>1099</v>
      </c>
      <c r="B221" s="679" t="s">
        <v>1267</v>
      </c>
      <c r="C221" s="679" t="s">
        <v>1268</v>
      </c>
      <c r="D221" s="679" t="s">
        <v>1264</v>
      </c>
      <c r="E221" s="679" t="s">
        <v>792</v>
      </c>
      <c r="F221" s="679" t="s">
        <v>847</v>
      </c>
      <c r="G221" s="679" t="s">
        <v>1256</v>
      </c>
      <c r="H221" s="679">
        <v>54023</v>
      </c>
      <c r="I221" s="679" t="s">
        <v>1261</v>
      </c>
      <c r="J221" s="679">
        <v>50</v>
      </c>
    </row>
    <row r="222" spans="1:11">
      <c r="A222" s="679" t="s">
        <v>1099</v>
      </c>
      <c r="B222" s="679" t="s">
        <v>1269</v>
      </c>
      <c r="C222" s="679" t="s">
        <v>1270</v>
      </c>
      <c r="D222" s="679" t="s">
        <v>1271</v>
      </c>
      <c r="E222" s="679" t="s">
        <v>792</v>
      </c>
      <c r="F222" s="679" t="s">
        <v>793</v>
      </c>
      <c r="G222" s="679" t="s">
        <v>1256</v>
      </c>
      <c r="H222" s="679">
        <v>54035</v>
      </c>
      <c r="I222" s="679" t="s">
        <v>1272</v>
      </c>
      <c r="J222" s="679">
        <v>7</v>
      </c>
    </row>
    <row r="223" spans="1:11">
      <c r="A223" s="679" t="s">
        <v>1099</v>
      </c>
      <c r="B223" s="679" t="s">
        <v>1273</v>
      </c>
      <c r="C223" s="679" t="s">
        <v>1274</v>
      </c>
      <c r="D223" s="679" t="s">
        <v>1275</v>
      </c>
      <c r="E223" s="679" t="s">
        <v>792</v>
      </c>
      <c r="F223" s="679" t="s">
        <v>793</v>
      </c>
      <c r="G223" s="679" t="s">
        <v>1256</v>
      </c>
      <c r="H223" s="679">
        <v>55364</v>
      </c>
      <c r="I223" s="679" t="s">
        <v>1276</v>
      </c>
      <c r="J223" s="679">
        <v>53</v>
      </c>
    </row>
    <row r="224" spans="1:11">
      <c r="A224" s="679" t="s">
        <v>1099</v>
      </c>
      <c r="B224" s="679" t="s">
        <v>1277</v>
      </c>
      <c r="C224" s="679" t="s">
        <v>1278</v>
      </c>
      <c r="D224" s="679" t="s">
        <v>1275</v>
      </c>
      <c r="E224" s="679" t="s">
        <v>792</v>
      </c>
      <c r="F224" s="679" t="s">
        <v>793</v>
      </c>
      <c r="G224" s="679" t="s">
        <v>1256</v>
      </c>
      <c r="H224" s="679">
        <v>55363</v>
      </c>
      <c r="I224" s="679" t="s">
        <v>1279</v>
      </c>
      <c r="J224" s="679">
        <v>53</v>
      </c>
    </row>
    <row r="225" spans="1:11">
      <c r="A225" s="679" t="s">
        <v>1099</v>
      </c>
      <c r="B225" s="679" t="s">
        <v>1280</v>
      </c>
      <c r="C225" s="679" t="s">
        <v>1281</v>
      </c>
      <c r="D225" s="679" t="s">
        <v>1275</v>
      </c>
      <c r="E225" s="679" t="s">
        <v>792</v>
      </c>
      <c r="F225" s="679" t="s">
        <v>793</v>
      </c>
      <c r="G225" s="679" t="s">
        <v>1256</v>
      </c>
      <c r="H225" s="679">
        <v>55362</v>
      </c>
      <c r="I225" s="679" t="s">
        <v>1282</v>
      </c>
      <c r="J225" s="679">
        <v>53</v>
      </c>
    </row>
    <row r="226" spans="1:11">
      <c r="A226" s="679" t="s">
        <v>1099</v>
      </c>
      <c r="B226" s="679" t="s">
        <v>1283</v>
      </c>
      <c r="C226" s="679" t="s">
        <v>1284</v>
      </c>
      <c r="D226" s="679" t="s">
        <v>1285</v>
      </c>
      <c r="E226" s="679" t="s">
        <v>792</v>
      </c>
      <c r="F226" s="679" t="s">
        <v>1089</v>
      </c>
      <c r="G226" s="679" t="s">
        <v>1256</v>
      </c>
      <c r="H226" s="679">
        <v>55359</v>
      </c>
      <c r="I226" s="679" t="s">
        <v>1282</v>
      </c>
      <c r="J226" s="679">
        <v>53</v>
      </c>
    </row>
    <row r="227" spans="1:11">
      <c r="A227" s="679" t="s">
        <v>1099</v>
      </c>
      <c r="B227" s="679" t="s">
        <v>1286</v>
      </c>
      <c r="C227" s="679" t="s">
        <v>1287</v>
      </c>
      <c r="D227" s="679" t="s">
        <v>1285</v>
      </c>
      <c r="E227" s="679" t="s">
        <v>792</v>
      </c>
      <c r="F227" s="679" t="s">
        <v>1089</v>
      </c>
      <c r="G227" s="679" t="s">
        <v>1256</v>
      </c>
      <c r="H227" s="679">
        <v>55360</v>
      </c>
      <c r="I227" s="679" t="s">
        <v>1282</v>
      </c>
      <c r="J227" s="679">
        <v>53</v>
      </c>
    </row>
    <row r="228" spans="1:11">
      <c r="A228" s="679" t="s">
        <v>1099</v>
      </c>
      <c r="B228" s="679" t="s">
        <v>1288</v>
      </c>
      <c r="C228" s="679" t="s">
        <v>1289</v>
      </c>
      <c r="D228" s="679" t="s">
        <v>1285</v>
      </c>
      <c r="E228" s="679" t="s">
        <v>792</v>
      </c>
      <c r="F228" s="679" t="s">
        <v>1089</v>
      </c>
      <c r="G228" s="679" t="s">
        <v>1256</v>
      </c>
      <c r="H228" s="679">
        <v>55361</v>
      </c>
      <c r="I228" s="679" t="s">
        <v>1282</v>
      </c>
      <c r="J228" s="679">
        <v>53</v>
      </c>
    </row>
    <row r="229" spans="1:11">
      <c r="A229" s="679" t="s">
        <v>970</v>
      </c>
      <c r="B229" s="679" t="s">
        <v>1290</v>
      </c>
      <c r="C229" s="679" t="s">
        <v>1291</v>
      </c>
      <c r="D229" s="679" t="s">
        <v>1292</v>
      </c>
      <c r="E229" s="679" t="s">
        <v>792</v>
      </c>
      <c r="F229" s="679" t="s">
        <v>818</v>
      </c>
      <c r="G229" s="679" t="s">
        <v>1293</v>
      </c>
      <c r="H229" s="679">
        <v>51639</v>
      </c>
      <c r="I229" s="679" t="s">
        <v>890</v>
      </c>
      <c r="J229" s="679">
        <v>78</v>
      </c>
    </row>
    <row r="230" spans="1:11">
      <c r="A230" s="679" t="s">
        <v>970</v>
      </c>
      <c r="B230" s="679" t="s">
        <v>1294</v>
      </c>
      <c r="C230" s="679" t="s">
        <v>1152</v>
      </c>
      <c r="D230" s="679" t="s">
        <v>1292</v>
      </c>
      <c r="E230" s="679" t="s">
        <v>792</v>
      </c>
      <c r="F230" s="679" t="s">
        <v>818</v>
      </c>
      <c r="G230" s="679" t="s">
        <v>1293</v>
      </c>
      <c r="H230" s="679">
        <v>51699</v>
      </c>
      <c r="I230" s="679" t="s">
        <v>890</v>
      </c>
      <c r="J230" s="679">
        <v>78</v>
      </c>
    </row>
    <row r="231" spans="1:11">
      <c r="A231" s="679" t="s">
        <v>970</v>
      </c>
      <c r="B231" s="679" t="s">
        <v>1295</v>
      </c>
      <c r="C231" s="679" t="s">
        <v>994</v>
      </c>
      <c r="D231" s="679" t="s">
        <v>1292</v>
      </c>
      <c r="E231" s="679" t="s">
        <v>792</v>
      </c>
      <c r="F231" s="679" t="s">
        <v>818</v>
      </c>
      <c r="G231" s="679" t="s">
        <v>1293</v>
      </c>
      <c r="H231" s="679">
        <v>51700</v>
      </c>
      <c r="I231" s="679" t="s">
        <v>890</v>
      </c>
      <c r="J231" s="679">
        <v>78</v>
      </c>
    </row>
    <row r="232" spans="1:11">
      <c r="A232" s="679" t="s">
        <v>970</v>
      </c>
      <c r="B232" s="679" t="s">
        <v>1296</v>
      </c>
      <c r="C232" s="679" t="s">
        <v>1297</v>
      </c>
      <c r="D232" s="679" t="s">
        <v>1292</v>
      </c>
      <c r="E232" s="679" t="s">
        <v>792</v>
      </c>
      <c r="F232" s="679" t="s">
        <v>818</v>
      </c>
      <c r="G232" s="679" t="s">
        <v>1293</v>
      </c>
      <c r="H232" s="679">
        <v>51637</v>
      </c>
      <c r="I232" s="679" t="s">
        <v>890</v>
      </c>
      <c r="J232" s="679">
        <v>78</v>
      </c>
    </row>
    <row r="233" spans="1:11">
      <c r="A233" s="679" t="s">
        <v>970</v>
      </c>
      <c r="B233" s="679" t="s">
        <v>1298</v>
      </c>
      <c r="C233" s="679" t="s">
        <v>1159</v>
      </c>
      <c r="D233" s="679" t="s">
        <v>1292</v>
      </c>
      <c r="E233" s="679" t="s">
        <v>792</v>
      </c>
      <c r="F233" s="679" t="s">
        <v>818</v>
      </c>
      <c r="G233" s="679" t="s">
        <v>1293</v>
      </c>
      <c r="H233" s="679">
        <v>51636</v>
      </c>
      <c r="I233" s="679" t="s">
        <v>890</v>
      </c>
      <c r="J233" s="679">
        <v>78</v>
      </c>
    </row>
    <row r="234" spans="1:11">
      <c r="A234" s="679" t="s">
        <v>970</v>
      </c>
      <c r="B234" s="679" t="s">
        <v>1299</v>
      </c>
      <c r="C234" s="679" t="s">
        <v>1300</v>
      </c>
      <c r="E234" s="679" t="s">
        <v>792</v>
      </c>
      <c r="F234" s="679" t="s">
        <v>793</v>
      </c>
      <c r="G234" s="679" t="s">
        <v>1293</v>
      </c>
      <c r="H234" s="679">
        <v>51635</v>
      </c>
      <c r="I234" s="679" t="s">
        <v>1301</v>
      </c>
      <c r="J234" s="679">
        <v>78</v>
      </c>
    </row>
    <row r="235" spans="1:11">
      <c r="A235" s="679" t="s">
        <v>970</v>
      </c>
      <c r="B235" s="679" t="s">
        <v>1302</v>
      </c>
      <c r="C235" s="679" t="s">
        <v>1156</v>
      </c>
      <c r="D235" s="679" t="s">
        <v>1292</v>
      </c>
      <c r="E235" s="679" t="s">
        <v>792</v>
      </c>
      <c r="F235" s="679" t="s">
        <v>818</v>
      </c>
      <c r="G235" s="679" t="s">
        <v>1293</v>
      </c>
      <c r="H235" s="679">
        <v>51634</v>
      </c>
      <c r="I235" s="679" t="s">
        <v>890</v>
      </c>
      <c r="J235" s="679">
        <v>78</v>
      </c>
    </row>
    <row r="236" spans="1:11">
      <c r="A236" s="679" t="s">
        <v>970</v>
      </c>
      <c r="B236" s="679" t="s">
        <v>1303</v>
      </c>
      <c r="C236" s="679" t="s">
        <v>1304</v>
      </c>
      <c r="E236" s="679" t="s">
        <v>792</v>
      </c>
      <c r="F236" s="679" t="s">
        <v>793</v>
      </c>
      <c r="G236" s="679" t="s">
        <v>1293</v>
      </c>
      <c r="H236" s="679">
        <v>51633</v>
      </c>
      <c r="I236" s="679" t="s">
        <v>1305</v>
      </c>
      <c r="J236" s="679">
        <v>78</v>
      </c>
    </row>
    <row r="237" spans="1:11">
      <c r="A237" s="679" t="s">
        <v>970</v>
      </c>
      <c r="B237" s="679" t="s">
        <v>1306</v>
      </c>
      <c r="C237" s="679" t="s">
        <v>928</v>
      </c>
      <c r="D237" s="679" t="s">
        <v>1292</v>
      </c>
      <c r="E237" s="679" t="s">
        <v>792</v>
      </c>
      <c r="F237" s="679" t="s">
        <v>818</v>
      </c>
      <c r="G237" s="679" t="s">
        <v>1293</v>
      </c>
      <c r="H237" s="679">
        <v>51638</v>
      </c>
      <c r="I237" s="679" t="s">
        <v>890</v>
      </c>
      <c r="J237" s="679">
        <v>78</v>
      </c>
    </row>
    <row r="238" spans="1:11">
      <c r="A238" s="679" t="s">
        <v>970</v>
      </c>
      <c r="B238" s="679" t="s">
        <v>1307</v>
      </c>
      <c r="C238" s="679" t="s">
        <v>923</v>
      </c>
      <c r="D238" s="679" t="s">
        <v>1292</v>
      </c>
      <c r="E238" s="679" t="s">
        <v>792</v>
      </c>
      <c r="F238" s="679" t="s">
        <v>818</v>
      </c>
      <c r="G238" s="679" t="s">
        <v>1293</v>
      </c>
      <c r="H238" s="679">
        <v>51802</v>
      </c>
      <c r="I238" s="679" t="s">
        <v>890</v>
      </c>
      <c r="J238" s="679">
        <v>78</v>
      </c>
    </row>
    <row r="239" spans="1:11">
      <c r="A239" s="679" t="s">
        <v>843</v>
      </c>
      <c r="B239" s="679" t="s">
        <v>1308</v>
      </c>
      <c r="C239" s="679" t="s">
        <v>1309</v>
      </c>
      <c r="D239" s="679" t="s">
        <v>1047</v>
      </c>
      <c r="E239" s="679" t="s">
        <v>792</v>
      </c>
      <c r="F239" s="679" t="s">
        <v>793</v>
      </c>
      <c r="G239" s="679" t="s">
        <v>1310</v>
      </c>
      <c r="H239" s="679">
        <v>51369</v>
      </c>
      <c r="I239" s="679" t="s">
        <v>1311</v>
      </c>
      <c r="J239" s="679">
        <v>67</v>
      </c>
      <c r="K239" s="681" t="s">
        <v>1312</v>
      </c>
    </row>
    <row r="240" spans="1:11">
      <c r="A240" s="679" t="s">
        <v>843</v>
      </c>
      <c r="B240" s="679" t="s">
        <v>1313</v>
      </c>
      <c r="C240" s="679" t="s">
        <v>1314</v>
      </c>
      <c r="D240" s="679" t="s">
        <v>1047</v>
      </c>
      <c r="E240" s="679" t="s">
        <v>792</v>
      </c>
      <c r="F240" s="679" t="s">
        <v>793</v>
      </c>
      <c r="G240" s="679" t="s">
        <v>1310</v>
      </c>
      <c r="H240" s="679">
        <v>51370</v>
      </c>
      <c r="I240" s="679" t="s">
        <v>1311</v>
      </c>
      <c r="J240" s="679">
        <v>67</v>
      </c>
      <c r="K240" s="679" t="s">
        <v>960</v>
      </c>
    </row>
    <row r="241" spans="1:11">
      <c r="A241" s="679" t="s">
        <v>843</v>
      </c>
      <c r="B241" s="679" t="s">
        <v>1315</v>
      </c>
      <c r="C241" s="679" t="s">
        <v>1316</v>
      </c>
      <c r="D241" s="679" t="s">
        <v>1047</v>
      </c>
      <c r="E241" s="679" t="s">
        <v>792</v>
      </c>
      <c r="F241" s="679" t="s">
        <v>793</v>
      </c>
      <c r="G241" s="679" t="s">
        <v>1310</v>
      </c>
      <c r="H241" s="679">
        <v>51371</v>
      </c>
      <c r="I241" s="679" t="s">
        <v>1311</v>
      </c>
      <c r="J241" s="679">
        <v>67</v>
      </c>
      <c r="K241" s="679" t="s">
        <v>960</v>
      </c>
    </row>
    <row r="242" spans="1:11">
      <c r="A242" s="679" t="s">
        <v>843</v>
      </c>
      <c r="B242" s="679" t="s">
        <v>1317</v>
      </c>
      <c r="C242" s="679" t="s">
        <v>1318</v>
      </c>
      <c r="D242" s="679" t="s">
        <v>1047</v>
      </c>
      <c r="E242" s="679" t="s">
        <v>792</v>
      </c>
      <c r="F242" s="679" t="s">
        <v>793</v>
      </c>
      <c r="G242" s="679" t="s">
        <v>1310</v>
      </c>
      <c r="H242" s="679">
        <v>51372</v>
      </c>
      <c r="I242" s="679" t="s">
        <v>1319</v>
      </c>
      <c r="J242" s="679">
        <v>67</v>
      </c>
      <c r="K242" s="679" t="s">
        <v>1320</v>
      </c>
    </row>
    <row r="243" spans="1:11">
      <c r="A243" s="679" t="s">
        <v>843</v>
      </c>
      <c r="B243" s="679" t="s">
        <v>1321</v>
      </c>
      <c r="C243" s="679" t="s">
        <v>1322</v>
      </c>
      <c r="D243" s="679" t="s">
        <v>1047</v>
      </c>
      <c r="E243" s="679" t="s">
        <v>792</v>
      </c>
      <c r="F243" s="679" t="s">
        <v>793</v>
      </c>
      <c r="G243" s="679" t="s">
        <v>1310</v>
      </c>
      <c r="H243" s="679">
        <v>51374</v>
      </c>
      <c r="I243" s="679" t="s">
        <v>1323</v>
      </c>
      <c r="J243" s="679">
        <v>67</v>
      </c>
      <c r="K243" s="679" t="s">
        <v>1320</v>
      </c>
    </row>
    <row r="244" spans="1:11">
      <c r="A244" s="679" t="s">
        <v>843</v>
      </c>
      <c r="B244" s="679" t="s">
        <v>1324</v>
      </c>
      <c r="C244" s="679" t="s">
        <v>1325</v>
      </c>
      <c r="D244" s="679" t="s">
        <v>1326</v>
      </c>
      <c r="E244" s="679" t="s">
        <v>792</v>
      </c>
      <c r="F244" s="679" t="s">
        <v>1188</v>
      </c>
      <c r="G244" s="679" t="s">
        <v>1310</v>
      </c>
      <c r="H244" s="679">
        <v>51236</v>
      </c>
      <c r="I244" s="679" t="s">
        <v>853</v>
      </c>
      <c r="J244" s="679">
        <v>3</v>
      </c>
      <c r="K244" s="679" t="s">
        <v>960</v>
      </c>
    </row>
    <row r="245" spans="1:11">
      <c r="A245" s="679" t="s">
        <v>843</v>
      </c>
      <c r="B245" s="679" t="s">
        <v>1327</v>
      </c>
      <c r="C245" s="679" t="s">
        <v>1328</v>
      </c>
      <c r="D245" s="679" t="s">
        <v>1326</v>
      </c>
      <c r="E245" s="679" t="s">
        <v>792</v>
      </c>
      <c r="F245" s="679" t="s">
        <v>1188</v>
      </c>
      <c r="G245" s="679" t="s">
        <v>1310</v>
      </c>
      <c r="H245" s="679">
        <v>51237</v>
      </c>
      <c r="I245" s="679" t="s">
        <v>853</v>
      </c>
      <c r="J245" s="679">
        <v>3</v>
      </c>
      <c r="K245" s="679" t="s">
        <v>960</v>
      </c>
    </row>
    <row r="246" spans="1:11">
      <c r="A246" s="679" t="s">
        <v>843</v>
      </c>
      <c r="B246" s="679" t="s">
        <v>1329</v>
      </c>
      <c r="C246" s="679" t="s">
        <v>1330</v>
      </c>
      <c r="D246" s="679" t="s">
        <v>1326</v>
      </c>
      <c r="E246" s="679" t="s">
        <v>792</v>
      </c>
      <c r="F246" s="679" t="s">
        <v>1188</v>
      </c>
      <c r="G246" s="679" t="s">
        <v>1310</v>
      </c>
      <c r="H246" s="679">
        <v>51235</v>
      </c>
      <c r="I246" s="679" t="s">
        <v>853</v>
      </c>
      <c r="J246" s="679">
        <v>3</v>
      </c>
      <c r="K246" s="679" t="s">
        <v>960</v>
      </c>
    </row>
    <row r="247" spans="1:11">
      <c r="A247" s="679" t="s">
        <v>843</v>
      </c>
      <c r="B247" s="679" t="s">
        <v>1331</v>
      </c>
      <c r="C247" s="679" t="s">
        <v>1332</v>
      </c>
      <c r="D247" s="679" t="s">
        <v>1326</v>
      </c>
      <c r="E247" s="679" t="s">
        <v>792</v>
      </c>
      <c r="F247" s="679" t="s">
        <v>830</v>
      </c>
      <c r="G247" s="679" t="s">
        <v>1310</v>
      </c>
      <c r="H247" s="679">
        <v>51238</v>
      </c>
      <c r="J247" s="679">
        <v>3</v>
      </c>
      <c r="K247" s="679" t="s">
        <v>1333</v>
      </c>
    </row>
    <row r="248" spans="1:11">
      <c r="A248" s="679" t="s">
        <v>843</v>
      </c>
      <c r="B248" s="679" t="s">
        <v>1334</v>
      </c>
      <c r="C248" s="679" t="s">
        <v>1335</v>
      </c>
      <c r="D248" s="679" t="s">
        <v>1326</v>
      </c>
      <c r="E248" s="679" t="s">
        <v>792</v>
      </c>
      <c r="F248" s="679" t="s">
        <v>830</v>
      </c>
      <c r="G248" s="679" t="s">
        <v>1310</v>
      </c>
      <c r="H248" s="679">
        <v>51239</v>
      </c>
      <c r="J248" s="679">
        <v>3</v>
      </c>
      <c r="K248" s="679" t="s">
        <v>1333</v>
      </c>
    </row>
    <row r="249" spans="1:11">
      <c r="A249" s="679" t="s">
        <v>843</v>
      </c>
      <c r="B249" s="679" t="s">
        <v>1336</v>
      </c>
      <c r="C249" s="679" t="s">
        <v>1335</v>
      </c>
      <c r="D249" s="679" t="s">
        <v>1326</v>
      </c>
      <c r="E249" s="679" t="s">
        <v>792</v>
      </c>
      <c r="F249" s="679" t="s">
        <v>830</v>
      </c>
      <c r="G249" s="679" t="s">
        <v>1310</v>
      </c>
      <c r="H249" s="679">
        <v>51240</v>
      </c>
      <c r="J249" s="679">
        <v>3</v>
      </c>
      <c r="K249" s="679" t="s">
        <v>1333</v>
      </c>
    </row>
    <row r="250" spans="1:11">
      <c r="A250" s="679" t="s">
        <v>843</v>
      </c>
      <c r="B250" s="679" t="s">
        <v>1337</v>
      </c>
      <c r="C250" s="679" t="s">
        <v>1338</v>
      </c>
      <c r="D250" s="679" t="s">
        <v>1339</v>
      </c>
      <c r="E250" s="679" t="s">
        <v>792</v>
      </c>
      <c r="F250" s="679" t="s">
        <v>1188</v>
      </c>
      <c r="G250" s="679" t="s">
        <v>1310</v>
      </c>
      <c r="H250" s="679">
        <v>57807</v>
      </c>
      <c r="J250" s="679">
        <v>20</v>
      </c>
      <c r="K250" s="679" t="s">
        <v>960</v>
      </c>
    </row>
    <row r="251" spans="1:11">
      <c r="A251" s="679" t="s">
        <v>843</v>
      </c>
      <c r="B251" s="679" t="s">
        <v>1340</v>
      </c>
      <c r="C251" s="679" t="s">
        <v>1341</v>
      </c>
      <c r="D251" s="679" t="s">
        <v>1339</v>
      </c>
      <c r="E251" s="679" t="s">
        <v>792</v>
      </c>
      <c r="F251" s="679" t="s">
        <v>1188</v>
      </c>
      <c r="G251" s="679" t="s">
        <v>1310</v>
      </c>
      <c r="H251" s="679">
        <v>57808</v>
      </c>
      <c r="J251" s="679">
        <v>50</v>
      </c>
      <c r="K251" s="679" t="s">
        <v>960</v>
      </c>
    </row>
    <row r="252" spans="1:11">
      <c r="A252" s="679" t="s">
        <v>843</v>
      </c>
      <c r="B252" s="679" t="s">
        <v>1342</v>
      </c>
      <c r="C252" s="679" t="s">
        <v>1343</v>
      </c>
      <c r="D252" s="679" t="s">
        <v>1339</v>
      </c>
      <c r="E252" s="679" t="s">
        <v>792</v>
      </c>
      <c r="F252" s="679" t="s">
        <v>1188</v>
      </c>
      <c r="G252" s="679" t="s">
        <v>1310</v>
      </c>
      <c r="H252" s="679">
        <v>57809</v>
      </c>
      <c r="J252" s="679">
        <v>20</v>
      </c>
      <c r="K252" s="679" t="s">
        <v>960</v>
      </c>
    </row>
    <row r="253" spans="1:11">
      <c r="A253" s="679" t="s">
        <v>843</v>
      </c>
      <c r="B253" s="679" t="s">
        <v>1344</v>
      </c>
      <c r="C253" s="679" t="s">
        <v>1345</v>
      </c>
      <c r="D253" s="679" t="s">
        <v>1339</v>
      </c>
      <c r="E253" s="679" t="s">
        <v>792</v>
      </c>
      <c r="F253" s="679" t="s">
        <v>793</v>
      </c>
      <c r="G253" s="679" t="s">
        <v>1310</v>
      </c>
      <c r="H253" s="679">
        <v>51366</v>
      </c>
      <c r="I253" s="679" t="s">
        <v>858</v>
      </c>
      <c r="J253" s="679">
        <v>50</v>
      </c>
      <c r="K253" s="679" t="s">
        <v>960</v>
      </c>
    </row>
    <row r="254" spans="1:11">
      <c r="A254" s="679" t="s">
        <v>843</v>
      </c>
      <c r="B254" s="679" t="s">
        <v>1346</v>
      </c>
      <c r="C254" s="679" t="s">
        <v>1347</v>
      </c>
      <c r="D254" s="679" t="s">
        <v>1339</v>
      </c>
      <c r="E254" s="679" t="s">
        <v>792</v>
      </c>
      <c r="F254" s="679" t="s">
        <v>793</v>
      </c>
      <c r="G254" s="679" t="s">
        <v>1310</v>
      </c>
      <c r="H254" s="679">
        <v>51367</v>
      </c>
      <c r="I254" s="679" t="s">
        <v>858</v>
      </c>
      <c r="J254" s="679">
        <v>50</v>
      </c>
      <c r="K254" s="679" t="s">
        <v>960</v>
      </c>
    </row>
    <row r="255" spans="1:11">
      <c r="A255" s="679" t="s">
        <v>843</v>
      </c>
      <c r="B255" s="679" t="s">
        <v>1348</v>
      </c>
      <c r="C255" s="679" t="s">
        <v>1349</v>
      </c>
      <c r="D255" s="679" t="s">
        <v>1339</v>
      </c>
      <c r="E255" s="679" t="s">
        <v>792</v>
      </c>
      <c r="F255" s="679" t="s">
        <v>793</v>
      </c>
      <c r="G255" s="679" t="s">
        <v>1310</v>
      </c>
      <c r="H255" s="679">
        <v>51368</v>
      </c>
      <c r="I255" s="679" t="s">
        <v>858</v>
      </c>
      <c r="J255" s="679">
        <v>50</v>
      </c>
      <c r="K255" s="679" t="s">
        <v>960</v>
      </c>
    </row>
    <row r="256" spans="1:11">
      <c r="A256" s="679" t="s">
        <v>1099</v>
      </c>
      <c r="B256" s="679" t="s">
        <v>1350</v>
      </c>
      <c r="C256" s="679" t="s">
        <v>1351</v>
      </c>
      <c r="D256" s="679" t="s">
        <v>1352</v>
      </c>
      <c r="E256" s="679" t="s">
        <v>792</v>
      </c>
      <c r="F256" s="679" t="s">
        <v>830</v>
      </c>
      <c r="G256" s="679" t="s">
        <v>1353</v>
      </c>
      <c r="H256" s="679">
        <v>55189</v>
      </c>
      <c r="I256" s="679" t="s">
        <v>1354</v>
      </c>
      <c r="J256" s="679">
        <v>78</v>
      </c>
    </row>
    <row r="257" spans="1:11">
      <c r="A257" s="679" t="s">
        <v>1099</v>
      </c>
      <c r="B257" s="679" t="s">
        <v>1355</v>
      </c>
      <c r="C257" s="679" t="s">
        <v>1356</v>
      </c>
      <c r="D257" s="679" t="s">
        <v>1352</v>
      </c>
      <c r="E257" s="679" t="s">
        <v>792</v>
      </c>
      <c r="F257" s="679" t="s">
        <v>830</v>
      </c>
      <c r="G257" s="679" t="s">
        <v>1353</v>
      </c>
      <c r="H257" s="679">
        <v>55190</v>
      </c>
      <c r="I257" s="679" t="s">
        <v>1354</v>
      </c>
      <c r="J257" s="679">
        <v>78</v>
      </c>
    </row>
    <row r="258" spans="1:11">
      <c r="A258" s="679" t="s">
        <v>1099</v>
      </c>
      <c r="B258" s="679" t="s">
        <v>1357</v>
      </c>
      <c r="C258" s="679" t="s">
        <v>1358</v>
      </c>
      <c r="D258" s="679" t="s">
        <v>1352</v>
      </c>
      <c r="E258" s="679" t="s">
        <v>792</v>
      </c>
      <c r="F258" s="679" t="s">
        <v>830</v>
      </c>
      <c r="G258" s="679" t="s">
        <v>1353</v>
      </c>
      <c r="H258" s="679">
        <v>55191</v>
      </c>
      <c r="I258" s="679" t="s">
        <v>1354</v>
      </c>
      <c r="J258" s="679">
        <v>78</v>
      </c>
    </row>
    <row r="259" spans="1:11">
      <c r="A259" s="679" t="s">
        <v>1099</v>
      </c>
      <c r="B259" s="679" t="s">
        <v>1359</v>
      </c>
      <c r="C259" s="679" t="s">
        <v>1360</v>
      </c>
      <c r="D259" s="679" t="s">
        <v>1352</v>
      </c>
      <c r="E259" s="679" t="s">
        <v>792</v>
      </c>
      <c r="F259" s="679" t="s">
        <v>830</v>
      </c>
      <c r="G259" s="679" t="s">
        <v>1353</v>
      </c>
      <c r="H259" s="679">
        <v>55192</v>
      </c>
      <c r="I259" s="679" t="s">
        <v>1354</v>
      </c>
      <c r="J259" s="679">
        <v>78</v>
      </c>
    </row>
    <row r="260" spans="1:11">
      <c r="A260" s="679" t="s">
        <v>1099</v>
      </c>
      <c r="B260" s="679" t="s">
        <v>1361</v>
      </c>
      <c r="C260" s="679" t="s">
        <v>1362</v>
      </c>
      <c r="D260" s="679" t="s">
        <v>1352</v>
      </c>
      <c r="E260" s="679" t="s">
        <v>792</v>
      </c>
      <c r="F260" s="679" t="s">
        <v>830</v>
      </c>
      <c r="G260" s="679" t="s">
        <v>1353</v>
      </c>
      <c r="H260" s="679">
        <v>55193</v>
      </c>
      <c r="I260" s="679" t="s">
        <v>1354</v>
      </c>
      <c r="J260" s="679">
        <v>78</v>
      </c>
    </row>
    <row r="261" spans="1:11">
      <c r="A261" s="679" t="s">
        <v>1099</v>
      </c>
      <c r="B261" s="679" t="s">
        <v>1363</v>
      </c>
      <c r="C261" s="679" t="s">
        <v>1364</v>
      </c>
      <c r="D261" s="679" t="s">
        <v>1352</v>
      </c>
      <c r="E261" s="679" t="s">
        <v>792</v>
      </c>
      <c r="F261" s="679" t="s">
        <v>830</v>
      </c>
      <c r="G261" s="679" t="s">
        <v>1353</v>
      </c>
      <c r="H261" s="679">
        <v>55194</v>
      </c>
      <c r="I261" s="679" t="s">
        <v>1354</v>
      </c>
      <c r="J261" s="679">
        <v>78</v>
      </c>
    </row>
    <row r="262" spans="1:11">
      <c r="A262" s="679" t="s">
        <v>1099</v>
      </c>
      <c r="B262" s="679" t="s">
        <v>1365</v>
      </c>
      <c r="C262" s="679" t="s">
        <v>1366</v>
      </c>
      <c r="D262" s="679" t="s">
        <v>1352</v>
      </c>
      <c r="E262" s="679" t="s">
        <v>792</v>
      </c>
      <c r="F262" s="679" t="s">
        <v>818</v>
      </c>
      <c r="G262" s="679" t="s">
        <v>1353</v>
      </c>
      <c r="H262" s="679">
        <v>55195</v>
      </c>
      <c r="I262" s="679" t="s">
        <v>1367</v>
      </c>
      <c r="J262" s="679">
        <v>78</v>
      </c>
    </row>
    <row r="263" spans="1:11">
      <c r="A263" s="679" t="s">
        <v>1099</v>
      </c>
      <c r="B263" s="679" t="s">
        <v>1368</v>
      </c>
      <c r="C263" s="679" t="s">
        <v>1369</v>
      </c>
      <c r="D263" s="679" t="s">
        <v>1102</v>
      </c>
      <c r="E263" s="679" t="s">
        <v>792</v>
      </c>
      <c r="F263" s="679" t="s">
        <v>818</v>
      </c>
      <c r="G263" s="679" t="s">
        <v>1353</v>
      </c>
      <c r="H263" s="679">
        <v>55196</v>
      </c>
      <c r="I263" s="679" t="s">
        <v>1367</v>
      </c>
      <c r="J263" s="679">
        <v>78</v>
      </c>
    </row>
    <row r="264" spans="1:11">
      <c r="A264" s="679" t="s">
        <v>1099</v>
      </c>
      <c r="B264" s="679" t="s">
        <v>1370</v>
      </c>
      <c r="C264" s="679" t="s">
        <v>1371</v>
      </c>
      <c r="D264" s="679" t="s">
        <v>1352</v>
      </c>
      <c r="E264" s="679" t="s">
        <v>792</v>
      </c>
      <c r="F264" s="679" t="s">
        <v>818</v>
      </c>
      <c r="G264" s="679" t="s">
        <v>1353</v>
      </c>
      <c r="H264" s="679">
        <v>55197</v>
      </c>
      <c r="I264" s="679" t="s">
        <v>1367</v>
      </c>
      <c r="J264" s="679">
        <v>78</v>
      </c>
    </row>
    <row r="265" spans="1:11">
      <c r="A265" s="679" t="s">
        <v>1099</v>
      </c>
      <c r="B265" s="679" t="s">
        <v>1372</v>
      </c>
      <c r="C265" s="679" t="s">
        <v>1373</v>
      </c>
      <c r="D265" s="679" t="s">
        <v>1102</v>
      </c>
      <c r="E265" s="679" t="s">
        <v>792</v>
      </c>
      <c r="F265" s="679" t="s">
        <v>818</v>
      </c>
      <c r="G265" s="679" t="s">
        <v>1353</v>
      </c>
      <c r="H265" s="679">
        <v>55302</v>
      </c>
      <c r="I265" s="679" t="s">
        <v>1367</v>
      </c>
      <c r="J265" s="679">
        <v>78</v>
      </c>
    </row>
    <row r="266" spans="1:11">
      <c r="A266" s="679" t="s">
        <v>1099</v>
      </c>
      <c r="B266" s="679" t="s">
        <v>1374</v>
      </c>
      <c r="C266" s="679" t="s">
        <v>1375</v>
      </c>
      <c r="D266" s="679" t="s">
        <v>1102</v>
      </c>
      <c r="E266" s="679" t="s">
        <v>792</v>
      </c>
      <c r="F266" s="679" t="s">
        <v>818</v>
      </c>
      <c r="G266" s="679" t="s">
        <v>1353</v>
      </c>
      <c r="H266" s="679">
        <v>55300</v>
      </c>
      <c r="I266" s="679" t="s">
        <v>1367</v>
      </c>
      <c r="J266" s="679">
        <v>78</v>
      </c>
    </row>
    <row r="267" spans="1:11">
      <c r="A267" s="679" t="s">
        <v>1099</v>
      </c>
      <c r="B267" s="679" t="s">
        <v>1376</v>
      </c>
      <c r="C267" s="679" t="s">
        <v>1377</v>
      </c>
      <c r="D267" s="679" t="s">
        <v>1352</v>
      </c>
      <c r="E267" s="679" t="s">
        <v>792</v>
      </c>
      <c r="F267" s="679" t="s">
        <v>818</v>
      </c>
      <c r="G267" s="679" t="s">
        <v>1353</v>
      </c>
      <c r="H267" s="679">
        <v>55296</v>
      </c>
      <c r="I267" s="679" t="s">
        <v>1367</v>
      </c>
      <c r="J267" s="679">
        <v>78</v>
      </c>
    </row>
    <row r="268" spans="1:11">
      <c r="A268" s="679" t="s">
        <v>843</v>
      </c>
      <c r="B268" s="679" t="s">
        <v>1378</v>
      </c>
      <c r="C268" s="679" t="s">
        <v>1379</v>
      </c>
      <c r="D268" s="679" t="s">
        <v>1380</v>
      </c>
      <c r="E268" s="679" t="s">
        <v>792</v>
      </c>
      <c r="F268" s="679" t="s">
        <v>1188</v>
      </c>
      <c r="G268" s="679" t="s">
        <v>1381</v>
      </c>
      <c r="H268" s="679">
        <v>51061</v>
      </c>
      <c r="I268" s="679" t="s">
        <v>853</v>
      </c>
      <c r="K268" s="679" t="s">
        <v>1382</v>
      </c>
    </row>
    <row r="269" spans="1:11">
      <c r="A269" s="679" t="s">
        <v>843</v>
      </c>
      <c r="B269" s="679" t="s">
        <v>1383</v>
      </c>
      <c r="C269" s="679" t="s">
        <v>851</v>
      </c>
      <c r="D269" s="679" t="s">
        <v>1384</v>
      </c>
      <c r="E269" s="679" t="s">
        <v>792</v>
      </c>
      <c r="F269" s="679" t="s">
        <v>1188</v>
      </c>
      <c r="G269" s="679" t="s">
        <v>1381</v>
      </c>
      <c r="H269" s="679">
        <v>51062</v>
      </c>
      <c r="I269" s="679" t="s">
        <v>853</v>
      </c>
      <c r="K269" s="679" t="s">
        <v>1382</v>
      </c>
    </row>
    <row r="270" spans="1:11">
      <c r="A270" s="679" t="s">
        <v>843</v>
      </c>
      <c r="B270" s="679" t="s">
        <v>1385</v>
      </c>
      <c r="C270" s="679" t="s">
        <v>1386</v>
      </c>
      <c r="D270" s="679" t="s">
        <v>1387</v>
      </c>
      <c r="E270" s="679" t="s">
        <v>792</v>
      </c>
      <c r="F270" s="679" t="s">
        <v>793</v>
      </c>
      <c r="G270" s="679" t="s">
        <v>1381</v>
      </c>
      <c r="H270" s="679">
        <v>62309</v>
      </c>
      <c r="I270" s="679" t="s">
        <v>1388</v>
      </c>
      <c r="J270" s="679">
        <v>83</v>
      </c>
    </row>
    <row r="271" spans="1:11">
      <c r="A271" s="679" t="s">
        <v>843</v>
      </c>
      <c r="B271" s="679" t="s">
        <v>1389</v>
      </c>
      <c r="C271" s="679" t="s">
        <v>1390</v>
      </c>
      <c r="D271" s="679" t="s">
        <v>1387</v>
      </c>
      <c r="E271" s="679" t="s">
        <v>792</v>
      </c>
      <c r="F271" s="679" t="s">
        <v>793</v>
      </c>
      <c r="G271" s="679" t="s">
        <v>1381</v>
      </c>
      <c r="H271" s="679">
        <v>62310</v>
      </c>
      <c r="I271" s="679" t="s">
        <v>1388</v>
      </c>
      <c r="J271" s="679">
        <v>83</v>
      </c>
    </row>
    <row r="272" spans="1:11">
      <c r="A272" s="679" t="s">
        <v>843</v>
      </c>
      <c r="B272" s="679" t="s">
        <v>1391</v>
      </c>
      <c r="C272" s="679" t="s">
        <v>1392</v>
      </c>
      <c r="D272" s="679" t="s">
        <v>1387</v>
      </c>
      <c r="E272" s="679" t="s">
        <v>792</v>
      </c>
      <c r="F272" s="679" t="s">
        <v>793</v>
      </c>
      <c r="G272" s="679" t="s">
        <v>1381</v>
      </c>
      <c r="H272" s="679">
        <v>62306</v>
      </c>
      <c r="I272" s="679" t="s">
        <v>1393</v>
      </c>
      <c r="J272" s="679">
        <v>83</v>
      </c>
    </row>
    <row r="273" spans="1:11">
      <c r="A273" s="679" t="s">
        <v>843</v>
      </c>
      <c r="B273" s="679" t="s">
        <v>1394</v>
      </c>
      <c r="C273" s="679" t="s">
        <v>1395</v>
      </c>
      <c r="D273" s="679" t="s">
        <v>1387</v>
      </c>
      <c r="E273" s="679" t="s">
        <v>792</v>
      </c>
      <c r="F273" s="679" t="s">
        <v>793</v>
      </c>
      <c r="G273" s="679" t="s">
        <v>1381</v>
      </c>
      <c r="H273" s="679">
        <v>62307</v>
      </c>
      <c r="I273" s="679" t="s">
        <v>1396</v>
      </c>
      <c r="J273" s="679">
        <v>83</v>
      </c>
    </row>
    <row r="274" spans="1:11">
      <c r="A274" s="679" t="s">
        <v>843</v>
      </c>
      <c r="B274" s="679" t="s">
        <v>1397</v>
      </c>
      <c r="C274" s="679" t="s">
        <v>1398</v>
      </c>
      <c r="D274" s="679" t="s">
        <v>1387</v>
      </c>
      <c r="E274" s="679" t="s">
        <v>792</v>
      </c>
      <c r="F274" s="679" t="s">
        <v>793</v>
      </c>
      <c r="G274" s="679" t="s">
        <v>1381</v>
      </c>
      <c r="H274" s="679">
        <v>62308</v>
      </c>
      <c r="I274" s="679" t="s">
        <v>1396</v>
      </c>
      <c r="J274" s="679">
        <v>83</v>
      </c>
    </row>
    <row r="275" spans="1:11">
      <c r="A275" s="679" t="s">
        <v>956</v>
      </c>
      <c r="B275" s="679" t="s">
        <v>1399</v>
      </c>
      <c r="C275" s="679" t="s">
        <v>857</v>
      </c>
      <c r="D275" s="679" t="s">
        <v>791</v>
      </c>
      <c r="E275" s="679" t="s">
        <v>792</v>
      </c>
      <c r="F275" s="679" t="s">
        <v>793</v>
      </c>
      <c r="G275" s="679" t="s">
        <v>1400</v>
      </c>
      <c r="H275" s="679">
        <v>52467</v>
      </c>
      <c r="I275" s="679" t="s">
        <v>959</v>
      </c>
      <c r="J275" s="679">
        <v>80</v>
      </c>
      <c r="K275" s="679" t="s">
        <v>960</v>
      </c>
    </row>
    <row r="276" spans="1:11">
      <c r="A276" s="679" t="s">
        <v>956</v>
      </c>
      <c r="B276" s="679" t="s">
        <v>1401</v>
      </c>
      <c r="C276" s="679" t="s">
        <v>1402</v>
      </c>
      <c r="D276" s="679" t="s">
        <v>791</v>
      </c>
      <c r="E276" s="679" t="s">
        <v>792</v>
      </c>
      <c r="F276" s="679" t="s">
        <v>793</v>
      </c>
      <c r="G276" s="679" t="s">
        <v>1400</v>
      </c>
      <c r="H276" s="679">
        <v>52468</v>
      </c>
      <c r="I276" s="679" t="s">
        <v>959</v>
      </c>
      <c r="J276" s="679">
        <v>80</v>
      </c>
      <c r="K276" s="679" t="s">
        <v>960</v>
      </c>
    </row>
    <row r="277" spans="1:11">
      <c r="A277" s="679" t="s">
        <v>956</v>
      </c>
      <c r="B277" s="679" t="s">
        <v>1403</v>
      </c>
      <c r="C277" s="679" t="s">
        <v>1404</v>
      </c>
      <c r="D277" s="679" t="s">
        <v>791</v>
      </c>
      <c r="E277" s="679" t="s">
        <v>792</v>
      </c>
      <c r="F277" s="679" t="s">
        <v>793</v>
      </c>
      <c r="G277" s="679" t="s">
        <v>1400</v>
      </c>
      <c r="H277" s="679">
        <v>52469</v>
      </c>
      <c r="I277" s="679" t="s">
        <v>959</v>
      </c>
      <c r="J277" s="679">
        <v>80</v>
      </c>
      <c r="K277" s="679" t="s">
        <v>960</v>
      </c>
    </row>
    <row r="278" spans="1:11">
      <c r="A278" s="679" t="s">
        <v>956</v>
      </c>
      <c r="B278" s="679" t="s">
        <v>1405</v>
      </c>
      <c r="C278" s="679" t="s">
        <v>1406</v>
      </c>
      <c r="D278" s="679" t="s">
        <v>791</v>
      </c>
      <c r="E278" s="679" t="s">
        <v>792</v>
      </c>
      <c r="F278" s="679" t="s">
        <v>793</v>
      </c>
      <c r="G278" s="679" t="s">
        <v>1400</v>
      </c>
      <c r="H278" s="679">
        <v>52470</v>
      </c>
      <c r="I278" s="679" t="s">
        <v>959</v>
      </c>
      <c r="J278" s="679">
        <v>80</v>
      </c>
      <c r="K278" s="679" t="s">
        <v>960</v>
      </c>
    </row>
    <row r="279" spans="1:11">
      <c r="A279" s="679" t="s">
        <v>956</v>
      </c>
      <c r="B279" s="679" t="s">
        <v>1407</v>
      </c>
      <c r="C279" s="679" t="s">
        <v>1408</v>
      </c>
      <c r="D279" s="679" t="s">
        <v>791</v>
      </c>
      <c r="E279" s="679" t="s">
        <v>792</v>
      </c>
      <c r="F279" s="679" t="s">
        <v>793</v>
      </c>
      <c r="G279" s="679" t="s">
        <v>1400</v>
      </c>
      <c r="H279" s="679">
        <v>52471</v>
      </c>
      <c r="I279" s="679" t="s">
        <v>959</v>
      </c>
      <c r="J279" s="679">
        <v>80</v>
      </c>
      <c r="K279" s="679" t="s">
        <v>960</v>
      </c>
    </row>
    <row r="280" spans="1:11">
      <c r="A280" s="679" t="s">
        <v>956</v>
      </c>
      <c r="B280" s="679" t="s">
        <v>1409</v>
      </c>
      <c r="C280" s="679" t="s">
        <v>1410</v>
      </c>
      <c r="D280" s="679" t="s">
        <v>791</v>
      </c>
      <c r="E280" s="679" t="s">
        <v>792</v>
      </c>
      <c r="F280" s="679" t="s">
        <v>793</v>
      </c>
      <c r="G280" s="679" t="s">
        <v>1400</v>
      </c>
      <c r="H280" s="679">
        <v>52472</v>
      </c>
      <c r="I280" s="679" t="s">
        <v>959</v>
      </c>
      <c r="J280" s="679">
        <v>80</v>
      </c>
      <c r="K280" s="679" t="s">
        <v>960</v>
      </c>
    </row>
    <row r="281" spans="1:11">
      <c r="A281" s="679" t="s">
        <v>815</v>
      </c>
      <c r="B281" s="679">
        <v>21761</v>
      </c>
      <c r="C281" s="679" t="s">
        <v>828</v>
      </c>
      <c r="D281" s="679" t="s">
        <v>829</v>
      </c>
      <c r="E281" s="679" t="s">
        <v>792</v>
      </c>
      <c r="F281" s="679" t="s">
        <v>830</v>
      </c>
      <c r="G281" s="679" t="s">
        <v>1411</v>
      </c>
      <c r="H281" s="679">
        <v>55822</v>
      </c>
      <c r="I281" s="679" t="s">
        <v>831</v>
      </c>
      <c r="J281" s="679">
        <v>78</v>
      </c>
    </row>
    <row r="282" spans="1:11">
      <c r="A282" s="679" t="s">
        <v>815</v>
      </c>
      <c r="B282" s="679">
        <v>21762</v>
      </c>
      <c r="C282" s="679" t="s">
        <v>832</v>
      </c>
      <c r="D282" s="679" t="s">
        <v>829</v>
      </c>
      <c r="E282" s="679" t="s">
        <v>792</v>
      </c>
      <c r="F282" s="679" t="s">
        <v>793</v>
      </c>
      <c r="G282" s="679" t="s">
        <v>1411</v>
      </c>
      <c r="H282" s="679">
        <v>54941</v>
      </c>
      <c r="I282" s="679" t="s">
        <v>1412</v>
      </c>
      <c r="J282" s="679">
        <v>55</v>
      </c>
    </row>
    <row r="283" spans="1:11">
      <c r="A283" s="679" t="s">
        <v>815</v>
      </c>
      <c r="B283" s="679">
        <v>21763</v>
      </c>
      <c r="C283" s="679" t="s">
        <v>833</v>
      </c>
      <c r="D283" s="679" t="s">
        <v>829</v>
      </c>
      <c r="E283" s="679" t="s">
        <v>792</v>
      </c>
      <c r="F283" s="679" t="s">
        <v>793</v>
      </c>
      <c r="G283" s="679" t="s">
        <v>1411</v>
      </c>
      <c r="H283" s="679">
        <v>54942</v>
      </c>
      <c r="I283" s="679" t="s">
        <v>1413</v>
      </c>
      <c r="J283" s="679">
        <v>55</v>
      </c>
    </row>
    <row r="284" spans="1:11">
      <c r="A284" s="679" t="s">
        <v>815</v>
      </c>
      <c r="B284" s="679">
        <v>21764</v>
      </c>
      <c r="C284" s="679" t="s">
        <v>834</v>
      </c>
      <c r="D284" s="679" t="s">
        <v>829</v>
      </c>
      <c r="E284" s="679" t="s">
        <v>792</v>
      </c>
      <c r="F284" s="679" t="s">
        <v>830</v>
      </c>
      <c r="G284" s="679" t="s">
        <v>1411</v>
      </c>
      <c r="H284" s="679">
        <v>54943</v>
      </c>
      <c r="I284" s="679" t="s">
        <v>831</v>
      </c>
      <c r="J284" s="679">
        <v>78</v>
      </c>
    </row>
    <row r="285" spans="1:11">
      <c r="A285" s="679" t="s">
        <v>815</v>
      </c>
      <c r="B285" s="679">
        <v>21777</v>
      </c>
      <c r="C285" s="679" t="s">
        <v>816</v>
      </c>
      <c r="D285" s="679" t="s">
        <v>924</v>
      </c>
      <c r="E285" s="679" t="s">
        <v>792</v>
      </c>
      <c r="F285" s="679" t="s">
        <v>818</v>
      </c>
      <c r="G285" s="679" t="s">
        <v>1411</v>
      </c>
      <c r="H285" s="679">
        <v>54939</v>
      </c>
      <c r="I285" s="679" t="s">
        <v>1414</v>
      </c>
      <c r="J285" s="679">
        <v>78</v>
      </c>
    </row>
    <row r="286" spans="1:11">
      <c r="A286" s="679" t="s">
        <v>815</v>
      </c>
      <c r="B286" s="679">
        <v>21778</v>
      </c>
      <c r="C286" s="679" t="s">
        <v>823</v>
      </c>
      <c r="D286" s="679" t="s">
        <v>924</v>
      </c>
      <c r="E286" s="679" t="s">
        <v>792</v>
      </c>
      <c r="F286" s="679" t="s">
        <v>818</v>
      </c>
      <c r="G286" s="679" t="s">
        <v>1411</v>
      </c>
      <c r="H286" s="679">
        <v>54940</v>
      </c>
      <c r="I286" s="679" t="s">
        <v>1414</v>
      </c>
      <c r="J286" s="679">
        <v>78</v>
      </c>
    </row>
    <row r="287" spans="1:11">
      <c r="A287" s="679" t="s">
        <v>815</v>
      </c>
      <c r="B287" s="679">
        <v>110005</v>
      </c>
      <c r="C287" s="679" t="s">
        <v>837</v>
      </c>
      <c r="D287" s="679" t="s">
        <v>829</v>
      </c>
      <c r="E287" s="679" t="s">
        <v>792</v>
      </c>
      <c r="F287" s="679" t="s">
        <v>793</v>
      </c>
      <c r="G287" s="679" t="s">
        <v>1411</v>
      </c>
      <c r="H287" s="679">
        <v>55850</v>
      </c>
      <c r="I287" s="679" t="s">
        <v>1415</v>
      </c>
      <c r="J287" s="679">
        <v>81</v>
      </c>
    </row>
    <row r="288" spans="1:11">
      <c r="A288" s="679" t="s">
        <v>815</v>
      </c>
      <c r="B288" s="679">
        <v>110006</v>
      </c>
      <c r="C288" s="679" t="s">
        <v>838</v>
      </c>
      <c r="D288" s="679" t="s">
        <v>829</v>
      </c>
      <c r="E288" s="679" t="s">
        <v>792</v>
      </c>
      <c r="F288" s="679" t="s">
        <v>793</v>
      </c>
      <c r="G288" s="679" t="s">
        <v>1411</v>
      </c>
      <c r="H288" s="679">
        <v>55851</v>
      </c>
      <c r="I288" s="679" t="s">
        <v>1416</v>
      </c>
      <c r="J288" s="679">
        <v>81</v>
      </c>
    </row>
    <row r="289" spans="1:11">
      <c r="A289" s="679" t="s">
        <v>815</v>
      </c>
      <c r="B289" s="679">
        <v>120001</v>
      </c>
      <c r="C289" s="679" t="s">
        <v>828</v>
      </c>
      <c r="D289" s="679" t="s">
        <v>1417</v>
      </c>
      <c r="E289" s="679" t="s">
        <v>792</v>
      </c>
      <c r="F289" s="679" t="s">
        <v>793</v>
      </c>
      <c r="G289" s="679" t="s">
        <v>1418</v>
      </c>
      <c r="H289" s="679">
        <v>52048</v>
      </c>
      <c r="I289" s="679" t="s">
        <v>1419</v>
      </c>
      <c r="J289" s="679">
        <v>18</v>
      </c>
      <c r="K289" s="679" t="s">
        <v>1420</v>
      </c>
    </row>
    <row r="290" spans="1:11">
      <c r="A290" s="679" t="s">
        <v>815</v>
      </c>
      <c r="B290" s="679">
        <v>120002</v>
      </c>
      <c r="C290" s="679" t="s">
        <v>832</v>
      </c>
      <c r="D290" s="679" t="s">
        <v>1417</v>
      </c>
      <c r="E290" s="679" t="s">
        <v>792</v>
      </c>
      <c r="F290" s="679" t="s">
        <v>793</v>
      </c>
      <c r="G290" s="679" t="s">
        <v>1418</v>
      </c>
      <c r="H290" s="679">
        <v>52049</v>
      </c>
      <c r="I290" s="679" t="s">
        <v>1419</v>
      </c>
      <c r="J290" s="679">
        <v>18</v>
      </c>
      <c r="K290" s="679" t="s">
        <v>1420</v>
      </c>
    </row>
    <row r="291" spans="1:11">
      <c r="A291" s="679" t="s">
        <v>970</v>
      </c>
      <c r="B291" s="679" t="s">
        <v>1421</v>
      </c>
      <c r="C291" s="679" t="s">
        <v>1422</v>
      </c>
      <c r="E291" s="679" t="s">
        <v>792</v>
      </c>
      <c r="F291" s="679" t="s">
        <v>793</v>
      </c>
      <c r="G291" s="679" t="s">
        <v>1423</v>
      </c>
      <c r="H291" s="679">
        <v>54494</v>
      </c>
      <c r="I291" s="679" t="s">
        <v>1424</v>
      </c>
      <c r="J291" s="679">
        <v>60</v>
      </c>
    </row>
    <row r="292" spans="1:11">
      <c r="A292" s="679" t="s">
        <v>970</v>
      </c>
      <c r="B292" s="679" t="s">
        <v>1425</v>
      </c>
      <c r="C292" s="679" t="s">
        <v>1426</v>
      </c>
      <c r="E292" s="679" t="s">
        <v>792</v>
      </c>
      <c r="F292" s="679" t="s">
        <v>793</v>
      </c>
      <c r="G292" s="679" t="s">
        <v>1423</v>
      </c>
      <c r="H292" s="679">
        <v>54495</v>
      </c>
      <c r="I292" s="679" t="s">
        <v>1424</v>
      </c>
      <c r="J292" s="679">
        <v>60</v>
      </c>
    </row>
    <row r="293" spans="1:11">
      <c r="A293" s="679" t="s">
        <v>970</v>
      </c>
      <c r="B293" s="679" t="s">
        <v>1427</v>
      </c>
      <c r="C293" s="679" t="s">
        <v>1428</v>
      </c>
      <c r="E293" s="679" t="s">
        <v>792</v>
      </c>
      <c r="F293" s="679" t="s">
        <v>793</v>
      </c>
      <c r="G293" s="679" t="s">
        <v>1423</v>
      </c>
      <c r="H293" s="679">
        <v>54496</v>
      </c>
      <c r="I293" s="679" t="s">
        <v>1424</v>
      </c>
      <c r="J293" s="679">
        <v>60</v>
      </c>
    </row>
  </sheetData>
  <autoFilter ref="A1:WVS293" xr:uid="{3BB22690-9BCD-4882-B699-6ADAE98BF0A9}">
    <sortState xmlns:xlrd2="http://schemas.microsoft.com/office/spreadsheetml/2017/richdata2" ref="A2:WVS293">
      <sortCondition ref="G1"/>
    </sortState>
  </autoFilter>
  <pageMargins left="0.7" right="0.7" top="0.75" bottom="0.75" header="0.3" footer="0.3"/>
  <pageSetup paperSize="9" orientation="portrait" r:id="rId1"/>
  <headerFooter>
    <oddFooter>&amp;L&amp;1#&amp;"Calibri"&amp;7&amp;K000000C2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dimension ref="A3:U47"/>
  <sheetViews>
    <sheetView workbookViewId="0">
      <selection activeCell="J15" sqref="J15"/>
    </sheetView>
  </sheetViews>
  <sheetFormatPr defaultColWidth="8.6640625" defaultRowHeight="10.15"/>
  <cols>
    <col min="1" max="1" width="11.6640625" style="469" bestFit="1" customWidth="1"/>
    <col min="2" max="2" width="20" style="469" bestFit="1" customWidth="1"/>
    <col min="3" max="3" width="21.6640625" style="469" bestFit="1" customWidth="1"/>
    <col min="4" max="12" width="4.6640625" style="469" bestFit="1" customWidth="1"/>
    <col min="13" max="15" width="5.1640625" style="469" bestFit="1" customWidth="1"/>
    <col min="16" max="17" width="4.6640625" style="469" bestFit="1" customWidth="1"/>
    <col min="18" max="18" width="24.1640625" style="469" bestFit="1" customWidth="1"/>
    <col min="19" max="19" width="24.6640625" style="469" bestFit="1" customWidth="1"/>
    <col min="20" max="20" width="2" style="469" bestFit="1" customWidth="1"/>
    <col min="21" max="21" width="65.5" style="469" bestFit="1" customWidth="1"/>
    <col min="22" max="23" width="2" style="469" bestFit="1" customWidth="1"/>
    <col min="24" max="24" width="1.6640625" style="469" bestFit="1" customWidth="1"/>
    <col min="25" max="29" width="2" style="469" bestFit="1" customWidth="1"/>
    <col min="30" max="34" width="4.1640625" style="469" bestFit="1" customWidth="1"/>
    <col min="35" max="16384" width="8.6640625" style="469"/>
  </cols>
  <sheetData>
    <row r="3" spans="1:21">
      <c r="A3" s="469" t="s">
        <v>1429</v>
      </c>
      <c r="B3" s="469" t="s">
        <v>1430</v>
      </c>
      <c r="C3" s="470" t="s">
        <v>515</v>
      </c>
      <c r="D3" s="470" t="s">
        <v>271</v>
      </c>
      <c r="E3" s="470" t="s">
        <v>277</v>
      </c>
      <c r="F3" s="470" t="s">
        <v>284</v>
      </c>
      <c r="G3" s="470" t="s">
        <v>288</v>
      </c>
      <c r="H3" s="470" t="s">
        <v>293</v>
      </c>
      <c r="I3" s="470" t="s">
        <v>305</v>
      </c>
      <c r="J3" s="470" t="s">
        <v>297</v>
      </c>
      <c r="K3" s="470" t="s">
        <v>314</v>
      </c>
      <c r="L3" s="470" t="s">
        <v>317</v>
      </c>
      <c r="M3" s="470" t="s">
        <v>322</v>
      </c>
      <c r="N3" s="470" t="s">
        <v>330</v>
      </c>
      <c r="O3" s="470" t="s">
        <v>335</v>
      </c>
      <c r="P3" s="470" t="s">
        <v>338</v>
      </c>
      <c r="Q3" s="470" t="s">
        <v>341</v>
      </c>
      <c r="R3" s="471" t="s">
        <v>1431</v>
      </c>
      <c r="S3" s="471" t="s">
        <v>1432</v>
      </c>
      <c r="U3" s="469" t="s">
        <v>1433</v>
      </c>
    </row>
    <row r="4" spans="1:21">
      <c r="A4" s="469" t="s">
        <v>1434</v>
      </c>
      <c r="B4" s="470">
        <v>29</v>
      </c>
      <c r="C4" s="472"/>
      <c r="D4" s="470">
        <v>0</v>
      </c>
      <c r="E4" s="470">
        <v>1</v>
      </c>
      <c r="F4" s="470"/>
      <c r="G4" s="470"/>
      <c r="H4" s="470"/>
      <c r="I4" s="470"/>
      <c r="J4" s="470">
        <v>1</v>
      </c>
      <c r="K4" s="470"/>
      <c r="L4" s="470">
        <v>1</v>
      </c>
      <c r="M4" s="470">
        <v>1</v>
      </c>
      <c r="N4" s="470"/>
      <c r="O4" s="470"/>
      <c r="R4" s="471">
        <f t="shared" ref="R4:R12" si="0">PRODUCT(SUM(D4:Q4),B4)</f>
        <v>116</v>
      </c>
      <c r="S4" s="50" t="e">
        <f>R4/$U$6</f>
        <v>#REF!</v>
      </c>
      <c r="U4" s="470">
        <v>4882.5</v>
      </c>
    </row>
    <row r="5" spans="1:21">
      <c r="A5" s="469" t="s">
        <v>1435</v>
      </c>
      <c r="B5" s="470">
        <v>4</v>
      </c>
      <c r="C5" s="472"/>
      <c r="D5" s="470">
        <v>0</v>
      </c>
      <c r="E5" s="470">
        <v>0</v>
      </c>
      <c r="F5" s="470">
        <v>0</v>
      </c>
      <c r="G5" s="470"/>
      <c r="H5" s="470">
        <v>0</v>
      </c>
      <c r="I5" s="470">
        <v>0</v>
      </c>
      <c r="J5" s="470">
        <v>0</v>
      </c>
      <c r="K5" s="470"/>
      <c r="L5" s="470"/>
      <c r="M5" s="470">
        <v>0</v>
      </c>
      <c r="N5" s="470"/>
      <c r="O5" s="470"/>
      <c r="P5" s="470">
        <v>0</v>
      </c>
      <c r="Q5" s="470">
        <v>0</v>
      </c>
      <c r="R5" s="471">
        <f t="shared" si="0"/>
        <v>0</v>
      </c>
      <c r="S5" s="50" t="e">
        <f t="shared" ref="S5:S12" si="1">R5/$U$6</f>
        <v>#REF!</v>
      </c>
      <c r="U5" s="469" t="s">
        <v>1436</v>
      </c>
    </row>
    <row r="6" spans="1:21">
      <c r="A6" s="469" t="s">
        <v>1437</v>
      </c>
      <c r="B6" s="470">
        <v>3</v>
      </c>
      <c r="C6" s="472"/>
      <c r="D6" s="470">
        <v>3</v>
      </c>
      <c r="E6" s="470">
        <v>3</v>
      </c>
      <c r="F6" s="470">
        <v>3</v>
      </c>
      <c r="G6" s="470">
        <v>7</v>
      </c>
      <c r="H6" s="470">
        <v>2</v>
      </c>
      <c r="I6" s="470">
        <v>4</v>
      </c>
      <c r="J6" s="470">
        <v>4</v>
      </c>
      <c r="K6" s="470">
        <v>5</v>
      </c>
      <c r="L6" s="470">
        <v>1</v>
      </c>
      <c r="M6" s="470">
        <v>2</v>
      </c>
      <c r="N6" s="470">
        <v>5</v>
      </c>
      <c r="O6" s="470">
        <v>8</v>
      </c>
      <c r="P6" s="470">
        <v>5</v>
      </c>
      <c r="Q6" s="470">
        <v>4</v>
      </c>
      <c r="R6" s="471">
        <f t="shared" si="0"/>
        <v>168</v>
      </c>
      <c r="S6" s="50" t="e">
        <f t="shared" si="1"/>
        <v>#REF!</v>
      </c>
      <c r="U6" s="470" t="e">
        <v>#REF!</v>
      </c>
    </row>
    <row r="7" spans="1:21">
      <c r="A7" s="469" t="s">
        <v>1438</v>
      </c>
      <c r="B7" s="470">
        <v>3</v>
      </c>
      <c r="C7" s="472"/>
      <c r="D7" s="470">
        <v>3</v>
      </c>
      <c r="E7" s="470">
        <v>6</v>
      </c>
      <c r="F7" s="470">
        <v>3</v>
      </c>
      <c r="G7" s="470">
        <v>7</v>
      </c>
      <c r="H7" s="470">
        <v>2</v>
      </c>
      <c r="I7" s="470">
        <v>4</v>
      </c>
      <c r="J7" s="470">
        <v>4</v>
      </c>
      <c r="K7" s="470">
        <v>4</v>
      </c>
      <c r="L7" s="470">
        <v>5</v>
      </c>
      <c r="M7" s="470">
        <v>6</v>
      </c>
      <c r="N7" s="470">
        <v>4</v>
      </c>
      <c r="O7" s="470">
        <v>4</v>
      </c>
      <c r="P7" s="470">
        <v>2</v>
      </c>
      <c r="Q7" s="470">
        <v>4</v>
      </c>
      <c r="R7" s="471">
        <f t="shared" si="0"/>
        <v>174</v>
      </c>
      <c r="S7" s="50" t="e">
        <f t="shared" si="1"/>
        <v>#REF!</v>
      </c>
      <c r="U7" s="469" t="s">
        <v>1439</v>
      </c>
    </row>
    <row r="8" spans="1:21">
      <c r="A8" s="469" t="s">
        <v>1440</v>
      </c>
      <c r="B8" s="470"/>
      <c r="C8" s="472"/>
      <c r="D8" s="470"/>
      <c r="E8" s="470"/>
      <c r="F8" s="470"/>
      <c r="G8" s="470"/>
      <c r="H8" s="470"/>
      <c r="I8" s="470"/>
      <c r="J8" s="470"/>
      <c r="K8" s="470"/>
      <c r="L8" s="470"/>
      <c r="M8" s="470"/>
      <c r="N8" s="470"/>
      <c r="O8" s="470"/>
      <c r="R8" s="471">
        <f t="shared" si="0"/>
        <v>0</v>
      </c>
      <c r="S8" s="50" t="e">
        <f t="shared" si="1"/>
        <v>#REF!</v>
      </c>
      <c r="U8" s="473" t="e">
        <f>SUM(R4:R12)/U6</f>
        <v>#REF!</v>
      </c>
    </row>
    <row r="9" spans="1:21">
      <c r="A9" s="469" t="s">
        <v>1441</v>
      </c>
      <c r="B9" s="470">
        <v>3</v>
      </c>
      <c r="C9" s="474"/>
      <c r="D9" s="475">
        <v>5</v>
      </c>
      <c r="E9" s="475">
        <v>2</v>
      </c>
      <c r="F9" s="475">
        <v>6</v>
      </c>
      <c r="G9" s="475">
        <v>4</v>
      </c>
      <c r="H9" s="475">
        <v>5</v>
      </c>
      <c r="I9" s="475">
        <v>5</v>
      </c>
      <c r="J9" s="475">
        <v>5</v>
      </c>
      <c r="K9" s="475">
        <v>4</v>
      </c>
      <c r="L9" s="475">
        <v>4</v>
      </c>
      <c r="M9" s="475">
        <v>6</v>
      </c>
      <c r="N9" s="475">
        <v>6</v>
      </c>
      <c r="O9" s="475">
        <v>7</v>
      </c>
      <c r="P9" s="475">
        <v>8</v>
      </c>
      <c r="Q9" s="475">
        <v>5</v>
      </c>
      <c r="R9" s="471">
        <f t="shared" si="0"/>
        <v>216</v>
      </c>
      <c r="S9" s="50" t="e">
        <f t="shared" si="1"/>
        <v>#REF!</v>
      </c>
      <c r="U9" s="469" t="s">
        <v>1442</v>
      </c>
    </row>
    <row r="10" spans="1:21">
      <c r="A10" s="469" t="s">
        <v>1443</v>
      </c>
      <c r="C10" s="472"/>
      <c r="D10" s="470"/>
      <c r="E10" s="470"/>
      <c r="F10" s="470"/>
      <c r="G10" s="470"/>
      <c r="H10" s="470"/>
      <c r="I10" s="470"/>
      <c r="J10" s="470"/>
      <c r="K10" s="470"/>
      <c r="L10" s="470"/>
      <c r="M10" s="470"/>
      <c r="N10" s="470"/>
      <c r="O10" s="470"/>
      <c r="R10" s="471">
        <f t="shared" si="0"/>
        <v>0</v>
      </c>
      <c r="S10" s="50" t="e">
        <f t="shared" si="1"/>
        <v>#REF!</v>
      </c>
      <c r="U10" s="476">
        <f>SUM(R4:R12)/U4</f>
        <v>0.14295954941116232</v>
      </c>
    </row>
    <row r="11" spans="1:21">
      <c r="A11" s="469" t="s">
        <v>1444</v>
      </c>
      <c r="B11" s="470">
        <v>9</v>
      </c>
      <c r="C11" s="472"/>
      <c r="D11" s="470"/>
      <c r="E11" s="470"/>
      <c r="F11" s="470"/>
      <c r="G11" s="470"/>
      <c r="H11" s="470"/>
      <c r="I11" s="470"/>
      <c r="J11" s="470"/>
      <c r="K11" s="470"/>
      <c r="L11" s="470"/>
      <c r="M11" s="470"/>
      <c r="N11" s="470"/>
      <c r="O11" s="470"/>
      <c r="R11" s="471">
        <f t="shared" si="0"/>
        <v>0</v>
      </c>
      <c r="S11" s="50" t="e">
        <f t="shared" si="1"/>
        <v>#REF!</v>
      </c>
    </row>
    <row r="12" spans="1:21">
      <c r="A12" s="469" t="s">
        <v>1445</v>
      </c>
      <c r="B12" s="470">
        <v>3</v>
      </c>
      <c r="C12" s="472"/>
      <c r="D12" s="470"/>
      <c r="E12" s="470">
        <v>1</v>
      </c>
      <c r="F12" s="470"/>
      <c r="G12" s="470">
        <v>1</v>
      </c>
      <c r="H12" s="470"/>
      <c r="I12" s="470"/>
      <c r="J12" s="470">
        <v>1</v>
      </c>
      <c r="K12" s="470">
        <v>1</v>
      </c>
      <c r="L12" s="470">
        <v>1</v>
      </c>
      <c r="M12" s="470">
        <v>1</v>
      </c>
      <c r="N12" s="470">
        <v>1</v>
      </c>
      <c r="O12" s="470">
        <v>1</v>
      </c>
      <c r="P12" s="470"/>
      <c r="Q12" s="470"/>
      <c r="R12" s="471">
        <f t="shared" si="0"/>
        <v>24</v>
      </c>
      <c r="S12" s="50" t="e">
        <f t="shared" si="1"/>
        <v>#REF!</v>
      </c>
    </row>
    <row r="13" spans="1:21">
      <c r="C13" s="471" t="s">
        <v>1446</v>
      </c>
      <c r="D13" s="471">
        <f t="shared" ref="D13:Q13" si="2">SUMPRODUCT($B$4:$B$12*D4:D12)</f>
        <v>33</v>
      </c>
      <c r="E13" s="471">
        <f t="shared" si="2"/>
        <v>65</v>
      </c>
      <c r="F13" s="471">
        <f t="shared" si="2"/>
        <v>36</v>
      </c>
      <c r="G13" s="471">
        <f t="shared" si="2"/>
        <v>57</v>
      </c>
      <c r="H13" s="471">
        <f t="shared" si="2"/>
        <v>27</v>
      </c>
      <c r="I13" s="471">
        <f t="shared" si="2"/>
        <v>39</v>
      </c>
      <c r="J13" s="471">
        <f t="shared" si="2"/>
        <v>71</v>
      </c>
      <c r="K13" s="471">
        <f t="shared" si="2"/>
        <v>42</v>
      </c>
      <c r="L13" s="471">
        <f t="shared" si="2"/>
        <v>62</v>
      </c>
      <c r="M13" s="471">
        <f t="shared" si="2"/>
        <v>74</v>
      </c>
      <c r="N13" s="471">
        <f t="shared" si="2"/>
        <v>48</v>
      </c>
      <c r="O13" s="471">
        <f t="shared" si="2"/>
        <v>60</v>
      </c>
      <c r="P13" s="471">
        <f t="shared" si="2"/>
        <v>45</v>
      </c>
      <c r="Q13" s="471">
        <f t="shared" si="2"/>
        <v>39</v>
      </c>
    </row>
    <row r="14" spans="1:21">
      <c r="C14" s="471" t="s">
        <v>1447</v>
      </c>
      <c r="D14" s="477">
        <v>170.74850000000001</v>
      </c>
      <c r="E14" s="477">
        <v>321.76799999999997</v>
      </c>
      <c r="F14" s="477">
        <v>140.065</v>
      </c>
      <c r="G14" s="477">
        <v>133.90649999999999</v>
      </c>
      <c r="H14" s="477">
        <v>114.3955</v>
      </c>
      <c r="I14" s="477">
        <v>155.70650000000001</v>
      </c>
      <c r="J14" s="477">
        <v>228.464</v>
      </c>
      <c r="K14" s="477">
        <v>197.072</v>
      </c>
      <c r="L14" s="477">
        <v>189.38749999999999</v>
      </c>
      <c r="M14" s="477">
        <v>277.73200000000003</v>
      </c>
      <c r="N14" s="477">
        <v>222.08750000000001</v>
      </c>
      <c r="O14" s="477">
        <v>151.4555</v>
      </c>
      <c r="P14" s="477">
        <v>126.1675</v>
      </c>
      <c r="Q14" s="477">
        <v>154.18049999999999</v>
      </c>
    </row>
    <row r="15" spans="1:21">
      <c r="C15" s="478" t="s">
        <v>1448</v>
      </c>
      <c r="D15" s="479">
        <v>0.1932667051247888</v>
      </c>
      <c r="E15" s="479">
        <v>0.2020089008229532</v>
      </c>
      <c r="F15" s="479">
        <v>0.25702352479206081</v>
      </c>
      <c r="G15" s="479">
        <v>0.42567015044079265</v>
      </c>
      <c r="H15" s="479">
        <v>0.2360232701461159</v>
      </c>
      <c r="I15" s="479">
        <v>0.25047123915828817</v>
      </c>
      <c r="J15" s="479">
        <v>0.31077106239932767</v>
      </c>
      <c r="K15" s="479">
        <v>0.21312007794105708</v>
      </c>
      <c r="L15" s="479">
        <v>0.32737113061844103</v>
      </c>
      <c r="M15" s="479">
        <v>0.2664439099563608</v>
      </c>
      <c r="N15" s="479">
        <v>0.21613102943659593</v>
      </c>
      <c r="O15" s="479">
        <v>0.396155966604052</v>
      </c>
      <c r="P15" s="479">
        <v>0.35666871420928525</v>
      </c>
      <c r="Q15" s="479">
        <v>0.25295027581308921</v>
      </c>
    </row>
    <row r="16" spans="1:21">
      <c r="C16" s="471"/>
      <c r="D16" s="471"/>
      <c r="E16" s="471"/>
      <c r="F16" s="471"/>
      <c r="G16" s="471"/>
      <c r="H16" s="471"/>
      <c r="I16" s="471"/>
      <c r="J16" s="471"/>
      <c r="K16" s="471"/>
      <c r="L16" s="471"/>
      <c r="M16" s="471"/>
      <c r="N16" s="471"/>
      <c r="O16" s="471"/>
    </row>
    <row r="17" spans="3:15">
      <c r="C17" s="471"/>
      <c r="D17" s="471"/>
      <c r="E17" s="471"/>
      <c r="F17" s="471"/>
      <c r="G17" s="471"/>
      <c r="H17" s="471"/>
      <c r="I17" s="471"/>
      <c r="J17" s="471"/>
      <c r="K17" s="471"/>
      <c r="L17" s="471"/>
      <c r="M17" s="471"/>
      <c r="N17" s="471"/>
      <c r="O17" s="471"/>
    </row>
    <row r="44" spans="3:17">
      <c r="C44" s="471" t="s">
        <v>515</v>
      </c>
      <c r="D44" s="471" t="s">
        <v>271</v>
      </c>
      <c r="E44" s="471" t="s">
        <v>277</v>
      </c>
      <c r="F44" s="471" t="s">
        <v>284</v>
      </c>
      <c r="G44" s="471" t="s">
        <v>288</v>
      </c>
      <c r="H44" s="471" t="s">
        <v>293</v>
      </c>
      <c r="I44" s="471" t="s">
        <v>305</v>
      </c>
      <c r="J44" s="471" t="s">
        <v>297</v>
      </c>
      <c r="K44" s="471" t="s">
        <v>314</v>
      </c>
      <c r="L44" s="471" t="s">
        <v>317</v>
      </c>
      <c r="M44" s="471" t="s">
        <v>322</v>
      </c>
      <c r="N44" s="471" t="s">
        <v>330</v>
      </c>
      <c r="O44" s="471" t="s">
        <v>335</v>
      </c>
      <c r="P44" s="471" t="s">
        <v>338</v>
      </c>
      <c r="Q44" s="471" t="s">
        <v>341</v>
      </c>
    </row>
    <row r="45" spans="3:17">
      <c r="C45" s="480" t="s">
        <v>1449</v>
      </c>
      <c r="D45" s="470">
        <f>D13</f>
        <v>33</v>
      </c>
      <c r="E45" s="470">
        <f t="shared" ref="E45:Q46" si="3">E13</f>
        <v>65</v>
      </c>
      <c r="F45" s="470">
        <f t="shared" si="3"/>
        <v>36</v>
      </c>
      <c r="G45" s="470">
        <f t="shared" si="3"/>
        <v>57</v>
      </c>
      <c r="H45" s="470">
        <f t="shared" si="3"/>
        <v>27</v>
      </c>
      <c r="I45" s="470">
        <f t="shared" si="3"/>
        <v>39</v>
      </c>
      <c r="J45" s="470">
        <f t="shared" si="3"/>
        <v>71</v>
      </c>
      <c r="K45" s="470">
        <f t="shared" si="3"/>
        <v>42</v>
      </c>
      <c r="L45" s="470">
        <f t="shared" si="3"/>
        <v>62</v>
      </c>
      <c r="M45" s="470">
        <f t="shared" si="3"/>
        <v>74</v>
      </c>
      <c r="N45" s="470">
        <f t="shared" si="3"/>
        <v>48</v>
      </c>
      <c r="O45" s="470">
        <f t="shared" si="3"/>
        <v>60</v>
      </c>
      <c r="P45" s="470">
        <f t="shared" si="3"/>
        <v>45</v>
      </c>
      <c r="Q45" s="470">
        <f t="shared" si="3"/>
        <v>39</v>
      </c>
    </row>
    <row r="46" spans="3:17">
      <c r="C46" s="480" t="s">
        <v>1450</v>
      </c>
      <c r="D46" s="481">
        <f>D14</f>
        <v>170.74850000000001</v>
      </c>
      <c r="E46" s="481">
        <f t="shared" si="3"/>
        <v>321.76799999999997</v>
      </c>
      <c r="F46" s="481">
        <f t="shared" si="3"/>
        <v>140.065</v>
      </c>
      <c r="G46" s="481">
        <f t="shared" si="3"/>
        <v>133.90649999999999</v>
      </c>
      <c r="H46" s="481">
        <f t="shared" si="3"/>
        <v>114.3955</v>
      </c>
      <c r="I46" s="481">
        <f t="shared" si="3"/>
        <v>155.70650000000001</v>
      </c>
      <c r="J46" s="481">
        <f t="shared" si="3"/>
        <v>228.464</v>
      </c>
      <c r="K46" s="481">
        <f t="shared" si="3"/>
        <v>197.072</v>
      </c>
      <c r="L46" s="481">
        <f t="shared" si="3"/>
        <v>189.38749999999999</v>
      </c>
      <c r="M46" s="481">
        <f t="shared" si="3"/>
        <v>277.73200000000003</v>
      </c>
      <c r="N46" s="481">
        <f t="shared" si="3"/>
        <v>222.08750000000001</v>
      </c>
      <c r="O46" s="481">
        <f t="shared" si="3"/>
        <v>151.4555</v>
      </c>
      <c r="P46" s="481">
        <f t="shared" si="3"/>
        <v>126.1675</v>
      </c>
      <c r="Q46" s="481">
        <f t="shared" si="3"/>
        <v>154.18049999999999</v>
      </c>
    </row>
    <row r="47" spans="3:17">
      <c r="C47" s="480" t="s">
        <v>1451</v>
      </c>
      <c r="D47" s="481">
        <f>D46-D45</f>
        <v>137.74850000000001</v>
      </c>
      <c r="E47" s="481">
        <f t="shared" ref="E47:Q47" si="4">E46-E45</f>
        <v>256.76799999999997</v>
      </c>
      <c r="F47" s="481">
        <f t="shared" si="4"/>
        <v>104.065</v>
      </c>
      <c r="G47" s="481">
        <f t="shared" si="4"/>
        <v>76.906499999999994</v>
      </c>
      <c r="H47" s="481">
        <f t="shared" si="4"/>
        <v>87.395499999999998</v>
      </c>
      <c r="I47" s="481">
        <f t="shared" si="4"/>
        <v>116.70650000000001</v>
      </c>
      <c r="J47" s="481">
        <f t="shared" si="4"/>
        <v>157.464</v>
      </c>
      <c r="K47" s="481">
        <f t="shared" si="4"/>
        <v>155.072</v>
      </c>
      <c r="L47" s="481">
        <f t="shared" si="4"/>
        <v>127.38749999999999</v>
      </c>
      <c r="M47" s="481">
        <f t="shared" si="4"/>
        <v>203.73200000000003</v>
      </c>
      <c r="N47" s="481">
        <f t="shared" si="4"/>
        <v>174.08750000000001</v>
      </c>
      <c r="O47" s="481">
        <f t="shared" si="4"/>
        <v>91.455500000000001</v>
      </c>
      <c r="P47" s="481">
        <f t="shared" si="4"/>
        <v>81.167500000000004</v>
      </c>
      <c r="Q47" s="481">
        <f t="shared" si="4"/>
        <v>115.18049999999999</v>
      </c>
    </row>
  </sheetData>
  <pageMargins left="0.7" right="0.7" top="0.75" bottom="0.75" header="0.3" footer="0.3"/>
  <pageSetup paperSize="9" orientation="portrait" r:id="rId1"/>
  <headerFooter>
    <oddFooter>&amp;L&amp;1#&amp;"Calibri"&amp;7&amp;K000000C2 General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dimension ref="A1"/>
  <sheetViews>
    <sheetView topLeftCell="A10" zoomScale="75" zoomScaleNormal="75" workbookViewId="0">
      <selection activeCell="AA55" sqref="AA55"/>
    </sheetView>
  </sheetViews>
  <sheetFormatPr defaultColWidth="8.6640625" defaultRowHeight="10.15"/>
  <sheetData/>
  <pageMargins left="0.70866141732283472" right="0.70866141732283472" top="0.74803149606299213" bottom="0.74803149606299213" header="0.31496062992125984" footer="0.31496062992125984"/>
  <pageSetup paperSize="8" orientation="landscape" r:id="rId1"/>
  <headerFooter>
    <oddFooter>&amp;C&amp;K00-007Page &amp;P of &amp;N&amp;R&amp;K00-007MTX Space and Power Utilisation Jan 2013&amp;L&amp;"Calibri"&amp;11&amp;K000000&amp;K00-014C2 - VODAFONE RESTRICTED_x000D_&amp;1#&amp;"Calibri"&amp;7&amp;K000000C2 General</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dimension ref="A1:N76"/>
  <sheetViews>
    <sheetView workbookViewId="0">
      <selection activeCell="B5" sqref="B5"/>
    </sheetView>
  </sheetViews>
  <sheetFormatPr defaultColWidth="8.6640625" defaultRowHeight="10.15"/>
  <cols>
    <col min="1" max="1" width="8.1640625" bestFit="1" customWidth="1"/>
    <col min="2" max="3" width="28.1640625" bestFit="1" customWidth="1"/>
    <col min="4" max="4" width="18.1640625" bestFit="1" customWidth="1"/>
    <col min="5" max="5" width="17.5" bestFit="1" customWidth="1"/>
    <col min="6" max="6" width="13.5" bestFit="1" customWidth="1"/>
    <col min="7" max="7" width="19" bestFit="1" customWidth="1"/>
    <col min="8" max="8" width="14.6640625" bestFit="1" customWidth="1"/>
    <col min="9" max="9" width="5" bestFit="1" customWidth="1"/>
    <col min="10" max="12" width="15.1640625" bestFit="1" customWidth="1"/>
    <col min="13" max="13" width="13.6640625" bestFit="1" customWidth="1"/>
    <col min="14" max="14" width="12.6640625" bestFit="1" customWidth="1"/>
  </cols>
  <sheetData>
    <row r="1" spans="1:14" ht="15">
      <c r="B1" s="1400" t="s">
        <v>1452</v>
      </c>
      <c r="C1" s="1400"/>
      <c r="D1" s="347"/>
    </row>
    <row r="2" spans="1:14" ht="15">
      <c r="B2" s="47"/>
      <c r="D2" s="47"/>
      <c r="J2" s="1399" t="s">
        <v>1453</v>
      </c>
      <c r="K2" s="1399"/>
      <c r="L2" s="1399"/>
    </row>
    <row r="3" spans="1:14" ht="20.45">
      <c r="A3" s="51" t="s">
        <v>7</v>
      </c>
      <c r="B3" s="445" t="s">
        <v>1454</v>
      </c>
      <c r="C3" s="445" t="s">
        <v>1455</v>
      </c>
      <c r="D3" s="332" t="s">
        <v>347</v>
      </c>
      <c r="E3" s="332" t="s">
        <v>266</v>
      </c>
      <c r="F3" s="326" t="s">
        <v>1456</v>
      </c>
      <c r="G3" s="326" t="s">
        <v>1457</v>
      </c>
      <c r="H3" s="332" t="s">
        <v>1458</v>
      </c>
      <c r="I3" s="347"/>
      <c r="J3" s="64"/>
      <c r="K3" s="327" t="s">
        <v>1454</v>
      </c>
      <c r="L3" s="328" t="s">
        <v>1455</v>
      </c>
      <c r="M3" s="328" t="s">
        <v>347</v>
      </c>
      <c r="N3" s="328" t="s">
        <v>266</v>
      </c>
    </row>
    <row r="4" spans="1:14">
      <c r="A4" s="107" t="s">
        <v>271</v>
      </c>
      <c r="B4" s="447" t="e">
        <v>#REF!</v>
      </c>
      <c r="C4" s="440">
        <f>'Plant loading'!G4</f>
        <v>172.3835</v>
      </c>
      <c r="D4" s="447">
        <f>'Power figures'!D2</f>
        <v>13.897500000000001</v>
      </c>
      <c r="E4" s="447">
        <f>'Power figures'!C2</f>
        <v>1.526</v>
      </c>
      <c r="F4" s="447"/>
      <c r="G4" s="447">
        <v>10</v>
      </c>
      <c r="H4" s="447" t="e">
        <f t="shared" ref="H4:H17" si="0">C4-B4</f>
        <v>#REF!</v>
      </c>
      <c r="J4" s="347"/>
      <c r="K4" s="354"/>
    </row>
    <row r="5" spans="1:14">
      <c r="A5" s="107" t="s">
        <v>277</v>
      </c>
      <c r="B5" s="447" t="e">
        <v>#REF!</v>
      </c>
      <c r="C5" s="440">
        <f>'Plant loading'!G9</f>
        <v>370.6</v>
      </c>
      <c r="D5" s="447">
        <f>'Power figures'!D3</f>
        <v>39.021999999999998</v>
      </c>
      <c r="E5" s="447">
        <f>'Power figures'!C3</f>
        <v>57.606499999999997</v>
      </c>
      <c r="F5" s="447"/>
      <c r="G5" s="447">
        <v>34</v>
      </c>
      <c r="H5" s="447" t="e">
        <f t="shared" si="0"/>
        <v>#REF!</v>
      </c>
      <c r="J5" s="347" t="s">
        <v>288</v>
      </c>
      <c r="K5" s="354" t="e">
        <f>B7</f>
        <v>#REF!</v>
      </c>
    </row>
    <row r="6" spans="1:14">
      <c r="A6" s="107" t="s">
        <v>284</v>
      </c>
      <c r="B6" s="447" t="e">
        <v>#REF!</v>
      </c>
      <c r="C6" s="440">
        <f>'Plant loading'!G17</f>
        <v>127.203</v>
      </c>
      <c r="D6" s="447">
        <f>'Power figures'!D4</f>
        <v>0</v>
      </c>
      <c r="E6" s="447">
        <f>'Power figures'!C4</f>
        <v>8.0660000000000007</v>
      </c>
      <c r="F6" s="447"/>
      <c r="G6" s="447"/>
      <c r="H6" s="447" t="e">
        <f t="shared" si="0"/>
        <v>#REF!</v>
      </c>
      <c r="K6" s="354"/>
      <c r="L6" s="354">
        <f>C7</f>
        <v>290.1035</v>
      </c>
      <c r="M6" s="354">
        <f>D7</f>
        <v>50.085500000000003</v>
      </c>
      <c r="N6" s="354">
        <f>E7</f>
        <v>6.3765000000000001</v>
      </c>
    </row>
    <row r="7" spans="1:14">
      <c r="A7" s="326" t="s">
        <v>288</v>
      </c>
      <c r="B7" s="446" t="e">
        <v>#REF!</v>
      </c>
      <c r="C7" s="441">
        <f>'Plant loading'!G22</f>
        <v>290.1035</v>
      </c>
      <c r="D7" s="442">
        <f>'Power figures'!D5</f>
        <v>50.085500000000003</v>
      </c>
      <c r="E7" s="442">
        <f>'Power figures'!C5</f>
        <v>6.3765000000000001</v>
      </c>
      <c r="F7" s="442"/>
      <c r="G7" s="442"/>
      <c r="H7" s="442" t="e">
        <f t="shared" si="0"/>
        <v>#REF!</v>
      </c>
      <c r="K7" s="354"/>
      <c r="L7" s="354"/>
      <c r="M7" s="354"/>
    </row>
    <row r="8" spans="1:14">
      <c r="A8" s="326" t="s">
        <v>293</v>
      </c>
      <c r="B8" s="446" t="e">
        <v>#REF!</v>
      </c>
      <c r="C8" s="441">
        <f>'Plant loading'!G28</f>
        <v>82.567499999999995</v>
      </c>
      <c r="D8" s="442">
        <f>'Power figures'!D6</f>
        <v>0</v>
      </c>
      <c r="E8" s="442">
        <f>'Power figures'!C6</f>
        <v>0</v>
      </c>
      <c r="F8" s="442"/>
      <c r="G8" s="442">
        <v>2</v>
      </c>
      <c r="H8" s="442" t="e">
        <f t="shared" si="0"/>
        <v>#REF!</v>
      </c>
      <c r="J8" s="347" t="s">
        <v>293</v>
      </c>
      <c r="K8" s="354" t="e">
        <f>B8</f>
        <v>#REF!</v>
      </c>
      <c r="L8" s="354"/>
      <c r="M8" s="354"/>
    </row>
    <row r="9" spans="1:14">
      <c r="A9" s="107" t="s">
        <v>305</v>
      </c>
      <c r="B9" s="447" t="e">
        <v>#REF!</v>
      </c>
      <c r="C9" s="440">
        <f>'Plant loading'!G32</f>
        <v>260.51</v>
      </c>
      <c r="D9" s="447">
        <f>'Power figures'!D7</f>
        <v>120.336</v>
      </c>
      <c r="E9" s="447">
        <f>'Power figures'!C7</f>
        <v>6.0604000000000005</v>
      </c>
      <c r="F9" s="447"/>
      <c r="G9" s="447">
        <v>2</v>
      </c>
      <c r="H9" s="447" t="e">
        <f t="shared" si="0"/>
        <v>#REF!</v>
      </c>
      <c r="K9" s="354"/>
      <c r="L9" s="354">
        <f>C8</f>
        <v>82.567499999999995</v>
      </c>
      <c r="M9" s="354">
        <f>D8</f>
        <v>0</v>
      </c>
      <c r="N9" s="354">
        <f>E8</f>
        <v>0</v>
      </c>
    </row>
    <row r="10" spans="1:14">
      <c r="A10" s="107" t="s">
        <v>297</v>
      </c>
      <c r="B10" s="447" t="e">
        <v>#REF!</v>
      </c>
      <c r="C10" s="440" t="e">
        <f>SUM('Plant loading'!G39)+('Inverter Loading'!#REF!+'Inverter Loading'!#REF!)</f>
        <v>#REF!</v>
      </c>
      <c r="D10" s="447">
        <f>'Power figures'!D8</f>
        <v>67.307500000000005</v>
      </c>
      <c r="E10" s="447">
        <f>'Power figures'!C8</f>
        <v>20.388449999999999</v>
      </c>
      <c r="F10" s="447"/>
      <c r="G10" s="447">
        <v>40</v>
      </c>
      <c r="H10" s="447" t="e">
        <f t="shared" si="0"/>
        <v>#REF!</v>
      </c>
      <c r="K10" s="354"/>
      <c r="L10" s="354"/>
      <c r="M10" s="354"/>
    </row>
    <row r="11" spans="1:14">
      <c r="A11" s="326" t="s">
        <v>314</v>
      </c>
      <c r="B11" s="446" t="e">
        <v>#REF!</v>
      </c>
      <c r="C11" s="441">
        <f>'Plant loading'!G47</f>
        <v>126.985</v>
      </c>
      <c r="D11" s="442">
        <f>'Power figures'!D9</f>
        <v>0</v>
      </c>
      <c r="E11" s="442">
        <f>'Power figures'!C9</f>
        <v>0</v>
      </c>
      <c r="F11" s="442"/>
      <c r="G11" s="442">
        <v>13</v>
      </c>
      <c r="H11" s="442" t="e">
        <f t="shared" si="0"/>
        <v>#REF!</v>
      </c>
      <c r="J11" s="347" t="s">
        <v>314</v>
      </c>
      <c r="K11" s="354" t="e">
        <f>B11</f>
        <v>#REF!</v>
      </c>
      <c r="L11" s="354"/>
      <c r="M11" s="354"/>
    </row>
    <row r="12" spans="1:14">
      <c r="A12" s="107" t="s">
        <v>317</v>
      </c>
      <c r="B12" s="447" t="e">
        <v>#REF!</v>
      </c>
      <c r="C12" s="440" t="e">
        <f>SUM('Plant loading'!G56)+('Inverter Loading'!#REF!+'Inverter Loading'!#REF!)</f>
        <v>#REF!</v>
      </c>
      <c r="D12" s="447">
        <f>'Power figures'!D10</f>
        <v>55.917000000000002</v>
      </c>
      <c r="E12" s="447">
        <f>'Power figures'!C10</f>
        <v>7.085</v>
      </c>
      <c r="F12" s="447"/>
      <c r="G12" s="447">
        <v>15</v>
      </c>
      <c r="H12" s="447" t="e">
        <f t="shared" si="0"/>
        <v>#REF!</v>
      </c>
      <c r="K12" s="354"/>
      <c r="L12" s="354">
        <f>C11</f>
        <v>126.985</v>
      </c>
      <c r="M12" s="354">
        <f>D11</f>
        <v>0</v>
      </c>
      <c r="N12" s="354">
        <f>E11</f>
        <v>0</v>
      </c>
    </row>
    <row r="13" spans="1:14">
      <c r="A13" s="107" t="s">
        <v>322</v>
      </c>
      <c r="B13" s="447" t="e">
        <v>#REF!</v>
      </c>
      <c r="C13" s="440">
        <f>'Plant loading'!G64</f>
        <v>368.14749999999998</v>
      </c>
      <c r="D13" s="447">
        <f>'Power figures'!D11</f>
        <v>28.721499999999999</v>
      </c>
      <c r="E13" s="447">
        <f>'Power figures'!C11</f>
        <v>46.106999999999999</v>
      </c>
      <c r="F13" s="447"/>
      <c r="G13" s="447">
        <v>10</v>
      </c>
      <c r="H13" s="447" t="e">
        <f t="shared" si="0"/>
        <v>#REF!</v>
      </c>
      <c r="K13" s="354"/>
      <c r="L13" s="354"/>
      <c r="M13" s="354"/>
    </row>
    <row r="14" spans="1:14">
      <c r="A14" s="107" t="s">
        <v>330</v>
      </c>
      <c r="B14" s="447" t="e">
        <v>#REF!</v>
      </c>
      <c r="C14" s="440">
        <f>'Plant loading'!G72</f>
        <v>294.57249999999999</v>
      </c>
      <c r="D14" s="447">
        <f>'Power figures'!D12</f>
        <v>105.5665</v>
      </c>
      <c r="E14" s="447">
        <f>'Power figures'!C12</f>
        <v>16.241</v>
      </c>
      <c r="F14" s="447"/>
      <c r="G14" s="447">
        <v>3</v>
      </c>
      <c r="H14" s="447" t="e">
        <f t="shared" si="0"/>
        <v>#REF!</v>
      </c>
      <c r="J14" s="347" t="s">
        <v>338</v>
      </c>
      <c r="K14" s="354" t="e">
        <f>B16</f>
        <v>#REF!</v>
      </c>
      <c r="L14" s="354"/>
      <c r="M14" s="354"/>
    </row>
    <row r="15" spans="1:14">
      <c r="A15" s="107" t="s">
        <v>335</v>
      </c>
      <c r="B15" s="447" t="e">
        <v>#REF!</v>
      </c>
      <c r="C15" s="440">
        <f>'Plant loading'!G80</f>
        <v>99.462500000000006</v>
      </c>
      <c r="D15" s="447">
        <f>'Power figures'!D13</f>
        <v>0</v>
      </c>
      <c r="E15" s="447">
        <f>'Power figures'!C13</f>
        <v>14.715</v>
      </c>
      <c r="F15" s="447">
        <v>1</v>
      </c>
      <c r="G15" s="447"/>
      <c r="H15" s="447" t="e">
        <f t="shared" si="0"/>
        <v>#REF!</v>
      </c>
      <c r="K15" s="354"/>
      <c r="L15" s="354">
        <f>C16</f>
        <v>92.704499999999996</v>
      </c>
      <c r="M15" s="354">
        <f>D16</f>
        <v>0</v>
      </c>
      <c r="N15" s="354">
        <f>E16</f>
        <v>18.748000000000001</v>
      </c>
    </row>
    <row r="16" spans="1:14">
      <c r="A16" s="326" t="s">
        <v>338</v>
      </c>
      <c r="B16" s="446" t="e">
        <v>#REF!</v>
      </c>
      <c r="C16" s="441">
        <f>'Plant loading'!G85</f>
        <v>92.704499999999996</v>
      </c>
      <c r="D16" s="442">
        <f>'Power figures'!D14</f>
        <v>0</v>
      </c>
      <c r="E16" s="442">
        <f>'Power figures'!C14</f>
        <v>18.748000000000001</v>
      </c>
      <c r="F16" s="442"/>
      <c r="G16" s="442">
        <v>3</v>
      </c>
      <c r="H16" s="442" t="e">
        <f t="shared" si="0"/>
        <v>#REF!</v>
      </c>
      <c r="K16" s="354"/>
      <c r="L16" s="354"/>
      <c r="M16" s="354"/>
    </row>
    <row r="17" spans="1:14">
      <c r="A17" s="326" t="s">
        <v>341</v>
      </c>
      <c r="B17" s="446" t="e">
        <v>#REF!</v>
      </c>
      <c r="C17" s="441">
        <f>'Plant loading'!G89</f>
        <v>109.872</v>
      </c>
      <c r="D17" s="442">
        <f>'Power figures'!D15</f>
        <v>0</v>
      </c>
      <c r="E17" s="442">
        <f>'Power figures'!C15</f>
        <v>0</v>
      </c>
      <c r="F17" s="442"/>
      <c r="G17" s="442">
        <v>4</v>
      </c>
      <c r="H17" s="442" t="e">
        <f t="shared" si="0"/>
        <v>#REF!</v>
      </c>
      <c r="J17" s="347" t="s">
        <v>341</v>
      </c>
      <c r="K17" s="354" t="e">
        <f>B17</f>
        <v>#REF!</v>
      </c>
      <c r="L17" s="354"/>
      <c r="M17" s="354"/>
    </row>
    <row r="18" spans="1:14">
      <c r="A18" s="52" t="s">
        <v>569</v>
      </c>
      <c r="B18" s="329" t="e">
        <f t="shared" ref="B18:G18" si="1">SUM(B4:B17)</f>
        <v>#REF!</v>
      </c>
      <c r="C18" s="329" t="e">
        <f t="shared" si="1"/>
        <v>#REF!</v>
      </c>
      <c r="D18" s="329">
        <f t="shared" si="1"/>
        <v>480.85350000000005</v>
      </c>
      <c r="E18" s="329">
        <f t="shared" si="1"/>
        <v>202.91984999999997</v>
      </c>
      <c r="F18" s="329">
        <f t="shared" si="1"/>
        <v>1</v>
      </c>
      <c r="G18" s="329">
        <f t="shared" si="1"/>
        <v>136</v>
      </c>
      <c r="H18" s="329" t="e">
        <f>SUM(C18-B18)</f>
        <v>#REF!</v>
      </c>
      <c r="I18" s="87"/>
      <c r="L18" s="354">
        <f>C17</f>
        <v>109.872</v>
      </c>
      <c r="M18" s="354">
        <f>D17</f>
        <v>0</v>
      </c>
      <c r="N18" s="354">
        <f>E17</f>
        <v>0</v>
      </c>
    </row>
    <row r="19" spans="1:14">
      <c r="A19" s="29" t="s">
        <v>1459</v>
      </c>
      <c r="B19" s="85" t="e">
        <f t="shared" ref="B19:G19" si="2">SUM(B4+B5+B6+B9+B10+B12+B13+B14+B15)</f>
        <v>#REF!</v>
      </c>
      <c r="C19" s="85" t="e">
        <f t="shared" si="2"/>
        <v>#REF!</v>
      </c>
      <c r="D19" s="85">
        <f t="shared" si="2"/>
        <v>430.76800000000003</v>
      </c>
      <c r="E19" s="85">
        <f t="shared" si="2"/>
        <v>177.79534999999996</v>
      </c>
      <c r="F19" s="85">
        <f t="shared" si="2"/>
        <v>1</v>
      </c>
      <c r="G19" s="85">
        <f t="shared" si="2"/>
        <v>114</v>
      </c>
      <c r="H19" s="85">
        <f>F19-G19</f>
        <v>-113</v>
      </c>
      <c r="I19" s="85"/>
    </row>
    <row r="20" spans="1:14">
      <c r="A20" s="14" t="s">
        <v>1460</v>
      </c>
      <c r="B20" s="83" t="e">
        <f>B18-B19</f>
        <v>#REF!</v>
      </c>
      <c r="C20" s="83" t="e">
        <f>C18-C19</f>
        <v>#REF!</v>
      </c>
      <c r="D20" s="83">
        <f>D18-D19</f>
        <v>50.085500000000025</v>
      </c>
      <c r="E20" s="83">
        <f>SUM(E7+E8+E11+E16+E17)</f>
        <v>25.124500000000001</v>
      </c>
      <c r="F20" s="83">
        <f>SUM(F7+F8+F11+F16+F17)</f>
        <v>0</v>
      </c>
      <c r="G20" s="83">
        <f>SUM(G7+G8+G11+G16+G17)</f>
        <v>22</v>
      </c>
      <c r="H20" s="83">
        <f>F20-G20</f>
        <v>-22</v>
      </c>
      <c r="I20" s="83"/>
    </row>
    <row r="21" spans="1:14" ht="20.45">
      <c r="J21" s="327" t="s">
        <v>1454</v>
      </c>
      <c r="K21" s="328" t="s">
        <v>1455</v>
      </c>
      <c r="L21" s="328" t="s">
        <v>347</v>
      </c>
      <c r="M21" s="328" t="s">
        <v>266</v>
      </c>
    </row>
    <row r="22" spans="1:14" ht="15">
      <c r="B22" s="1400" t="s">
        <v>1461</v>
      </c>
      <c r="C22" s="1400"/>
      <c r="D22" s="47"/>
      <c r="I22" s="347" t="s">
        <v>277</v>
      </c>
      <c r="J22" s="354" t="e">
        <f>B5</f>
        <v>#REF!</v>
      </c>
      <c r="K22" s="354"/>
      <c r="L22" s="354"/>
      <c r="M22" s="354"/>
    </row>
    <row r="23" spans="1:14" ht="15">
      <c r="B23" s="47"/>
      <c r="D23" s="47"/>
      <c r="J23" s="354"/>
      <c r="K23" s="354">
        <f>C5</f>
        <v>370.6</v>
      </c>
      <c r="L23" s="354">
        <f>D5</f>
        <v>39.021999999999998</v>
      </c>
      <c r="M23" s="354">
        <f>E5</f>
        <v>57.606499999999997</v>
      </c>
    </row>
    <row r="24" spans="1:14">
      <c r="A24" s="51" t="s">
        <v>7</v>
      </c>
      <c r="B24" s="326" t="s">
        <v>1462</v>
      </c>
      <c r="C24" s="326" t="s">
        <v>1463</v>
      </c>
      <c r="D24" s="436" t="s">
        <v>1464</v>
      </c>
      <c r="E24" s="51" t="s">
        <v>1456</v>
      </c>
      <c r="F24" s="51" t="s">
        <v>1457</v>
      </c>
      <c r="H24" s="64"/>
      <c r="J24" s="354"/>
      <c r="K24" s="354"/>
      <c r="L24" s="354"/>
      <c r="M24" s="354"/>
    </row>
    <row r="25" spans="1:14">
      <c r="A25" s="51" t="s">
        <v>271</v>
      </c>
      <c r="B25" s="123">
        <v>5</v>
      </c>
      <c r="C25" s="446">
        <f>'Inverter Loading'!M2</f>
        <v>15</v>
      </c>
      <c r="D25" s="442">
        <f t="shared" ref="D25:D38" si="3">C25-B25</f>
        <v>10</v>
      </c>
      <c r="E25" s="51"/>
      <c r="F25" s="51">
        <v>-1</v>
      </c>
      <c r="I25" s="347" t="s">
        <v>297</v>
      </c>
      <c r="J25" s="354" t="e">
        <f>B10</f>
        <v>#REF!</v>
      </c>
      <c r="K25" s="354"/>
      <c r="L25" s="354"/>
      <c r="M25" s="354"/>
    </row>
    <row r="26" spans="1:14">
      <c r="A26" s="107" t="s">
        <v>277</v>
      </c>
      <c r="B26" s="117">
        <v>122</v>
      </c>
      <c r="C26" s="447" t="e">
        <f>SUM('Inverter Loading'!#REF!:'Inverter Loading'!#REF!)</f>
        <v>#REF!</v>
      </c>
      <c r="D26" s="447" t="e">
        <f t="shared" si="3"/>
        <v>#REF!</v>
      </c>
      <c r="E26" s="107"/>
      <c r="F26" s="107">
        <v>-34</v>
      </c>
      <c r="J26" s="354"/>
      <c r="K26" s="354" t="e">
        <f>C10</f>
        <v>#REF!</v>
      </c>
      <c r="L26" s="354">
        <f>D10</f>
        <v>67.307500000000005</v>
      </c>
      <c r="M26" s="354">
        <f>E10</f>
        <v>20.388449999999999</v>
      </c>
    </row>
    <row r="27" spans="1:14">
      <c r="A27" s="107" t="s">
        <v>284</v>
      </c>
      <c r="B27" s="117">
        <v>14</v>
      </c>
      <c r="C27" s="447">
        <f>'Inverter Loading'!M10</f>
        <v>8</v>
      </c>
      <c r="D27" s="447">
        <f t="shared" si="3"/>
        <v>-6</v>
      </c>
      <c r="E27" s="107"/>
      <c r="F27" s="107">
        <v>-4</v>
      </c>
      <c r="J27" s="354"/>
      <c r="K27" s="354"/>
      <c r="L27" s="354"/>
      <c r="M27" s="354"/>
    </row>
    <row r="28" spans="1:14">
      <c r="A28" s="51" t="s">
        <v>288</v>
      </c>
      <c r="B28" s="123">
        <v>5</v>
      </c>
      <c r="C28" s="446" t="e">
        <f>'Inverter Loading'!#REF!</f>
        <v>#REF!</v>
      </c>
      <c r="D28" s="442" t="e">
        <f t="shared" si="3"/>
        <v>#REF!</v>
      </c>
      <c r="E28" s="51"/>
      <c r="F28" s="51">
        <v>-2</v>
      </c>
      <c r="I28" s="347" t="s">
        <v>317</v>
      </c>
      <c r="J28" s="354" t="e">
        <f>B12</f>
        <v>#REF!</v>
      </c>
      <c r="K28" s="354"/>
      <c r="L28" s="354"/>
      <c r="M28" s="354"/>
    </row>
    <row r="29" spans="1:14">
      <c r="A29" s="51" t="s">
        <v>293</v>
      </c>
      <c r="B29" s="123">
        <v>5</v>
      </c>
      <c r="C29" s="446" t="e">
        <f>'Inverter Loading'!#REF!</f>
        <v>#REF!</v>
      </c>
      <c r="D29" s="442" t="e">
        <f t="shared" si="3"/>
        <v>#REF!</v>
      </c>
      <c r="E29" s="51"/>
      <c r="F29" s="51">
        <v>-1</v>
      </c>
      <c r="J29" s="354"/>
      <c r="K29" s="354" t="e">
        <f>C12</f>
        <v>#REF!</v>
      </c>
      <c r="L29" s="354">
        <f>D12</f>
        <v>55.917000000000002</v>
      </c>
      <c r="M29" s="354">
        <f>E12</f>
        <v>7.085</v>
      </c>
    </row>
    <row r="30" spans="1:14">
      <c r="A30" s="107" t="s">
        <v>305</v>
      </c>
      <c r="B30" s="117">
        <v>14</v>
      </c>
      <c r="C30" s="447">
        <f>'Inverter Loading'!M20</f>
        <v>2.2999999999999998</v>
      </c>
      <c r="D30" s="447">
        <f t="shared" si="3"/>
        <v>-11.7</v>
      </c>
      <c r="E30" s="107"/>
      <c r="F30" s="107">
        <v>-3</v>
      </c>
      <c r="J30" s="354"/>
      <c r="K30" s="354"/>
      <c r="L30" s="354"/>
      <c r="M30" s="354"/>
    </row>
    <row r="31" spans="1:14">
      <c r="A31" s="107" t="s">
        <v>297</v>
      </c>
      <c r="B31" s="117">
        <v>58</v>
      </c>
      <c r="C31" s="447" t="e">
        <f ca="1">SUM('Inverter Loading'!M16:'Inverter Loading'!#REF!)</f>
        <v>#REF!</v>
      </c>
      <c r="D31" s="447" t="e">
        <f t="shared" ca="1" si="3"/>
        <v>#REF!</v>
      </c>
      <c r="E31" s="107"/>
      <c r="F31" s="107">
        <v>-1</v>
      </c>
      <c r="I31" s="347" t="s">
        <v>322</v>
      </c>
      <c r="J31" s="354" t="e">
        <f>B13</f>
        <v>#REF!</v>
      </c>
      <c r="K31" s="354"/>
      <c r="L31" s="354"/>
      <c r="M31" s="354"/>
    </row>
    <row r="32" spans="1:14">
      <c r="A32" s="51" t="s">
        <v>314</v>
      </c>
      <c r="B32" s="123">
        <v>39</v>
      </c>
      <c r="C32" s="446" t="e">
        <f ca="1">SUM('Inverter Loading'!M24:'Inverter Loading'!#REF!)</f>
        <v>#REF!</v>
      </c>
      <c r="D32" s="442" t="e">
        <f t="shared" ca="1" si="3"/>
        <v>#REF!</v>
      </c>
      <c r="E32" s="51"/>
      <c r="F32" s="51">
        <v>-5</v>
      </c>
      <c r="J32" s="354"/>
      <c r="K32" s="354">
        <f>C13</f>
        <v>368.14749999999998</v>
      </c>
      <c r="L32" s="354">
        <f>D13</f>
        <v>28.721499999999999</v>
      </c>
      <c r="M32" s="354">
        <f>E13</f>
        <v>46.106999999999999</v>
      </c>
    </row>
    <row r="33" spans="1:13">
      <c r="A33" s="107" t="s">
        <v>317</v>
      </c>
      <c r="B33" s="117">
        <v>62</v>
      </c>
      <c r="C33" s="447" t="e">
        <f ca="1">SUM('Inverter Loading'!M26:'Inverter Loading'!#REF!)</f>
        <v>#REF!</v>
      </c>
      <c r="D33" s="447" t="e">
        <f t="shared" ca="1" si="3"/>
        <v>#REF!</v>
      </c>
      <c r="E33" s="107"/>
      <c r="F33" s="107">
        <v>-30</v>
      </c>
      <c r="J33" s="354"/>
      <c r="K33" s="354"/>
      <c r="L33" s="354"/>
      <c r="M33" s="354"/>
    </row>
    <row r="34" spans="1:13">
      <c r="A34" s="107" t="s">
        <v>322</v>
      </c>
      <c r="B34" s="117">
        <v>60</v>
      </c>
      <c r="C34" s="447" t="e">
        <f ca="1">SUM('Inverter Loading'!#REF!:'Inverter Loading'!M33)</f>
        <v>#REF!</v>
      </c>
      <c r="D34" s="447" t="e">
        <f t="shared" ca="1" si="3"/>
        <v>#REF!</v>
      </c>
      <c r="E34" s="107"/>
      <c r="F34" s="107">
        <v>-7</v>
      </c>
      <c r="I34" s="519" t="s">
        <v>271</v>
      </c>
      <c r="J34" s="354" t="e">
        <f>B4</f>
        <v>#REF!</v>
      </c>
    </row>
    <row r="35" spans="1:13">
      <c r="A35" s="107" t="s">
        <v>330</v>
      </c>
      <c r="B35" s="117">
        <v>30</v>
      </c>
      <c r="C35" s="447">
        <f ca="1">SUM('Inverter Loading'!M34:'Inverter Loading'!M35)</f>
        <v>51</v>
      </c>
      <c r="D35" s="447">
        <f t="shared" ca="1" si="3"/>
        <v>21</v>
      </c>
      <c r="E35" s="107"/>
      <c r="F35" s="107">
        <v>-9</v>
      </c>
      <c r="I35" s="780"/>
      <c r="J35" s="354"/>
      <c r="K35" s="354">
        <f>C4</f>
        <v>172.3835</v>
      </c>
      <c r="L35" s="354">
        <f>D4</f>
        <v>13.897500000000001</v>
      </c>
      <c r="M35" s="354">
        <f>E4</f>
        <v>1.526</v>
      </c>
    </row>
    <row r="36" spans="1:13">
      <c r="A36" s="107" t="s">
        <v>335</v>
      </c>
      <c r="B36" s="117">
        <v>11</v>
      </c>
      <c r="C36" s="447">
        <f>'Inverter Loading'!M36</f>
        <v>5</v>
      </c>
      <c r="D36" s="447">
        <f t="shared" si="3"/>
        <v>-6</v>
      </c>
      <c r="E36" s="107"/>
      <c r="F36" s="107">
        <v>-7</v>
      </c>
    </row>
    <row r="37" spans="1:13">
      <c r="A37" s="51" t="s">
        <v>338</v>
      </c>
      <c r="B37" s="123">
        <v>13</v>
      </c>
      <c r="C37" s="446" t="e">
        <f>'Inverter Loading'!#REF!</f>
        <v>#REF!</v>
      </c>
      <c r="D37" s="442" t="e">
        <f t="shared" si="3"/>
        <v>#REF!</v>
      </c>
      <c r="E37" s="51"/>
      <c r="F37" s="51">
        <v>-5</v>
      </c>
      <c r="I37" s="347" t="s">
        <v>284</v>
      </c>
      <c r="J37" s="354" t="e">
        <f>B6</f>
        <v>#REF!</v>
      </c>
      <c r="K37" s="354"/>
      <c r="L37" s="354"/>
      <c r="M37" s="354"/>
    </row>
    <row r="38" spans="1:13">
      <c r="A38" s="51" t="s">
        <v>341</v>
      </c>
      <c r="B38" s="123">
        <v>6</v>
      </c>
      <c r="C38" s="446">
        <f>'Inverter Loading'!M40</f>
        <v>4</v>
      </c>
      <c r="D38" s="442">
        <f t="shared" si="3"/>
        <v>-2</v>
      </c>
      <c r="E38" s="51"/>
      <c r="F38" s="51">
        <v>-1</v>
      </c>
      <c r="J38" s="354"/>
      <c r="K38" s="354">
        <f>C6</f>
        <v>127.203</v>
      </c>
      <c r="L38" s="354">
        <f>D6</f>
        <v>0</v>
      </c>
      <c r="M38" s="354">
        <f>E6</f>
        <v>8.0660000000000007</v>
      </c>
    </row>
    <row r="39" spans="1:13">
      <c r="A39" s="52" t="s">
        <v>569</v>
      </c>
      <c r="B39" s="329">
        <f>SUM(B25:B38)</f>
        <v>444</v>
      </c>
      <c r="C39" s="329" t="e">
        <f>SUM(C25:C38)</f>
        <v>#REF!</v>
      </c>
      <c r="D39" s="329" t="e">
        <f>SUM(C39-B39)</f>
        <v>#REF!</v>
      </c>
      <c r="E39" s="52">
        <f>SUM(E25:E38)</f>
        <v>0</v>
      </c>
      <c r="F39" s="52">
        <f>SUM(F25:F38)</f>
        <v>-110</v>
      </c>
      <c r="J39" s="354"/>
      <c r="K39" s="354"/>
      <c r="L39" s="354"/>
      <c r="M39" s="354"/>
    </row>
    <row r="40" spans="1:13">
      <c r="A40" s="86" t="s">
        <v>1465</v>
      </c>
      <c r="B40" s="29">
        <f>SUM(B26+B27+B30+B31+B33+B34+B35+B36)</f>
        <v>371</v>
      </c>
      <c r="C40" s="29" t="e">
        <f ca="1">SUM(C26+C27+C30+C31+C33+C34+C35+C36)</f>
        <v>#REF!</v>
      </c>
      <c r="D40" s="85">
        <f>(F40+E40)*1.1</f>
        <v>-104.50000000000001</v>
      </c>
      <c r="E40" s="29">
        <f>SUM(E26+E27+E30+E31+E33+E34+E35+E36)</f>
        <v>0</v>
      </c>
      <c r="F40" s="29">
        <f>SUM(F26+F27+F30+F31+F33+F34+F35+F36)</f>
        <v>-95</v>
      </c>
      <c r="I40" s="347" t="s">
        <v>305</v>
      </c>
      <c r="J40" s="354" t="e">
        <f>B9</f>
        <v>#REF!</v>
      </c>
      <c r="K40" s="354"/>
      <c r="L40" s="354"/>
      <c r="M40" s="354"/>
    </row>
    <row r="41" spans="1:13">
      <c r="A41" s="84" t="s">
        <v>1466</v>
      </c>
      <c r="B41" s="83">
        <f>B39-B40</f>
        <v>73</v>
      </c>
      <c r="C41" s="83" t="e">
        <f ca="1">C39-C40</f>
        <v>#REF!</v>
      </c>
      <c r="D41" s="83">
        <f>SUM(F41+E41)*1.1</f>
        <v>-16.5</v>
      </c>
      <c r="E41" s="83">
        <f>E39-E40</f>
        <v>0</v>
      </c>
      <c r="F41" s="83">
        <f>F39-F40</f>
        <v>-15</v>
      </c>
      <c r="J41" s="354"/>
      <c r="K41" s="354">
        <f>C9</f>
        <v>260.51</v>
      </c>
      <c r="L41" s="354">
        <f>D9</f>
        <v>120.336</v>
      </c>
      <c r="M41" s="354">
        <f>E9</f>
        <v>6.0604000000000005</v>
      </c>
    </row>
    <row r="42" spans="1:13">
      <c r="J42" s="354"/>
      <c r="K42" s="354"/>
      <c r="L42" s="354"/>
      <c r="M42" s="354"/>
    </row>
    <row r="43" spans="1:13" ht="15">
      <c r="B43" s="1401" t="s">
        <v>1467</v>
      </c>
      <c r="C43" s="1401"/>
      <c r="I43" s="347" t="s">
        <v>330</v>
      </c>
      <c r="J43" s="354" t="e">
        <f>B14</f>
        <v>#REF!</v>
      </c>
      <c r="K43" s="354"/>
      <c r="L43" s="354"/>
      <c r="M43" s="354"/>
    </row>
    <row r="44" spans="1:13">
      <c r="A44" s="51" t="s">
        <v>7</v>
      </c>
      <c r="B44" s="326" t="s">
        <v>1468</v>
      </c>
      <c r="C44" s="326" t="s">
        <v>1469</v>
      </c>
      <c r="D44" s="482" t="s">
        <v>1470</v>
      </c>
      <c r="E44" s="51" t="s">
        <v>1458</v>
      </c>
      <c r="F44" s="51" t="s">
        <v>1456</v>
      </c>
      <c r="G44" s="51" t="s">
        <v>1457</v>
      </c>
      <c r="H44" s="64"/>
      <c r="J44" s="354"/>
      <c r="K44" s="354">
        <f>C14</f>
        <v>294.57249999999999</v>
      </c>
      <c r="L44" s="354">
        <f>D14</f>
        <v>105.5665</v>
      </c>
      <c r="M44" s="354">
        <f>E14</f>
        <v>16.241</v>
      </c>
    </row>
    <row r="45" spans="1:13">
      <c r="A45" s="51" t="s">
        <v>350</v>
      </c>
      <c r="B45" s="520">
        <v>36</v>
      </c>
      <c r="C45" s="446">
        <f>'Plant loading'!G94</f>
        <v>43.817999999999998</v>
      </c>
      <c r="D45" s="446">
        <v>13</v>
      </c>
      <c r="E45" s="446">
        <v>6</v>
      </c>
      <c r="F45" s="446">
        <v>6</v>
      </c>
      <c r="G45" s="446"/>
      <c r="J45" s="354"/>
      <c r="K45" s="354"/>
      <c r="L45" s="354"/>
      <c r="M45" s="354"/>
    </row>
    <row r="46" spans="1:13">
      <c r="A46" s="51" t="s">
        <v>355</v>
      </c>
      <c r="B46" s="520">
        <v>39</v>
      </c>
      <c r="C46" s="446">
        <f>'Plant loading'!G99</f>
        <v>46.216000000000001</v>
      </c>
      <c r="D46" s="446"/>
      <c r="E46" s="446">
        <f t="shared" ref="E46:E59" si="4">C46-B46-D46</f>
        <v>7.2160000000000011</v>
      </c>
      <c r="F46" s="446">
        <v>0</v>
      </c>
      <c r="G46" s="446"/>
      <c r="I46" s="347" t="s">
        <v>335</v>
      </c>
      <c r="J46" s="354" t="e">
        <f>B15</f>
        <v>#REF!</v>
      </c>
      <c r="K46" s="354"/>
      <c r="L46" s="354"/>
      <c r="M46" s="354"/>
    </row>
    <row r="47" spans="1:13">
      <c r="A47" s="51" t="s">
        <v>352</v>
      </c>
      <c r="B47" s="520">
        <v>36</v>
      </c>
      <c r="C47" s="446">
        <f>'Plant loading'!G96</f>
        <v>39.893999999999998</v>
      </c>
      <c r="D47" s="446"/>
      <c r="E47" s="446">
        <v>-4</v>
      </c>
      <c r="F47" s="446"/>
      <c r="G47" s="446">
        <v>-4</v>
      </c>
      <c r="J47" s="354"/>
      <c r="K47" s="354">
        <f>C15</f>
        <v>99.462500000000006</v>
      </c>
      <c r="L47" s="354">
        <f>D15</f>
        <v>0</v>
      </c>
      <c r="M47" s="354">
        <f>E15</f>
        <v>14.715</v>
      </c>
    </row>
    <row r="48" spans="1:13">
      <c r="A48" s="51" t="s">
        <v>357</v>
      </c>
      <c r="B48" s="520">
        <v>19</v>
      </c>
      <c r="C48" s="446">
        <f>'Plant loading'!G101</f>
        <v>38.040999999999997</v>
      </c>
      <c r="D48" s="446">
        <v>21</v>
      </c>
      <c r="E48" s="446">
        <f t="shared" si="4"/>
        <v>-1.9590000000000032</v>
      </c>
      <c r="F48" s="446">
        <v>2</v>
      </c>
      <c r="G48" s="446"/>
    </row>
    <row r="49" spans="1:9">
      <c r="A49" s="326" t="s">
        <v>359</v>
      </c>
      <c r="B49" s="520">
        <v>9</v>
      </c>
      <c r="C49" s="446">
        <f>'Plant loading'!G103</f>
        <v>9.5374999999999996</v>
      </c>
      <c r="D49" s="446"/>
      <c r="E49" s="446">
        <f t="shared" si="4"/>
        <v>0.53749999999999964</v>
      </c>
      <c r="F49" s="446">
        <v>0</v>
      </c>
      <c r="G49" s="446"/>
      <c r="I49" s="53"/>
    </row>
    <row r="50" spans="1:9">
      <c r="A50" s="326" t="s">
        <v>1471</v>
      </c>
      <c r="B50" s="520">
        <v>22</v>
      </c>
      <c r="C50" s="446" t="e">
        <f>'Plant loading'!#REF!</f>
        <v>#REF!</v>
      </c>
      <c r="D50" s="446"/>
      <c r="E50" s="446" t="e">
        <f t="shared" si="4"/>
        <v>#REF!</v>
      </c>
      <c r="F50" s="446"/>
      <c r="G50" s="446">
        <v>-3</v>
      </c>
    </row>
    <row r="51" spans="1:9">
      <c r="A51" s="326" t="s">
        <v>361</v>
      </c>
      <c r="B51" s="520">
        <v>60</v>
      </c>
      <c r="C51" s="446">
        <f>'Plant loading'!G105</f>
        <v>62.347999999999999</v>
      </c>
      <c r="D51" s="446"/>
      <c r="E51" s="446">
        <v>23</v>
      </c>
      <c r="F51" s="446">
        <v>23</v>
      </c>
      <c r="G51" s="446"/>
    </row>
    <row r="52" spans="1:9">
      <c r="A52" s="326" t="s">
        <v>677</v>
      </c>
      <c r="B52" s="520">
        <v>7.1067999999999998</v>
      </c>
      <c r="C52" s="446" t="e">
        <f>SUM('Plant loading'!#REF!)</f>
        <v>#REF!</v>
      </c>
      <c r="D52" s="446"/>
      <c r="E52" s="446" t="e">
        <f t="shared" si="4"/>
        <v>#REF!</v>
      </c>
      <c r="F52" s="446"/>
      <c r="G52" s="446">
        <v>-1</v>
      </c>
    </row>
    <row r="53" spans="1:9">
      <c r="A53" s="51" t="s">
        <v>363</v>
      </c>
      <c r="B53" s="520">
        <v>46</v>
      </c>
      <c r="C53" s="446">
        <f>'Plant loading'!G109</f>
        <v>44.581000000000003</v>
      </c>
      <c r="D53" s="446"/>
      <c r="E53" s="446">
        <v>-3</v>
      </c>
      <c r="F53" s="446"/>
      <c r="G53" s="446">
        <v>-3</v>
      </c>
    </row>
    <row r="54" spans="1:9">
      <c r="A54" s="51" t="s">
        <v>365</v>
      </c>
      <c r="B54" s="520">
        <v>63</v>
      </c>
      <c r="C54" s="446">
        <f>'Plant loading'!G107</f>
        <v>33.735500000000002</v>
      </c>
      <c r="D54" s="446">
        <v>11</v>
      </c>
      <c r="E54" s="446">
        <v>7</v>
      </c>
      <c r="F54" s="446">
        <v>7</v>
      </c>
      <c r="G54" s="446"/>
    </row>
    <row r="55" spans="1:9">
      <c r="A55" s="51" t="s">
        <v>370</v>
      </c>
      <c r="B55" s="520">
        <v>22.726500000000001</v>
      </c>
      <c r="C55" s="446">
        <f>'Plant loading'!G112</f>
        <v>19.292999999999999</v>
      </c>
      <c r="D55" s="446">
        <v>14</v>
      </c>
      <c r="E55" s="446">
        <f t="shared" si="4"/>
        <v>-17.433500000000002</v>
      </c>
      <c r="F55" s="446"/>
      <c r="G55" s="446">
        <v>-9</v>
      </c>
    </row>
    <row r="56" spans="1:9">
      <c r="A56" s="326" t="s">
        <v>372</v>
      </c>
      <c r="B56" s="520">
        <v>55</v>
      </c>
      <c r="C56" s="446">
        <f>'Plant loading'!G114</f>
        <v>44.253999999999998</v>
      </c>
      <c r="D56" s="446">
        <v>18</v>
      </c>
      <c r="E56" s="446">
        <f t="shared" si="4"/>
        <v>-28.746000000000002</v>
      </c>
      <c r="F56" s="446">
        <v>0</v>
      </c>
      <c r="G56" s="446"/>
    </row>
    <row r="57" spans="1:9">
      <c r="A57" s="326" t="s">
        <v>374</v>
      </c>
      <c r="B57" s="520">
        <v>44.003299999999996</v>
      </c>
      <c r="C57" s="446">
        <f>'Plant loading'!G116</f>
        <v>39.512500000000003</v>
      </c>
      <c r="D57" s="446"/>
      <c r="E57" s="446">
        <f t="shared" si="4"/>
        <v>-4.490799999999993</v>
      </c>
      <c r="F57" s="446"/>
      <c r="G57" s="446">
        <v>-3</v>
      </c>
    </row>
    <row r="58" spans="1:9">
      <c r="A58" s="326" t="s">
        <v>678</v>
      </c>
      <c r="B58" s="520">
        <v>4.5998000000000001</v>
      </c>
      <c r="C58" s="446" t="e">
        <f>'Plant loading'!#REF!</f>
        <v>#REF!</v>
      </c>
      <c r="D58" s="446"/>
      <c r="E58" s="446">
        <v>-2</v>
      </c>
      <c r="F58" s="446"/>
      <c r="G58" s="446">
        <v>-2</v>
      </c>
    </row>
    <row r="59" spans="1:9">
      <c r="A59" s="52" t="s">
        <v>569</v>
      </c>
      <c r="B59" s="329">
        <f>SUM(B45:B58)</f>
        <v>463.43639999999999</v>
      </c>
      <c r="C59" s="329" t="e">
        <f>SUM(C45:C58)</f>
        <v>#REF!</v>
      </c>
      <c r="D59" s="329">
        <f>SUM(D45:D58)</f>
        <v>77</v>
      </c>
      <c r="E59" s="446" t="e">
        <f t="shared" si="4"/>
        <v>#REF!</v>
      </c>
      <c r="F59" s="446">
        <f>SUM(F45:F58)</f>
        <v>38</v>
      </c>
      <c r="G59" s="446">
        <f>SUM(G45:G58)</f>
        <v>-25</v>
      </c>
    </row>
    <row r="61" spans="1:9" ht="15">
      <c r="B61" s="1402" t="s">
        <v>1472</v>
      </c>
      <c r="C61" s="1402"/>
    </row>
    <row r="62" spans="1:9">
      <c r="A62" s="51" t="s">
        <v>7</v>
      </c>
      <c r="B62" s="326" t="s">
        <v>1473</v>
      </c>
      <c r="C62" s="326" t="s">
        <v>1474</v>
      </c>
      <c r="D62" s="436" t="s">
        <v>1464</v>
      </c>
      <c r="E62" s="51" t="s">
        <v>1456</v>
      </c>
      <c r="F62" s="51" t="s">
        <v>1457</v>
      </c>
      <c r="H62" s="64">
        <v>41153</v>
      </c>
    </row>
    <row r="63" spans="1:9">
      <c r="A63" s="51" t="s">
        <v>350</v>
      </c>
      <c r="B63" s="446">
        <v>2.1800000000000002</v>
      </c>
      <c r="C63" s="51">
        <f>'Inverter Loading'!M44</f>
        <v>1.1499999999999999</v>
      </c>
      <c r="D63" s="446">
        <f>SUM(C63-B63)</f>
        <v>-1.0300000000000002</v>
      </c>
      <c r="E63" s="51"/>
      <c r="F63" s="51">
        <v>-1</v>
      </c>
      <c r="H63">
        <v>2</v>
      </c>
    </row>
    <row r="64" spans="1:9">
      <c r="A64" s="51" t="s">
        <v>355</v>
      </c>
      <c r="B64" s="446">
        <v>2.1800000000000002</v>
      </c>
      <c r="C64" s="51">
        <f>'Inverter Loading'!M46</f>
        <v>1.1499999999999999</v>
      </c>
      <c r="D64" s="446">
        <f t="shared" ref="D64:D73" si="5">SUM(C64-B64)</f>
        <v>-1.0300000000000002</v>
      </c>
      <c r="E64" s="51"/>
      <c r="F64" s="51"/>
      <c r="H64">
        <v>2</v>
      </c>
    </row>
    <row r="65" spans="1:12">
      <c r="A65" s="51" t="s">
        <v>357</v>
      </c>
      <c r="B65" s="446">
        <v>3.27</v>
      </c>
      <c r="C65" s="51">
        <f>'Inverter Loading'!M47</f>
        <v>1.84</v>
      </c>
      <c r="D65" s="446">
        <f t="shared" si="5"/>
        <v>-1.43</v>
      </c>
      <c r="E65" s="51"/>
      <c r="F65" s="51">
        <v>-1</v>
      </c>
      <c r="H65">
        <v>2</v>
      </c>
    </row>
    <row r="66" spans="1:12">
      <c r="A66" s="51" t="s">
        <v>359</v>
      </c>
      <c r="B66" s="446">
        <v>0.25069999999999998</v>
      </c>
      <c r="C66" s="51">
        <f>'Inverter Loading'!M48</f>
        <v>0.46</v>
      </c>
      <c r="D66" s="446">
        <f t="shared" si="5"/>
        <v>0.20930000000000004</v>
      </c>
      <c r="E66" s="51"/>
      <c r="F66" s="51"/>
      <c r="G66" s="53" t="s">
        <v>1475</v>
      </c>
      <c r="H66" s="347">
        <v>0.23</v>
      </c>
    </row>
    <row r="67" spans="1:12">
      <c r="A67" s="326" t="s">
        <v>1471</v>
      </c>
      <c r="B67" s="446">
        <v>1.0900000000000001</v>
      </c>
      <c r="C67" s="51" t="e">
        <f>'Inverter Loading'!#REF!</f>
        <v>#REF!</v>
      </c>
      <c r="D67" s="446" t="e">
        <f t="shared" si="5"/>
        <v>#REF!</v>
      </c>
      <c r="E67" s="51"/>
      <c r="F67" s="51"/>
      <c r="H67" s="347">
        <v>1</v>
      </c>
    </row>
    <row r="68" spans="1:12">
      <c r="A68" s="51" t="s">
        <v>361</v>
      </c>
      <c r="B68" s="446">
        <v>2.1800000000000002</v>
      </c>
      <c r="C68" s="51">
        <f>'Inverter Loading'!M49</f>
        <v>1.61</v>
      </c>
      <c r="D68" s="446">
        <f t="shared" si="5"/>
        <v>-0.57000000000000006</v>
      </c>
      <c r="E68" s="51"/>
      <c r="F68" s="51"/>
      <c r="H68" s="347">
        <v>2</v>
      </c>
    </row>
    <row r="69" spans="1:12">
      <c r="A69" s="51" t="s">
        <v>677</v>
      </c>
      <c r="B69" s="446">
        <v>0.25069999999999998</v>
      </c>
      <c r="C69" s="51" t="e">
        <f>'Inverter Loading'!#REF!</f>
        <v>#REF!</v>
      </c>
      <c r="D69" s="446" t="e">
        <f t="shared" si="5"/>
        <v>#REF!</v>
      </c>
      <c r="E69" s="51"/>
      <c r="F69" s="51"/>
      <c r="H69" s="347">
        <v>0.23</v>
      </c>
    </row>
    <row r="70" spans="1:12">
      <c r="A70" s="51" t="s">
        <v>363</v>
      </c>
      <c r="B70" s="446">
        <v>2.1800000000000002</v>
      </c>
      <c r="C70" s="51">
        <f>'Inverter Loading'!M50</f>
        <v>1.38</v>
      </c>
      <c r="D70" s="446">
        <f t="shared" si="5"/>
        <v>-0.80000000000000027</v>
      </c>
      <c r="E70" s="51"/>
      <c r="F70" s="51"/>
      <c r="H70" s="347">
        <v>2</v>
      </c>
    </row>
    <row r="71" spans="1:12">
      <c r="A71" s="51" t="s">
        <v>365</v>
      </c>
      <c r="B71" s="446">
        <v>3.27</v>
      </c>
      <c r="C71" s="51">
        <f>'Inverter Loading'!M51</f>
        <v>9.43</v>
      </c>
      <c r="D71" s="446">
        <f t="shared" si="5"/>
        <v>6.16</v>
      </c>
      <c r="E71" s="51"/>
      <c r="F71" s="51"/>
      <c r="H71" s="347">
        <v>3</v>
      </c>
    </row>
    <row r="72" spans="1:12">
      <c r="A72" s="51" t="s">
        <v>372</v>
      </c>
      <c r="B72" s="446">
        <v>3.27</v>
      </c>
      <c r="C72" s="51">
        <f>'Inverter Loading'!M54</f>
        <v>1.38</v>
      </c>
      <c r="D72" s="446">
        <f t="shared" si="5"/>
        <v>-1.8900000000000001</v>
      </c>
      <c r="E72" s="51"/>
      <c r="F72" s="51">
        <v>-1</v>
      </c>
      <c r="H72" s="347">
        <v>3</v>
      </c>
    </row>
    <row r="73" spans="1:12">
      <c r="A73" s="326" t="s">
        <v>374</v>
      </c>
      <c r="B73" s="446">
        <v>0.25069999999999998</v>
      </c>
      <c r="C73" s="51">
        <f>'Inverter Loading'!M55</f>
        <v>0.69</v>
      </c>
      <c r="D73" s="446">
        <f t="shared" si="5"/>
        <v>0.43929999999999997</v>
      </c>
      <c r="E73" s="51"/>
      <c r="F73" s="51"/>
      <c r="H73" s="347">
        <v>0.23</v>
      </c>
    </row>
    <row r="74" spans="1:12">
      <c r="A74" s="326" t="s">
        <v>678</v>
      </c>
      <c r="B74" s="446">
        <v>0.25069999999999998</v>
      </c>
      <c r="C74" s="51" t="e">
        <f>'Inverter Loading'!#REF!</f>
        <v>#REF!</v>
      </c>
      <c r="D74" s="446">
        <v>0</v>
      </c>
      <c r="E74" s="51"/>
      <c r="F74" s="51"/>
      <c r="H74" s="347">
        <v>0.23</v>
      </c>
    </row>
    <row r="75" spans="1:12" s="14" customFormat="1">
      <c r="A75" s="52" t="s">
        <v>569</v>
      </c>
      <c r="B75" s="329">
        <f>SUM(B63:B73)</f>
        <v>20.3721</v>
      </c>
      <c r="C75" s="52" t="e">
        <f>SUM(C63:C73)</f>
        <v>#REF!</v>
      </c>
      <c r="D75" s="329">
        <v>-3</v>
      </c>
      <c r="E75" s="52"/>
      <c r="F75" s="52">
        <f>SUM(F63:F73)</f>
        <v>-3</v>
      </c>
      <c r="I75"/>
      <c r="J75"/>
      <c r="K75"/>
      <c r="L75"/>
    </row>
    <row r="76" spans="1:12">
      <c r="I76" s="14"/>
      <c r="J76" s="14"/>
      <c r="K76" s="14"/>
      <c r="L76" s="14"/>
    </row>
  </sheetData>
  <mergeCells count="5">
    <mergeCell ref="J2:L2"/>
    <mergeCell ref="B1:C1"/>
    <mergeCell ref="B22:C22"/>
    <mergeCell ref="B43:C43"/>
    <mergeCell ref="B61:C61"/>
  </mergeCells>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S115"/>
  <sheetViews>
    <sheetView workbookViewId="0">
      <selection activeCell="D21" sqref="D21"/>
    </sheetView>
  </sheetViews>
  <sheetFormatPr defaultColWidth="8.6640625" defaultRowHeight="10.15" outlineLevelCol="2"/>
  <cols>
    <col min="1" max="1" width="15.6640625" bestFit="1" customWidth="1"/>
    <col min="2" max="2" width="21.1640625" bestFit="1" customWidth="1"/>
    <col min="3" max="3" width="20.5" bestFit="1" customWidth="1"/>
    <col min="4" max="4" width="23.6640625" bestFit="1" customWidth="1"/>
    <col min="5" max="5" width="24" bestFit="1" customWidth="1"/>
    <col min="6" max="6" width="19.6640625" bestFit="1" customWidth="1"/>
    <col min="7" max="7" width="19.6640625" bestFit="1" customWidth="1" outlineLevel="1"/>
    <col min="8" max="8" width="21.1640625" bestFit="1" customWidth="1" outlineLevel="1"/>
    <col min="9" max="9" width="30" bestFit="1" customWidth="1" outlineLevel="1"/>
    <col min="10" max="11" width="18.6640625" bestFit="1" customWidth="1"/>
    <col min="12" max="12" width="11.1640625" bestFit="1" customWidth="1" outlineLevel="2"/>
    <col min="13" max="13" width="14" bestFit="1" customWidth="1" outlineLevel="2"/>
    <col min="14" max="14" width="8.6640625" bestFit="1" customWidth="1" outlineLevel="2"/>
    <col min="15" max="15" width="10.6640625" bestFit="1" customWidth="1" outlineLevel="2"/>
    <col min="16" max="16" width="9.6640625" bestFit="1" customWidth="1" outlineLevel="2"/>
    <col min="17" max="17" width="10" bestFit="1" customWidth="1" outlineLevel="2"/>
    <col min="18" max="18" width="19.1640625" bestFit="1" customWidth="1"/>
    <col min="19" max="19" width="19.6640625" bestFit="1" customWidth="1"/>
  </cols>
  <sheetData>
    <row r="2" spans="1:19">
      <c r="A2" s="14" t="str">
        <f>'Plant loading'!A2</f>
        <v>MTX</v>
      </c>
      <c r="B2" s="14" t="str">
        <f>'Plant loading'!B2</f>
        <v>Power Element Name</v>
      </c>
      <c r="C2" s="14" t="str">
        <f>'Plant loading'!C2</f>
        <v>Power Element Type</v>
      </c>
      <c r="D2" s="14" t="str">
        <f>'Plant loading'!D2</f>
        <v>Element Load (A) Mar 24</v>
      </c>
      <c r="E2" s="14" t="str">
        <f>'Plant loading'!E2</f>
        <v>Element Load (A) 28/04/24</v>
      </c>
      <c r="F2" s="14" t="str">
        <f>'Plant loading'!G2</f>
        <v>Total Running Site Load (kW)/(%)</v>
      </c>
      <c r="G2" s="14" t="str">
        <f>'Plant loading'!H2</f>
        <v>Number of Modules</v>
      </c>
      <c r="H2" s="14" t="str">
        <f>'Plant loading'!I2</f>
        <v>Module Capacity (kW)</v>
      </c>
      <c r="I2" s="14" t="str">
        <f>'Plant loading'!J2</f>
        <v>Power Element Capability (kW)</v>
      </c>
      <c r="J2" s="14" t="s">
        <v>1476</v>
      </c>
      <c r="K2" s="14" t="s">
        <v>1477</v>
      </c>
      <c r="L2" s="14" t="s">
        <v>1478</v>
      </c>
      <c r="M2" s="14" t="s">
        <v>1479</v>
      </c>
      <c r="N2" s="808" t="s">
        <v>1480</v>
      </c>
      <c r="O2" s="14" t="s">
        <v>1481</v>
      </c>
      <c r="P2" s="14" t="s">
        <v>1482</v>
      </c>
      <c r="Q2" s="14" t="s">
        <v>1483</v>
      </c>
      <c r="R2" s="14" t="s">
        <v>1484</v>
      </c>
      <c r="S2" s="14" t="s">
        <v>1485</v>
      </c>
    </row>
    <row r="4" spans="1:19">
      <c r="A4" t="str">
        <f>'Plant loading'!A4</f>
        <v>Acton</v>
      </c>
      <c r="B4" s="5" t="str">
        <f>'Plant loading'!B4</f>
        <v>PEAAN</v>
      </c>
      <c r="C4" s="5" t="str">
        <f>'Plant loading'!C4</f>
        <v>eSure</v>
      </c>
      <c r="D4" s="5">
        <f>'Plant loading'!D4</f>
        <v>624</v>
      </c>
      <c r="E4" s="5">
        <f>'Plant loading'!E4</f>
        <v>634</v>
      </c>
      <c r="F4" s="5">
        <f>'Plant loading'!G4</f>
        <v>172.3835</v>
      </c>
      <c r="G4" s="5">
        <f>'Plant loading'!H4</f>
        <v>36</v>
      </c>
      <c r="H4" s="5">
        <v>3.5</v>
      </c>
      <c r="I4" s="5">
        <f>'Plant loading'!J4</f>
        <v>126</v>
      </c>
      <c r="J4" s="115">
        <f>D4/(G4*((H4*1000)/58))</f>
        <v>0.28723809523809524</v>
      </c>
      <c r="K4" s="115">
        <v>0.5</v>
      </c>
      <c r="L4" s="116">
        <f t="shared" ref="L4:L13" si="0">ROUNDDOWN((H4*1000/58),0)</f>
        <v>60</v>
      </c>
      <c r="M4" s="5">
        <f t="shared" ref="M4:M13" si="1">L4*K4</f>
        <v>30</v>
      </c>
      <c r="N4" s="5">
        <f t="shared" ref="N4:N13" si="2">ROUNDUP((E4/M4),0)</f>
        <v>22</v>
      </c>
      <c r="O4" s="5">
        <f t="shared" ref="O4:O13" si="3">N4*L4</f>
        <v>1320</v>
      </c>
      <c r="P4" s="10">
        <f t="shared" ref="P4:P13" si="4">O4-L4</f>
        <v>1260</v>
      </c>
      <c r="Q4" s="5">
        <f t="shared" ref="Q4:Q13" si="5">O4+(L4*K4)</f>
        <v>1350</v>
      </c>
      <c r="R4" s="5">
        <f t="shared" ref="R4:R13" si="6">ROUNDUP((P4-E4)/L4*100,0)</f>
        <v>1044</v>
      </c>
      <c r="S4" s="5">
        <f t="shared" ref="S4:S13" si="7">ROUNDUP((Q4-E4)/(L4)*100,0)</f>
        <v>1194</v>
      </c>
    </row>
    <row r="5" spans="1:19">
      <c r="A5" t="str">
        <f>'Plant loading'!A5</f>
        <v>Acton</v>
      </c>
      <c r="B5" s="5" t="str">
        <f>'Plant loading'!B5</f>
        <v>PEBAN</v>
      </c>
      <c r="C5" s="5" t="str">
        <f>'Plant loading'!C5</f>
        <v>eSure</v>
      </c>
      <c r="D5" s="5">
        <f>'Plant loading'!D5</f>
        <v>616</v>
      </c>
      <c r="E5" s="5">
        <f>'Plant loading'!E5</f>
        <v>611</v>
      </c>
      <c r="F5" s="5">
        <f>'Plant loading'!G5</f>
        <v>0</v>
      </c>
      <c r="G5" s="5">
        <f>'Plant loading'!H5</f>
        <v>36</v>
      </c>
      <c r="H5" s="5">
        <f>'Plant loading'!I5</f>
        <v>3.5</v>
      </c>
      <c r="I5" s="5">
        <f>'Plant loading'!J5</f>
        <v>126</v>
      </c>
      <c r="J5" s="115">
        <f t="shared" ref="J5:J68" si="8">D5/(G5*((H5*1000)/58))</f>
        <v>0.28355555555555556</v>
      </c>
      <c r="K5" s="115">
        <v>0.5</v>
      </c>
      <c r="L5" s="116">
        <f t="shared" si="0"/>
        <v>60</v>
      </c>
      <c r="M5" s="5">
        <f t="shared" si="1"/>
        <v>30</v>
      </c>
      <c r="N5" s="5">
        <f t="shared" si="2"/>
        <v>21</v>
      </c>
      <c r="O5" s="5">
        <f t="shared" si="3"/>
        <v>1260</v>
      </c>
      <c r="P5" s="10">
        <f t="shared" si="4"/>
        <v>1200</v>
      </c>
      <c r="Q5" s="5">
        <f t="shared" si="5"/>
        <v>1290</v>
      </c>
      <c r="R5" s="5">
        <f t="shared" si="6"/>
        <v>982</v>
      </c>
      <c r="S5" s="5">
        <f t="shared" si="7"/>
        <v>1132</v>
      </c>
    </row>
    <row r="6" spans="1:19">
      <c r="A6" t="str">
        <f>'Plant loading'!A6</f>
        <v>Acton</v>
      </c>
      <c r="B6" s="5" t="str">
        <f>'Plant loading'!B6</f>
        <v>PECAN</v>
      </c>
      <c r="C6" s="5" t="str">
        <f>'Plant loading'!C6</f>
        <v>eSure</v>
      </c>
      <c r="D6" s="5">
        <f>'Plant loading'!D6</f>
        <v>461</v>
      </c>
      <c r="E6" s="5">
        <f>'Plant loading'!E6</f>
        <v>480</v>
      </c>
      <c r="F6" s="5">
        <f>'Plant loading'!G6</f>
        <v>0</v>
      </c>
      <c r="G6" s="5">
        <f>'Plant loading'!H6</f>
        <v>36</v>
      </c>
      <c r="H6" s="5">
        <f>'Plant loading'!I6</f>
        <v>3.5</v>
      </c>
      <c r="I6" s="5">
        <f>'Plant loading'!J6</f>
        <v>126</v>
      </c>
      <c r="J6" s="115">
        <f t="shared" si="8"/>
        <v>0.2122063492063492</v>
      </c>
      <c r="K6" s="115">
        <v>0.5</v>
      </c>
      <c r="L6" s="116">
        <f t="shared" si="0"/>
        <v>60</v>
      </c>
      <c r="M6" s="5">
        <f t="shared" si="1"/>
        <v>30</v>
      </c>
      <c r="N6" s="5">
        <f t="shared" si="2"/>
        <v>16</v>
      </c>
      <c r="O6" s="5">
        <f t="shared" si="3"/>
        <v>960</v>
      </c>
      <c r="P6" s="10">
        <f t="shared" si="4"/>
        <v>900</v>
      </c>
      <c r="Q6" s="5">
        <f t="shared" si="5"/>
        <v>990</v>
      </c>
      <c r="R6" s="5">
        <f t="shared" si="6"/>
        <v>700</v>
      </c>
      <c r="S6" s="5">
        <f t="shared" si="7"/>
        <v>850</v>
      </c>
    </row>
    <row r="7" spans="1:19">
      <c r="A7" t="str">
        <f>'Plant loading'!A7</f>
        <v>Acton</v>
      </c>
      <c r="B7" s="5" t="str">
        <f>'Plant loading'!B7</f>
        <v>PEFAN</v>
      </c>
      <c r="C7" s="5" t="str">
        <f>'Plant loading'!C7</f>
        <v>eSure</v>
      </c>
      <c r="D7" s="5">
        <f>'Plant loading'!D7</f>
        <v>716</v>
      </c>
      <c r="E7" s="5">
        <f>'Plant loading'!E7</f>
        <v>697</v>
      </c>
      <c r="F7" s="5">
        <f>'Plant loading'!G7</f>
        <v>0.54724920634920637</v>
      </c>
      <c r="G7" s="5">
        <f>'Plant loading'!H7</f>
        <v>36</v>
      </c>
      <c r="H7" s="5">
        <f>'Plant loading'!I7</f>
        <v>3.5</v>
      </c>
      <c r="I7" s="5">
        <f>'Plant loading'!J7</f>
        <v>126</v>
      </c>
      <c r="J7" s="115">
        <f t="shared" si="8"/>
        <v>0.3295873015873016</v>
      </c>
      <c r="K7" s="115">
        <v>0.5</v>
      </c>
      <c r="L7" s="116">
        <f t="shared" si="0"/>
        <v>60</v>
      </c>
      <c r="M7" s="5">
        <f t="shared" si="1"/>
        <v>30</v>
      </c>
      <c r="N7" s="5">
        <f t="shared" si="2"/>
        <v>24</v>
      </c>
      <c r="O7" s="5">
        <f t="shared" si="3"/>
        <v>1440</v>
      </c>
      <c r="P7" s="10">
        <f t="shared" si="4"/>
        <v>1380</v>
      </c>
      <c r="Q7" s="5">
        <f t="shared" si="5"/>
        <v>1470</v>
      </c>
      <c r="R7" s="5">
        <f t="shared" si="6"/>
        <v>1139</v>
      </c>
      <c r="S7" s="5">
        <f t="shared" si="7"/>
        <v>1289</v>
      </c>
    </row>
    <row r="8" spans="1:19">
      <c r="A8" t="str">
        <f>'Plant loading'!A8</f>
        <v>Acton</v>
      </c>
      <c r="B8" s="5" t="str">
        <f>'Plant loading'!B8</f>
        <v>PEGAN</v>
      </c>
      <c r="C8" s="5" t="str">
        <f>'Plant loading'!C8</f>
        <v>eSure</v>
      </c>
      <c r="D8" s="5">
        <f>'Plant loading'!D8</f>
        <v>760</v>
      </c>
      <c r="E8" s="5">
        <f>'Plant loading'!E8</f>
        <v>741</v>
      </c>
      <c r="F8" s="5">
        <f>'Plant loading'!G8</f>
        <v>0</v>
      </c>
      <c r="G8" s="5">
        <f>'Plant loading'!H8</f>
        <v>36</v>
      </c>
      <c r="H8" s="5">
        <f>'Plant loading'!I8</f>
        <v>3.5</v>
      </c>
      <c r="I8" s="5">
        <f>'Plant loading'!J8</f>
        <v>126</v>
      </c>
      <c r="J8" s="115">
        <f t="shared" si="8"/>
        <v>0.34984126984126984</v>
      </c>
      <c r="K8" s="115">
        <v>0.5</v>
      </c>
      <c r="L8" s="116">
        <f t="shared" si="0"/>
        <v>60</v>
      </c>
      <c r="M8" s="5">
        <f t="shared" si="1"/>
        <v>30</v>
      </c>
      <c r="N8" s="5">
        <f t="shared" si="2"/>
        <v>25</v>
      </c>
      <c r="O8" s="5">
        <f t="shared" si="3"/>
        <v>1500</v>
      </c>
      <c r="P8" s="10">
        <f t="shared" si="4"/>
        <v>1440</v>
      </c>
      <c r="Q8" s="5">
        <f t="shared" si="5"/>
        <v>1530</v>
      </c>
      <c r="R8" s="5">
        <f t="shared" si="6"/>
        <v>1165</v>
      </c>
      <c r="S8" s="5">
        <f t="shared" si="7"/>
        <v>1315</v>
      </c>
    </row>
    <row r="9" spans="1:19">
      <c r="A9" t="str">
        <f>'Plant loading'!A9</f>
        <v>Basingstoke</v>
      </c>
      <c r="B9" s="5" t="str">
        <f>'Plant loading'!B9</f>
        <v>PEABE</v>
      </c>
      <c r="C9" s="5" t="str">
        <f>'Plant loading'!C9</f>
        <v>eSure</v>
      </c>
      <c r="D9" s="5">
        <f>'Plant loading'!D9</f>
        <v>821</v>
      </c>
      <c r="E9" s="5">
        <f>'Plant loading'!E9</f>
        <v>829</v>
      </c>
      <c r="F9" s="5">
        <f>'Plant loading'!G9</f>
        <v>370.6</v>
      </c>
      <c r="G9" s="5">
        <f>'Plant loading'!H9</f>
        <v>36</v>
      </c>
      <c r="H9" s="5">
        <f>'Plant loading'!I9</f>
        <v>3.5</v>
      </c>
      <c r="I9" s="5">
        <f>'Plant loading'!J9</f>
        <v>126</v>
      </c>
      <c r="J9" s="115">
        <f t="shared" si="8"/>
        <v>0.37792063492063488</v>
      </c>
      <c r="K9" s="115">
        <v>0.5</v>
      </c>
      <c r="L9" s="116">
        <f t="shared" si="0"/>
        <v>60</v>
      </c>
      <c r="M9" s="5">
        <f t="shared" si="1"/>
        <v>30</v>
      </c>
      <c r="N9" s="5">
        <f t="shared" si="2"/>
        <v>28</v>
      </c>
      <c r="O9" s="5">
        <f t="shared" si="3"/>
        <v>1680</v>
      </c>
      <c r="P9" s="10">
        <f t="shared" si="4"/>
        <v>1620</v>
      </c>
      <c r="Q9" s="5">
        <f t="shared" si="5"/>
        <v>1710</v>
      </c>
      <c r="R9" s="5">
        <f t="shared" si="6"/>
        <v>1319</v>
      </c>
      <c r="S9" s="5">
        <f t="shared" si="7"/>
        <v>1469</v>
      </c>
    </row>
    <row r="10" spans="1:19">
      <c r="A10" t="str">
        <f>'Plant loading'!A10</f>
        <v>Basingstoke</v>
      </c>
      <c r="B10" s="5" t="str">
        <f>'Plant loading'!B10</f>
        <v>PEBBE</v>
      </c>
      <c r="C10" s="5" t="str">
        <f>'Plant loading'!C10</f>
        <v>eSure</v>
      </c>
      <c r="D10" s="5">
        <f>'Plant loading'!D10</f>
        <v>837</v>
      </c>
      <c r="E10" s="5">
        <f>'Plant loading'!E10</f>
        <v>842</v>
      </c>
      <c r="F10" s="5">
        <f>'Plant loading'!G10</f>
        <v>0</v>
      </c>
      <c r="G10" s="5">
        <f>'Plant loading'!H10</f>
        <v>36</v>
      </c>
      <c r="H10" s="5">
        <f>'Plant loading'!I10</f>
        <v>3.5</v>
      </c>
      <c r="I10" s="5">
        <f>'Plant loading'!J10</f>
        <v>126</v>
      </c>
      <c r="J10" s="115">
        <f t="shared" si="8"/>
        <v>0.38528571428571429</v>
      </c>
      <c r="K10" s="115">
        <v>0.5</v>
      </c>
      <c r="L10" s="116">
        <f t="shared" si="0"/>
        <v>60</v>
      </c>
      <c r="M10" s="5">
        <f t="shared" si="1"/>
        <v>30</v>
      </c>
      <c r="N10" s="5">
        <f t="shared" si="2"/>
        <v>29</v>
      </c>
      <c r="O10" s="5">
        <f t="shared" si="3"/>
        <v>1740</v>
      </c>
      <c r="P10" s="10">
        <f t="shared" si="4"/>
        <v>1680</v>
      </c>
      <c r="Q10" s="5">
        <f t="shared" si="5"/>
        <v>1770</v>
      </c>
      <c r="R10" s="5">
        <f t="shared" si="6"/>
        <v>1397</v>
      </c>
      <c r="S10" s="5">
        <f t="shared" si="7"/>
        <v>1547</v>
      </c>
    </row>
    <row r="11" spans="1:19">
      <c r="A11" t="str">
        <f>'Plant loading'!A11</f>
        <v>Basingstoke</v>
      </c>
      <c r="B11" s="5" t="str">
        <f>'Plant loading'!B11</f>
        <v>PECBE</v>
      </c>
      <c r="C11" s="5" t="str">
        <f>'Plant loading'!C11</f>
        <v>eSure</v>
      </c>
      <c r="D11" s="5">
        <f>'Plant loading'!D11</f>
        <v>800</v>
      </c>
      <c r="E11" s="5">
        <f>'Plant loading'!E11</f>
        <v>807</v>
      </c>
      <c r="F11" s="5">
        <f>'Plant loading'!G11</f>
        <v>0</v>
      </c>
      <c r="G11" s="5">
        <f>'Plant loading'!H11</f>
        <v>36</v>
      </c>
      <c r="H11" s="5">
        <f>'Plant loading'!I11</f>
        <v>3.5</v>
      </c>
      <c r="I11" s="5">
        <f>'Plant loading'!J11</f>
        <v>126</v>
      </c>
      <c r="J11" s="115">
        <f t="shared" si="8"/>
        <v>0.36825396825396822</v>
      </c>
      <c r="K11" s="115">
        <v>0.5</v>
      </c>
      <c r="L11" s="116">
        <f t="shared" si="0"/>
        <v>60</v>
      </c>
      <c r="M11" s="5">
        <f t="shared" si="1"/>
        <v>30</v>
      </c>
      <c r="N11" s="5">
        <f t="shared" si="2"/>
        <v>27</v>
      </c>
      <c r="O11" s="5">
        <f t="shared" si="3"/>
        <v>1620</v>
      </c>
      <c r="P11" s="10">
        <f t="shared" si="4"/>
        <v>1560</v>
      </c>
      <c r="Q11" s="5">
        <f t="shared" si="5"/>
        <v>1650</v>
      </c>
      <c r="R11" s="5">
        <f t="shared" si="6"/>
        <v>1255</v>
      </c>
      <c r="S11" s="5">
        <f t="shared" si="7"/>
        <v>1405</v>
      </c>
    </row>
    <row r="12" spans="1:19">
      <c r="A12" t="str">
        <f>'Plant loading'!A12</f>
        <v>Basingstoke</v>
      </c>
      <c r="B12" s="5" t="str">
        <f>'Plant loading'!B12</f>
        <v>PEEBE</v>
      </c>
      <c r="C12" s="5" t="str">
        <f>'Plant loading'!C12</f>
        <v>eSure</v>
      </c>
      <c r="D12" s="5">
        <f>'Plant loading'!D12</f>
        <v>872</v>
      </c>
      <c r="E12" s="5">
        <f>'Plant loading'!E12</f>
        <v>890</v>
      </c>
      <c r="F12" s="5">
        <f>'Plant loading'!G12</f>
        <v>0</v>
      </c>
      <c r="G12" s="5">
        <f>'Plant loading'!H12</f>
        <v>36</v>
      </c>
      <c r="H12" s="5">
        <f>'Plant loading'!I12</f>
        <v>3.5</v>
      </c>
      <c r="I12" s="5">
        <f>'Plant loading'!J12</f>
        <v>126</v>
      </c>
      <c r="J12" s="115">
        <f t="shared" si="8"/>
        <v>0.40139682539682536</v>
      </c>
      <c r="K12" s="115">
        <v>0.5</v>
      </c>
      <c r="L12" s="116">
        <f t="shared" si="0"/>
        <v>60</v>
      </c>
      <c r="M12" s="5">
        <f t="shared" si="1"/>
        <v>30</v>
      </c>
      <c r="N12" s="5">
        <f t="shared" si="2"/>
        <v>30</v>
      </c>
      <c r="O12" s="5">
        <f t="shared" si="3"/>
        <v>1800</v>
      </c>
      <c r="P12" s="10">
        <f t="shared" si="4"/>
        <v>1740</v>
      </c>
      <c r="Q12" s="5">
        <f t="shared" si="5"/>
        <v>1830</v>
      </c>
      <c r="R12" s="5">
        <f t="shared" si="6"/>
        <v>1417</v>
      </c>
      <c r="S12" s="5">
        <f t="shared" si="7"/>
        <v>1567</v>
      </c>
    </row>
    <row r="13" spans="1:19">
      <c r="A13" t="str">
        <f>'Plant loading'!A13</f>
        <v>Basingstoke</v>
      </c>
      <c r="B13" s="5" t="str">
        <f>'Plant loading'!B13</f>
        <v>PEFBE</v>
      </c>
      <c r="C13" s="5" t="str">
        <f>'Plant loading'!C13</f>
        <v>eSure</v>
      </c>
      <c r="D13" s="5">
        <f>'Plant loading'!D13</f>
        <v>837</v>
      </c>
      <c r="E13" s="5">
        <f>'Plant loading'!E13</f>
        <v>853</v>
      </c>
      <c r="F13" s="5">
        <f>'Plant loading'!G13</f>
        <v>0.73531746031746037</v>
      </c>
      <c r="G13" s="5">
        <f>'Plant loading'!H13</f>
        <v>36</v>
      </c>
      <c r="H13" s="5">
        <f>'Plant loading'!I13</f>
        <v>3.5</v>
      </c>
      <c r="I13" s="5">
        <f>'Plant loading'!J13</f>
        <v>126</v>
      </c>
      <c r="J13" s="115">
        <f t="shared" si="8"/>
        <v>0.38528571428571429</v>
      </c>
      <c r="K13" s="115">
        <v>0.5</v>
      </c>
      <c r="L13" s="116">
        <f t="shared" si="0"/>
        <v>60</v>
      </c>
      <c r="M13" s="5">
        <f t="shared" si="1"/>
        <v>30</v>
      </c>
      <c r="N13" s="5">
        <f t="shared" si="2"/>
        <v>29</v>
      </c>
      <c r="O13" s="5">
        <f t="shared" si="3"/>
        <v>1740</v>
      </c>
      <c r="P13" s="10">
        <f t="shared" si="4"/>
        <v>1680</v>
      </c>
      <c r="Q13" s="5">
        <f t="shared" si="5"/>
        <v>1770</v>
      </c>
      <c r="R13" s="5">
        <f t="shared" si="6"/>
        <v>1379</v>
      </c>
      <c r="S13" s="5">
        <f t="shared" si="7"/>
        <v>1529</v>
      </c>
    </row>
    <row r="14" spans="1:19">
      <c r="A14" t="str">
        <f>'Plant loading'!A14</f>
        <v>Basingstoke</v>
      </c>
      <c r="B14" s="5" t="str">
        <f>'Plant loading'!B14</f>
        <v>PEGBE</v>
      </c>
      <c r="C14" s="5" t="str">
        <f>'Plant loading'!C14</f>
        <v>eSure</v>
      </c>
      <c r="D14" s="5">
        <f>'Plant loading'!D14</f>
        <v>872</v>
      </c>
      <c r="E14" s="5">
        <f>'Plant loading'!E14</f>
        <v>878</v>
      </c>
      <c r="F14" s="5">
        <f>'Plant loading'!G14</f>
        <v>0</v>
      </c>
      <c r="G14" s="5">
        <f>'Plant loading'!H14</f>
        <v>36</v>
      </c>
      <c r="H14" s="5">
        <f>'Plant loading'!I14</f>
        <v>3.5</v>
      </c>
      <c r="I14" s="5">
        <f>'Plant loading'!J14</f>
        <v>126</v>
      </c>
      <c r="J14" s="115">
        <f t="shared" si="8"/>
        <v>0.40139682539682536</v>
      </c>
      <c r="K14" s="115">
        <v>0.5</v>
      </c>
      <c r="L14" s="116">
        <f t="shared" ref="L14:L77" si="9">ROUNDDOWN((H14*1000/58),0)</f>
        <v>60</v>
      </c>
      <c r="M14" s="5">
        <f t="shared" ref="M14:M77" si="10">L14*K14</f>
        <v>30</v>
      </c>
      <c r="N14" s="5">
        <f t="shared" ref="N14:N77" si="11">ROUNDUP((E14/M14),0)</f>
        <v>30</v>
      </c>
      <c r="O14" s="5">
        <f t="shared" ref="O14:O77" si="12">N14*L14</f>
        <v>1800</v>
      </c>
      <c r="P14" s="10">
        <f t="shared" ref="P14:P77" si="13">O14-L14</f>
        <v>1740</v>
      </c>
      <c r="Q14" s="5">
        <f t="shared" ref="Q14:Q77" si="14">O14+(L14*K14)</f>
        <v>1830</v>
      </c>
      <c r="R14" s="5">
        <f t="shared" ref="R14:R77" si="15">ROUNDUP((P14-E14)/L14*100,0)</f>
        <v>1437</v>
      </c>
      <c r="S14" s="5">
        <f t="shared" ref="S14:S77" si="16">ROUNDUP((Q14-E14)/(L14)*100,0)</f>
        <v>1587</v>
      </c>
    </row>
    <row r="15" spans="1:19">
      <c r="A15" t="str">
        <f>'Plant loading'!A15</f>
        <v>Basingstoke</v>
      </c>
      <c r="B15" s="5" t="str">
        <f>'Plant loading'!B15</f>
        <v>PEHBE</v>
      </c>
      <c r="C15" s="5" t="str">
        <f>'Plant loading'!C15</f>
        <v>eSure</v>
      </c>
      <c r="D15" s="5">
        <f>'Plant loading'!D15</f>
        <v>834</v>
      </c>
      <c r="E15" s="5">
        <f>'Plant loading'!E15</f>
        <v>835</v>
      </c>
      <c r="F15" s="5">
        <f>'Plant loading'!G15</f>
        <v>0</v>
      </c>
      <c r="G15" s="5">
        <f>'Plant loading'!H15</f>
        <v>36</v>
      </c>
      <c r="H15" s="5">
        <f>'Plant loading'!I15</f>
        <v>3.5</v>
      </c>
      <c r="I15" s="5">
        <f>'Plant loading'!J15</f>
        <v>126</v>
      </c>
      <c r="J15" s="115">
        <f t="shared" si="8"/>
        <v>0.38390476190476192</v>
      </c>
      <c r="K15" s="115">
        <v>0.5</v>
      </c>
      <c r="L15" s="116">
        <f t="shared" si="9"/>
        <v>60</v>
      </c>
      <c r="M15" s="5">
        <f t="shared" si="10"/>
        <v>30</v>
      </c>
      <c r="N15" s="5">
        <f t="shared" si="11"/>
        <v>28</v>
      </c>
      <c r="O15" s="5">
        <f t="shared" si="12"/>
        <v>1680</v>
      </c>
      <c r="P15" s="10">
        <f t="shared" si="13"/>
        <v>1620</v>
      </c>
      <c r="Q15" s="5">
        <f t="shared" si="14"/>
        <v>1710</v>
      </c>
      <c r="R15" s="5">
        <f t="shared" si="15"/>
        <v>1309</v>
      </c>
      <c r="S15" s="5">
        <f t="shared" si="16"/>
        <v>1459</v>
      </c>
    </row>
    <row r="16" spans="1:19">
      <c r="A16" t="str">
        <f>'Plant loading'!A16</f>
        <v>Basingstoke</v>
      </c>
      <c r="B16" s="5" t="str">
        <f>'Plant loading'!B16</f>
        <v>PEIBE</v>
      </c>
      <c r="C16" s="5" t="str">
        <f>'Plant loading'!C16</f>
        <v>eSure</v>
      </c>
      <c r="D16" s="5">
        <f>'Plant loading'!D16</f>
        <v>862</v>
      </c>
      <c r="E16" s="5">
        <f>'Plant loading'!E16</f>
        <v>866</v>
      </c>
      <c r="F16" s="5">
        <f>'Plant loading'!G16</f>
        <v>0</v>
      </c>
      <c r="G16" s="5">
        <f>'Plant loading'!H16</f>
        <v>36</v>
      </c>
      <c r="H16" s="5">
        <f>'Plant loading'!I16</f>
        <v>3.5</v>
      </c>
      <c r="I16" s="5">
        <f>'Plant loading'!J16</f>
        <v>126</v>
      </c>
      <c r="J16" s="115">
        <f t="shared" si="8"/>
        <v>0.39679365079365075</v>
      </c>
      <c r="K16" s="115">
        <v>0.5</v>
      </c>
      <c r="L16" s="116">
        <f t="shared" si="9"/>
        <v>60</v>
      </c>
      <c r="M16" s="5">
        <f t="shared" si="10"/>
        <v>30</v>
      </c>
      <c r="N16" s="5">
        <f t="shared" si="11"/>
        <v>29</v>
      </c>
      <c r="O16" s="5">
        <f t="shared" si="12"/>
        <v>1740</v>
      </c>
      <c r="P16" s="10">
        <f t="shared" si="13"/>
        <v>1680</v>
      </c>
      <c r="Q16" s="5">
        <f t="shared" si="14"/>
        <v>1770</v>
      </c>
      <c r="R16" s="5">
        <f t="shared" si="15"/>
        <v>1357</v>
      </c>
      <c r="S16" s="5">
        <f t="shared" si="16"/>
        <v>1507</v>
      </c>
    </row>
    <row r="17" spans="1:19">
      <c r="A17" t="str">
        <f>'Plant loading'!A17</f>
        <v>Crawley</v>
      </c>
      <c r="B17" s="5" t="str">
        <f>'Plant loading'!B17</f>
        <v>PEACY</v>
      </c>
      <c r="C17" s="5" t="str">
        <f>'Plant loading'!C17</f>
        <v>eSure</v>
      </c>
      <c r="D17" s="5">
        <f>'Plant loading'!D17</f>
        <v>391</v>
      </c>
      <c r="E17" s="5">
        <f>'Plant loading'!E17</f>
        <v>393</v>
      </c>
      <c r="F17" s="5">
        <f>'Plant loading'!G17</f>
        <v>127.203</v>
      </c>
      <c r="G17" s="5">
        <f>'Plant loading'!H17</f>
        <v>36</v>
      </c>
      <c r="H17" s="5">
        <f>'Plant loading'!I17</f>
        <v>3.5</v>
      </c>
      <c r="I17" s="5">
        <f>'Plant loading'!J17</f>
        <v>126</v>
      </c>
      <c r="J17" s="115">
        <f t="shared" si="8"/>
        <v>0.17998412698412697</v>
      </c>
      <c r="K17" s="115">
        <v>0.5</v>
      </c>
      <c r="L17" s="116">
        <f t="shared" si="9"/>
        <v>60</v>
      </c>
      <c r="M17" s="5">
        <f t="shared" si="10"/>
        <v>30</v>
      </c>
      <c r="N17" s="5">
        <f t="shared" si="11"/>
        <v>14</v>
      </c>
      <c r="O17" s="5">
        <f t="shared" si="12"/>
        <v>840</v>
      </c>
      <c r="P17" s="10">
        <f t="shared" si="13"/>
        <v>780</v>
      </c>
      <c r="Q17" s="5">
        <f t="shared" si="14"/>
        <v>870</v>
      </c>
      <c r="R17" s="5">
        <f t="shared" si="15"/>
        <v>645</v>
      </c>
      <c r="S17" s="5">
        <f t="shared" si="16"/>
        <v>795</v>
      </c>
    </row>
    <row r="18" spans="1:19">
      <c r="A18" t="str">
        <f>'Plant loading'!A18</f>
        <v>Crawley</v>
      </c>
      <c r="B18" s="5" t="str">
        <f>'Plant loading'!B18</f>
        <v>PEBCY</v>
      </c>
      <c r="C18" s="5" t="str">
        <f>'Plant loading'!C18</f>
        <v>eSure</v>
      </c>
      <c r="D18" s="5">
        <f>'Plant loading'!D18</f>
        <v>501</v>
      </c>
      <c r="E18" s="5">
        <f>'Plant loading'!E18</f>
        <v>501</v>
      </c>
      <c r="F18" s="5">
        <f>'Plant loading'!G18</f>
        <v>0</v>
      </c>
      <c r="G18" s="5">
        <f>'Plant loading'!H18</f>
        <v>36</v>
      </c>
      <c r="H18" s="5">
        <f>'Plant loading'!I18</f>
        <v>3.5</v>
      </c>
      <c r="I18" s="5">
        <f>'Plant loading'!J18</f>
        <v>126</v>
      </c>
      <c r="J18" s="115">
        <f t="shared" si="8"/>
        <v>0.23061904761904761</v>
      </c>
      <c r="K18" s="115">
        <v>0.5</v>
      </c>
      <c r="L18" s="116">
        <f t="shared" si="9"/>
        <v>60</v>
      </c>
      <c r="M18" s="5">
        <f t="shared" si="10"/>
        <v>30</v>
      </c>
      <c r="N18" s="5">
        <f t="shared" si="11"/>
        <v>17</v>
      </c>
      <c r="O18" s="5">
        <f t="shared" si="12"/>
        <v>1020</v>
      </c>
      <c r="P18" s="10">
        <f t="shared" si="13"/>
        <v>960</v>
      </c>
      <c r="Q18" s="5">
        <f t="shared" si="14"/>
        <v>1050</v>
      </c>
      <c r="R18" s="5">
        <f t="shared" si="15"/>
        <v>765</v>
      </c>
      <c r="S18" s="5">
        <f t="shared" si="16"/>
        <v>915</v>
      </c>
    </row>
    <row r="19" spans="1:19">
      <c r="A19" t="str">
        <f>'Plant loading'!A19</f>
        <v>Crawley</v>
      </c>
      <c r="B19" s="5" t="str">
        <f>'Plant loading'!B19</f>
        <v>PECCY</v>
      </c>
      <c r="C19" s="5" t="str">
        <f>'Plant loading'!C19</f>
        <v>eSure</v>
      </c>
      <c r="D19" s="5">
        <f>'Plant loading'!D19</f>
        <v>607</v>
      </c>
      <c r="E19" s="5">
        <f>'Plant loading'!E19</f>
        <v>610</v>
      </c>
      <c r="F19" s="5">
        <f>'Plant loading'!G19</f>
        <v>0</v>
      </c>
      <c r="G19" s="5">
        <f>'Plant loading'!H19</f>
        <v>36</v>
      </c>
      <c r="H19" s="5">
        <f>'Plant loading'!I19</f>
        <v>3.5</v>
      </c>
      <c r="I19" s="5">
        <f>'Plant loading'!J19</f>
        <v>126</v>
      </c>
      <c r="J19" s="115">
        <f t="shared" si="8"/>
        <v>0.27941269841269839</v>
      </c>
      <c r="K19" s="115">
        <v>0.5</v>
      </c>
      <c r="L19" s="116">
        <f t="shared" si="9"/>
        <v>60</v>
      </c>
      <c r="M19" s="5">
        <f t="shared" si="10"/>
        <v>30</v>
      </c>
      <c r="N19" s="5">
        <f t="shared" si="11"/>
        <v>21</v>
      </c>
      <c r="O19" s="5">
        <f t="shared" si="12"/>
        <v>1260</v>
      </c>
      <c r="P19" s="10">
        <f t="shared" si="13"/>
        <v>1200</v>
      </c>
      <c r="Q19" s="5">
        <f t="shared" si="14"/>
        <v>1290</v>
      </c>
      <c r="R19" s="5">
        <f t="shared" si="15"/>
        <v>984</v>
      </c>
      <c r="S19" s="5">
        <f t="shared" si="16"/>
        <v>1134</v>
      </c>
    </row>
    <row r="20" spans="1:19">
      <c r="A20" t="str">
        <f>'Plant loading'!A20</f>
        <v>Crawley</v>
      </c>
      <c r="B20" s="5" t="str">
        <f>'Plant loading'!B20</f>
        <v>PEDCY</v>
      </c>
      <c r="C20" s="5" t="str">
        <f>'Plant loading'!C20</f>
        <v>eSure</v>
      </c>
      <c r="D20" s="5">
        <f>'Plant loading'!D20</f>
        <v>472</v>
      </c>
      <c r="E20" s="5">
        <f>'Plant loading'!E20</f>
        <v>475</v>
      </c>
      <c r="F20" s="5">
        <f>'Plant loading'!G20</f>
        <v>0.40381904761904763</v>
      </c>
      <c r="G20" s="5">
        <f>'Plant loading'!H20</f>
        <v>36</v>
      </c>
      <c r="H20" s="5">
        <f>'Plant loading'!I20</f>
        <v>3.5</v>
      </c>
      <c r="I20" s="5">
        <f>'Plant loading'!J20</f>
        <v>126</v>
      </c>
      <c r="J20" s="115">
        <f t="shared" si="8"/>
        <v>0.21726984126984125</v>
      </c>
      <c r="K20" s="115">
        <v>0.5</v>
      </c>
      <c r="L20" s="116">
        <f t="shared" si="9"/>
        <v>60</v>
      </c>
      <c r="M20" s="5">
        <f t="shared" si="10"/>
        <v>30</v>
      </c>
      <c r="N20" s="5">
        <f t="shared" si="11"/>
        <v>16</v>
      </c>
      <c r="O20" s="5">
        <f t="shared" si="12"/>
        <v>960</v>
      </c>
      <c r="P20" s="10">
        <f t="shared" si="13"/>
        <v>900</v>
      </c>
      <c r="Q20" s="5">
        <f t="shared" si="14"/>
        <v>990</v>
      </c>
      <c r="R20" s="5">
        <f t="shared" si="15"/>
        <v>709</v>
      </c>
      <c r="S20" s="5">
        <f t="shared" si="16"/>
        <v>859</v>
      </c>
    </row>
    <row r="21" spans="1:19">
      <c r="A21" t="str">
        <f>'Plant loading'!A21</f>
        <v>Crawley</v>
      </c>
      <c r="B21" s="5" t="str">
        <f>'Plant loading'!B21</f>
        <v>PEECY</v>
      </c>
      <c r="C21" s="5" t="str">
        <f>'Plant loading'!C21</f>
        <v>eSure</v>
      </c>
      <c r="D21" s="5">
        <f>'Plant loading'!D21</f>
        <v>350</v>
      </c>
      <c r="E21" s="5">
        <f>'Plant loading'!E21</f>
        <v>355</v>
      </c>
      <c r="F21" s="5">
        <f>'Plant loading'!G21</f>
        <v>0</v>
      </c>
      <c r="G21" s="5">
        <f>'Plant loading'!H21</f>
        <v>36</v>
      </c>
      <c r="H21" s="5">
        <f>'Plant loading'!I21</f>
        <v>3.5</v>
      </c>
      <c r="I21" s="5">
        <f>'Plant loading'!J21</f>
        <v>126</v>
      </c>
      <c r="J21" s="115">
        <f t="shared" si="8"/>
        <v>0.16111111111111109</v>
      </c>
      <c r="K21" s="115">
        <v>0.5</v>
      </c>
      <c r="L21" s="116">
        <f t="shared" si="9"/>
        <v>60</v>
      </c>
      <c r="M21" s="5">
        <f t="shared" si="10"/>
        <v>30</v>
      </c>
      <c r="N21" s="5">
        <f t="shared" si="11"/>
        <v>12</v>
      </c>
      <c r="O21" s="5">
        <f t="shared" si="12"/>
        <v>720</v>
      </c>
      <c r="P21" s="10">
        <f t="shared" si="13"/>
        <v>660</v>
      </c>
      <c r="Q21" s="5">
        <f t="shared" si="14"/>
        <v>750</v>
      </c>
      <c r="R21" s="5">
        <f t="shared" si="15"/>
        <v>509</v>
      </c>
      <c r="S21" s="5">
        <f t="shared" si="16"/>
        <v>659</v>
      </c>
    </row>
    <row r="22" spans="1:19">
      <c r="A22" t="str">
        <f>'Plant loading'!A22</f>
        <v>Edinburgh</v>
      </c>
      <c r="B22" s="5" t="str">
        <f>'Plant loading'!B22</f>
        <v>PECEH</v>
      </c>
      <c r="C22" s="5" t="str">
        <f>'Plant loading'!C22</f>
        <v>eSure</v>
      </c>
      <c r="D22" s="5">
        <f>'Plant loading'!D22</f>
        <v>844</v>
      </c>
      <c r="E22" s="5">
        <f>'Plant loading'!E22</f>
        <v>852</v>
      </c>
      <c r="F22" s="5">
        <f>'Plant loading'!G22</f>
        <v>290.1035</v>
      </c>
      <c r="G22" s="5">
        <f>'Plant loading'!H22</f>
        <v>36</v>
      </c>
      <c r="H22" s="5">
        <f>'Plant loading'!I22</f>
        <v>3.5</v>
      </c>
      <c r="I22" s="5">
        <f>'Plant loading'!J22</f>
        <v>126</v>
      </c>
      <c r="J22" s="115">
        <f t="shared" si="8"/>
        <v>0.38850793650793647</v>
      </c>
      <c r="K22" s="115">
        <v>0.5</v>
      </c>
      <c r="L22" s="116">
        <f t="shared" si="9"/>
        <v>60</v>
      </c>
      <c r="M22" s="5">
        <f t="shared" si="10"/>
        <v>30</v>
      </c>
      <c r="N22" s="5">
        <f t="shared" si="11"/>
        <v>29</v>
      </c>
      <c r="O22" s="5">
        <f t="shared" si="12"/>
        <v>1740</v>
      </c>
      <c r="P22" s="10">
        <f t="shared" si="13"/>
        <v>1680</v>
      </c>
      <c r="Q22" s="5">
        <f t="shared" si="14"/>
        <v>1770</v>
      </c>
      <c r="R22" s="5">
        <f t="shared" si="15"/>
        <v>1380</v>
      </c>
      <c r="S22" s="5">
        <f t="shared" si="16"/>
        <v>1530</v>
      </c>
    </row>
    <row r="23" spans="1:19">
      <c r="A23" t="str">
        <f>'Plant loading'!A23</f>
        <v>Edinburgh</v>
      </c>
      <c r="B23" s="5" t="str">
        <f>'Plant loading'!B23</f>
        <v>PEDEH</v>
      </c>
      <c r="C23" s="5" t="str">
        <f>'Plant loading'!C23</f>
        <v>eSure</v>
      </c>
      <c r="D23" s="5">
        <f>'Plant loading'!D23</f>
        <v>918</v>
      </c>
      <c r="E23" s="5">
        <f>'Plant loading'!E23</f>
        <v>912</v>
      </c>
      <c r="F23" s="5">
        <f>'Plant loading'!G23</f>
        <v>0</v>
      </c>
      <c r="G23" s="5">
        <f>'Plant loading'!H23</f>
        <v>36</v>
      </c>
      <c r="H23" s="5">
        <f>'Plant loading'!I23</f>
        <v>3.5</v>
      </c>
      <c r="I23" s="5">
        <f>'Plant loading'!J23</f>
        <v>126</v>
      </c>
      <c r="J23" s="115">
        <f t="shared" si="8"/>
        <v>0.42257142857142854</v>
      </c>
      <c r="K23" s="115">
        <v>0.5</v>
      </c>
      <c r="L23" s="116">
        <f t="shared" si="9"/>
        <v>60</v>
      </c>
      <c r="M23" s="5">
        <f t="shared" si="10"/>
        <v>30</v>
      </c>
      <c r="N23" s="5">
        <f t="shared" si="11"/>
        <v>31</v>
      </c>
      <c r="O23" s="5">
        <f t="shared" si="12"/>
        <v>1860</v>
      </c>
      <c r="P23" s="10">
        <f t="shared" si="13"/>
        <v>1800</v>
      </c>
      <c r="Q23" s="5">
        <f t="shared" si="14"/>
        <v>1890</v>
      </c>
      <c r="R23" s="5">
        <f t="shared" si="15"/>
        <v>1480</v>
      </c>
      <c r="S23" s="5">
        <f t="shared" si="16"/>
        <v>1630</v>
      </c>
    </row>
    <row r="24" spans="1:19">
      <c r="A24" t="str">
        <f>'Plant loading'!A24</f>
        <v>Edinburgh</v>
      </c>
      <c r="B24" s="5" t="str">
        <f>'Plant loading'!B24</f>
        <v>PEEEH</v>
      </c>
      <c r="C24" s="5" t="str">
        <f>'Plant loading'!C24</f>
        <v>eSure</v>
      </c>
      <c r="D24" s="5">
        <f>'Plant loading'!D24</f>
        <v>875</v>
      </c>
      <c r="E24" s="5">
        <f>'Plant loading'!E24</f>
        <v>881</v>
      </c>
      <c r="F24" s="5">
        <f>'Plant loading'!G24</f>
        <v>0</v>
      </c>
      <c r="G24" s="5">
        <f>'Plant loading'!H24</f>
        <v>36</v>
      </c>
      <c r="H24" s="5">
        <f>'Plant loading'!I24</f>
        <v>3.5</v>
      </c>
      <c r="I24" s="5">
        <f>'Plant loading'!J24</f>
        <v>126</v>
      </c>
      <c r="J24" s="115">
        <f t="shared" si="8"/>
        <v>0.40277777777777773</v>
      </c>
      <c r="K24" s="115">
        <v>0.5</v>
      </c>
      <c r="L24" s="116">
        <f t="shared" si="9"/>
        <v>60</v>
      </c>
      <c r="M24" s="5">
        <f t="shared" si="10"/>
        <v>30</v>
      </c>
      <c r="N24" s="5">
        <f t="shared" si="11"/>
        <v>30</v>
      </c>
      <c r="O24" s="5">
        <f t="shared" si="12"/>
        <v>1800</v>
      </c>
      <c r="P24" s="10">
        <f t="shared" si="13"/>
        <v>1740</v>
      </c>
      <c r="Q24" s="5">
        <f t="shared" si="14"/>
        <v>1830</v>
      </c>
      <c r="R24" s="5">
        <f t="shared" si="15"/>
        <v>1432</v>
      </c>
      <c r="S24" s="5">
        <f t="shared" si="16"/>
        <v>1582</v>
      </c>
    </row>
    <row r="25" spans="1:19">
      <c r="A25" t="str">
        <f>'Plant loading'!A25</f>
        <v>Edinburgh</v>
      </c>
      <c r="B25" s="5" t="str">
        <f>'Plant loading'!B25</f>
        <v>PEFEH</v>
      </c>
      <c r="C25" s="5" t="str">
        <f>'Plant loading'!C25</f>
        <v>eSure</v>
      </c>
      <c r="D25" s="5">
        <f>'Plant loading'!D25</f>
        <v>830</v>
      </c>
      <c r="E25" s="5">
        <f>'Plant loading'!E25</f>
        <v>830</v>
      </c>
      <c r="F25" s="5">
        <f>'Plant loading'!G25</f>
        <v>0.76746957671957672</v>
      </c>
      <c r="G25" s="5">
        <f>'Plant loading'!H25</f>
        <v>36</v>
      </c>
      <c r="H25" s="5">
        <f>'Plant loading'!I25</f>
        <v>3.5</v>
      </c>
      <c r="I25" s="5">
        <f>'Plant loading'!J25</f>
        <v>126</v>
      </c>
      <c r="J25" s="115">
        <f t="shared" si="8"/>
        <v>0.38206349206349205</v>
      </c>
      <c r="K25" s="115">
        <v>0.5</v>
      </c>
      <c r="L25" s="116">
        <f t="shared" si="9"/>
        <v>60</v>
      </c>
      <c r="M25" s="5">
        <f t="shared" si="10"/>
        <v>30</v>
      </c>
      <c r="N25" s="5">
        <f t="shared" si="11"/>
        <v>28</v>
      </c>
      <c r="O25" s="5">
        <f t="shared" si="12"/>
        <v>1680</v>
      </c>
      <c r="P25" s="10">
        <f t="shared" si="13"/>
        <v>1620</v>
      </c>
      <c r="Q25" s="5">
        <f t="shared" si="14"/>
        <v>1710</v>
      </c>
      <c r="R25" s="5">
        <f t="shared" si="15"/>
        <v>1317</v>
      </c>
      <c r="S25" s="5">
        <f t="shared" si="16"/>
        <v>1467</v>
      </c>
    </row>
    <row r="26" spans="1:19">
      <c r="A26" t="str">
        <f>'Plant loading'!A26</f>
        <v>Edinburgh</v>
      </c>
      <c r="B26" s="5" t="str">
        <f>'Plant loading'!B26</f>
        <v>PEGEH</v>
      </c>
      <c r="C26" s="5" t="str">
        <f>'Plant loading'!C26</f>
        <v>eSure</v>
      </c>
      <c r="D26" s="5">
        <f>'Plant loading'!D26</f>
        <v>923</v>
      </c>
      <c r="E26" s="5">
        <f>'Plant loading'!E26</f>
        <v>965</v>
      </c>
      <c r="F26" s="5">
        <f>'Plant loading'!G26</f>
        <v>0</v>
      </c>
      <c r="G26" s="5">
        <f>'Plant loading'!H26</f>
        <v>36</v>
      </c>
      <c r="H26" s="5">
        <f>'Plant loading'!I26</f>
        <v>3.5</v>
      </c>
      <c r="I26" s="5">
        <f>'Plant loading'!J26</f>
        <v>126</v>
      </c>
      <c r="J26" s="115">
        <f t="shared" si="8"/>
        <v>0.42487301587301585</v>
      </c>
      <c r="K26" s="115">
        <v>0.5</v>
      </c>
      <c r="L26" s="116">
        <f t="shared" si="9"/>
        <v>60</v>
      </c>
      <c r="M26" s="5">
        <f t="shared" si="10"/>
        <v>30</v>
      </c>
      <c r="N26" s="5">
        <f t="shared" si="11"/>
        <v>33</v>
      </c>
      <c r="O26" s="5">
        <f t="shared" si="12"/>
        <v>1980</v>
      </c>
      <c r="P26" s="10">
        <f t="shared" si="13"/>
        <v>1920</v>
      </c>
      <c r="Q26" s="5">
        <f t="shared" si="14"/>
        <v>2010</v>
      </c>
      <c r="R26" s="5">
        <f t="shared" si="15"/>
        <v>1592</v>
      </c>
      <c r="S26" s="5">
        <f t="shared" si="16"/>
        <v>1742</v>
      </c>
    </row>
    <row r="27" spans="1:19">
      <c r="A27" t="str">
        <f>'Plant loading'!A29</f>
        <v>Esher</v>
      </c>
      <c r="B27" s="5" t="str">
        <f>'Plant loading'!B29</f>
        <v>PEEER</v>
      </c>
      <c r="C27" s="5" t="str">
        <f>'Plant loading'!C29</f>
        <v>eSure</v>
      </c>
      <c r="D27" s="5">
        <f>'Plant loading'!D29</f>
        <v>371</v>
      </c>
      <c r="E27" s="5">
        <f>'Plant loading'!E29</f>
        <v>347</v>
      </c>
      <c r="F27" s="5">
        <f>'Plant loading'!G29</f>
        <v>0</v>
      </c>
      <c r="G27" s="5">
        <f>'Plant loading'!H29</f>
        <v>36</v>
      </c>
      <c r="H27" s="5">
        <f>'Plant loading'!I29</f>
        <v>3.5</v>
      </c>
      <c r="I27" s="5">
        <f>'Plant loading'!J29</f>
        <v>126</v>
      </c>
      <c r="J27" s="115">
        <f t="shared" si="8"/>
        <v>0.17077777777777778</v>
      </c>
      <c r="K27" s="115">
        <v>0.5</v>
      </c>
      <c r="L27" s="116">
        <f t="shared" si="9"/>
        <v>60</v>
      </c>
      <c r="M27" s="5">
        <f t="shared" si="10"/>
        <v>30</v>
      </c>
      <c r="N27" s="5">
        <f t="shared" si="11"/>
        <v>12</v>
      </c>
      <c r="O27" s="5">
        <f t="shared" si="12"/>
        <v>720</v>
      </c>
      <c r="P27" s="10">
        <f t="shared" si="13"/>
        <v>660</v>
      </c>
      <c r="Q27" s="5">
        <f t="shared" si="14"/>
        <v>750</v>
      </c>
      <c r="R27" s="5">
        <f t="shared" si="15"/>
        <v>522</v>
      </c>
      <c r="S27" s="5">
        <f t="shared" si="16"/>
        <v>672</v>
      </c>
    </row>
    <row r="28" spans="1:19">
      <c r="A28" t="str">
        <f>'Plant loading'!A30</f>
        <v>Esher</v>
      </c>
      <c r="B28" s="5" t="str">
        <f>'Plant loading'!B30</f>
        <v>PEFER</v>
      </c>
      <c r="C28" s="5" t="str">
        <f>'Plant loading'!C30</f>
        <v>eSure</v>
      </c>
      <c r="D28" s="5">
        <f>'Plant loading'!D30</f>
        <v>447</v>
      </c>
      <c r="E28" s="5">
        <f>'Plant loading'!E30</f>
        <v>436</v>
      </c>
      <c r="F28" s="5">
        <f>'Plant loading'!G30</f>
        <v>0.32764880952380948</v>
      </c>
      <c r="G28" s="5">
        <f>'Plant loading'!H30</f>
        <v>36</v>
      </c>
      <c r="H28" s="5">
        <f>'Plant loading'!I30</f>
        <v>3.5</v>
      </c>
      <c r="I28" s="5">
        <f>'Plant loading'!J30</f>
        <v>126</v>
      </c>
      <c r="J28" s="115">
        <f t="shared" si="8"/>
        <v>0.20576190476190476</v>
      </c>
      <c r="K28" s="115">
        <v>0.5</v>
      </c>
      <c r="L28" s="116">
        <f t="shared" si="9"/>
        <v>60</v>
      </c>
      <c r="M28" s="5">
        <f t="shared" si="10"/>
        <v>30</v>
      </c>
      <c r="N28" s="5">
        <f t="shared" si="11"/>
        <v>15</v>
      </c>
      <c r="O28" s="5">
        <f t="shared" si="12"/>
        <v>900</v>
      </c>
      <c r="P28" s="10">
        <f t="shared" si="13"/>
        <v>840</v>
      </c>
      <c r="Q28" s="5">
        <f t="shared" si="14"/>
        <v>930</v>
      </c>
      <c r="R28" s="5">
        <f t="shared" si="15"/>
        <v>674</v>
      </c>
      <c r="S28" s="5">
        <f t="shared" si="16"/>
        <v>824</v>
      </c>
    </row>
    <row r="29" spans="1:19">
      <c r="A29" t="str">
        <f>'Plant loading'!A31</f>
        <v>Esher</v>
      </c>
      <c r="B29" s="5" t="str">
        <f>'Plant loading'!B31</f>
        <v>PEGER</v>
      </c>
      <c r="C29" s="5" t="str">
        <f>'Plant loading'!C31</f>
        <v>eSure</v>
      </c>
      <c r="D29" s="5">
        <f>'Plant loading'!D31</f>
        <v>320</v>
      </c>
      <c r="E29" s="5">
        <f>'Plant loading'!E31</f>
        <v>312</v>
      </c>
      <c r="F29" s="5">
        <f>'Plant loading'!G31</f>
        <v>0</v>
      </c>
      <c r="G29" s="5">
        <f>'Plant loading'!H31</f>
        <v>36</v>
      </c>
      <c r="H29" s="5">
        <f>'Plant loading'!I31</f>
        <v>3.5</v>
      </c>
      <c r="I29" s="5">
        <f>'Plant loading'!J31</f>
        <v>126</v>
      </c>
      <c r="J29" s="115">
        <f t="shared" si="8"/>
        <v>0.14730158730158729</v>
      </c>
      <c r="K29" s="115">
        <v>0.5</v>
      </c>
      <c r="L29" s="116">
        <f t="shared" si="9"/>
        <v>60</v>
      </c>
      <c r="M29" s="5">
        <f t="shared" si="10"/>
        <v>30</v>
      </c>
      <c r="N29" s="5">
        <f t="shared" si="11"/>
        <v>11</v>
      </c>
      <c r="O29" s="5">
        <f t="shared" si="12"/>
        <v>660</v>
      </c>
      <c r="P29" s="10">
        <f t="shared" si="13"/>
        <v>600</v>
      </c>
      <c r="Q29" s="5">
        <f t="shared" si="14"/>
        <v>690</v>
      </c>
      <c r="R29" s="5">
        <f t="shared" si="15"/>
        <v>480</v>
      </c>
      <c r="S29" s="5">
        <f t="shared" si="16"/>
        <v>630</v>
      </c>
    </row>
    <row r="30" spans="1:19">
      <c r="A30" t="str">
        <f>'Plant loading'!A32</f>
        <v>Gloucester</v>
      </c>
      <c r="B30" s="5" t="str">
        <f>'Plant loading'!B32</f>
        <v>PEAGR</v>
      </c>
      <c r="C30" s="5" t="str">
        <f>'Plant loading'!C32</f>
        <v>eSure</v>
      </c>
      <c r="D30" s="5">
        <f>'Plant loading'!D32</f>
        <v>637</v>
      </c>
      <c r="E30" s="5">
        <f>'Plant loading'!E32</f>
        <v>646</v>
      </c>
      <c r="F30" s="5">
        <f>'Plant loading'!G32</f>
        <v>260.51</v>
      </c>
      <c r="G30" s="5">
        <f>'Plant loading'!H32</f>
        <v>36</v>
      </c>
      <c r="H30" s="5">
        <f>'Plant loading'!I32</f>
        <v>3.5</v>
      </c>
      <c r="I30" s="5">
        <f>'Plant loading'!J32</f>
        <v>126</v>
      </c>
      <c r="J30" s="115">
        <f t="shared" si="8"/>
        <v>0.29322222222222222</v>
      </c>
      <c r="K30" s="115">
        <v>0.5</v>
      </c>
      <c r="L30" s="116">
        <f t="shared" si="9"/>
        <v>60</v>
      </c>
      <c r="M30" s="5">
        <f t="shared" si="10"/>
        <v>30</v>
      </c>
      <c r="N30" s="5">
        <f t="shared" si="11"/>
        <v>22</v>
      </c>
      <c r="O30" s="5">
        <f t="shared" si="12"/>
        <v>1320</v>
      </c>
      <c r="P30" s="10">
        <f t="shared" si="13"/>
        <v>1260</v>
      </c>
      <c r="Q30" s="5">
        <f t="shared" si="14"/>
        <v>1350</v>
      </c>
      <c r="R30" s="5">
        <f t="shared" si="15"/>
        <v>1024</v>
      </c>
      <c r="S30" s="5">
        <f t="shared" si="16"/>
        <v>1174</v>
      </c>
    </row>
    <row r="31" spans="1:19">
      <c r="A31" t="str">
        <f>'Plant loading'!A33</f>
        <v>Gloucester</v>
      </c>
      <c r="B31" s="5" t="str">
        <f>'Plant loading'!B33</f>
        <v>PEBGR</v>
      </c>
      <c r="C31" s="5" t="str">
        <f>'Plant loading'!C33</f>
        <v>eSure</v>
      </c>
      <c r="D31" s="5">
        <f>'Plant loading'!D33</f>
        <v>761</v>
      </c>
      <c r="E31" s="5">
        <f>'Plant loading'!E33</f>
        <v>765</v>
      </c>
      <c r="F31" s="5">
        <f>'Plant loading'!G33</f>
        <v>0</v>
      </c>
      <c r="G31" s="5">
        <f>'Plant loading'!H33</f>
        <v>36</v>
      </c>
      <c r="H31" s="5">
        <f>'Plant loading'!I33</f>
        <v>3.5</v>
      </c>
      <c r="I31" s="5">
        <f>'Plant loading'!J33</f>
        <v>126</v>
      </c>
      <c r="J31" s="115">
        <f t="shared" si="8"/>
        <v>0.35030158730158728</v>
      </c>
      <c r="K31" s="115">
        <v>0.5</v>
      </c>
      <c r="L31" s="116">
        <f t="shared" si="9"/>
        <v>60</v>
      </c>
      <c r="M31" s="5">
        <f t="shared" si="10"/>
        <v>30</v>
      </c>
      <c r="N31" s="5">
        <f t="shared" si="11"/>
        <v>26</v>
      </c>
      <c r="O31" s="5">
        <f t="shared" si="12"/>
        <v>1560</v>
      </c>
      <c r="P31" s="10">
        <f t="shared" si="13"/>
        <v>1500</v>
      </c>
      <c r="Q31" s="5">
        <f t="shared" si="14"/>
        <v>1590</v>
      </c>
      <c r="R31" s="5">
        <f t="shared" si="15"/>
        <v>1225</v>
      </c>
      <c r="S31" s="5">
        <f t="shared" si="16"/>
        <v>1375</v>
      </c>
    </row>
    <row r="32" spans="1:19">
      <c r="A32" t="str">
        <f>'Plant loading'!A34</f>
        <v>Gloucester</v>
      </c>
      <c r="B32" s="5" t="str">
        <f>'Plant loading'!B34</f>
        <v>PECGR</v>
      </c>
      <c r="C32" s="5" t="str">
        <f>'Plant loading'!C34</f>
        <v>eSure</v>
      </c>
      <c r="D32" s="5">
        <f>'Plant loading'!D34</f>
        <v>713</v>
      </c>
      <c r="E32" s="5">
        <f>'Plant loading'!E34</f>
        <v>716</v>
      </c>
      <c r="F32" s="5">
        <f>'Plant loading'!G34</f>
        <v>0</v>
      </c>
      <c r="G32" s="5">
        <f>'Plant loading'!H34</f>
        <v>36</v>
      </c>
      <c r="H32" s="5">
        <f>'Plant loading'!I34</f>
        <v>3.5</v>
      </c>
      <c r="I32" s="5">
        <f>'Plant loading'!J34</f>
        <v>126</v>
      </c>
      <c r="J32" s="115">
        <f t="shared" si="8"/>
        <v>0.32820634920634917</v>
      </c>
      <c r="K32" s="115">
        <v>0.5</v>
      </c>
      <c r="L32" s="116">
        <f t="shared" si="9"/>
        <v>60</v>
      </c>
      <c r="M32" s="5">
        <f t="shared" si="10"/>
        <v>30</v>
      </c>
      <c r="N32" s="5">
        <f t="shared" si="11"/>
        <v>24</v>
      </c>
      <c r="O32" s="5">
        <f t="shared" si="12"/>
        <v>1440</v>
      </c>
      <c r="P32" s="10">
        <f t="shared" si="13"/>
        <v>1380</v>
      </c>
      <c r="Q32" s="5">
        <f t="shared" si="14"/>
        <v>1470</v>
      </c>
      <c r="R32" s="5">
        <f t="shared" si="15"/>
        <v>1107</v>
      </c>
      <c r="S32" s="5">
        <f t="shared" si="16"/>
        <v>1257</v>
      </c>
    </row>
    <row r="33" spans="1:19">
      <c r="A33" t="str">
        <f>'Plant loading'!A35</f>
        <v>Gloucester</v>
      </c>
      <c r="B33" s="5" t="str">
        <f>'Plant loading'!B35</f>
        <v>PEDGR</v>
      </c>
      <c r="C33" s="5" t="str">
        <f>'Plant loading'!C35</f>
        <v>eSure</v>
      </c>
      <c r="D33" s="5">
        <f>'Plant loading'!D35</f>
        <v>707</v>
      </c>
      <c r="E33" s="5">
        <f>'Plant loading'!E35</f>
        <v>711</v>
      </c>
      <c r="F33" s="5">
        <f>'Plant loading'!G35</f>
        <v>0.56023655913978487</v>
      </c>
      <c r="G33" s="5">
        <f>'Plant loading'!H35</f>
        <v>36</v>
      </c>
      <c r="H33" s="5">
        <f>'Plant loading'!I35</f>
        <v>3.5</v>
      </c>
      <c r="I33" s="5">
        <f>'Plant loading'!J35</f>
        <v>126</v>
      </c>
      <c r="J33" s="115">
        <f t="shared" si="8"/>
        <v>0.32544444444444443</v>
      </c>
      <c r="K33" s="115">
        <v>0.5</v>
      </c>
      <c r="L33" s="116">
        <f t="shared" si="9"/>
        <v>60</v>
      </c>
      <c r="M33" s="5">
        <f t="shared" si="10"/>
        <v>30</v>
      </c>
      <c r="N33" s="5">
        <f t="shared" si="11"/>
        <v>24</v>
      </c>
      <c r="O33" s="5">
        <f t="shared" si="12"/>
        <v>1440</v>
      </c>
      <c r="P33" s="10">
        <f t="shared" si="13"/>
        <v>1380</v>
      </c>
      <c r="Q33" s="5">
        <f t="shared" si="14"/>
        <v>1470</v>
      </c>
      <c r="R33" s="5">
        <f t="shared" si="15"/>
        <v>1115</v>
      </c>
      <c r="S33" s="5">
        <f t="shared" si="16"/>
        <v>1265</v>
      </c>
    </row>
    <row r="34" spans="1:19">
      <c r="A34" t="str">
        <f>'Plant loading'!A36</f>
        <v>Gloucester</v>
      </c>
      <c r="B34" s="5" t="str">
        <f>'Plant loading'!B36</f>
        <v>PEEGR</v>
      </c>
      <c r="C34" s="5" t="str">
        <f>'Plant loading'!C36</f>
        <v>eSure</v>
      </c>
      <c r="D34" s="5">
        <f>'Plant loading'!D36</f>
        <v>696</v>
      </c>
      <c r="E34" s="5">
        <f>'Plant loading'!E36</f>
        <v>707</v>
      </c>
      <c r="F34" s="5">
        <f>'Plant loading'!G36</f>
        <v>0</v>
      </c>
      <c r="G34" s="5">
        <f>'Plant loading'!H36</f>
        <v>36</v>
      </c>
      <c r="H34" s="5">
        <f>'Plant loading'!I36</f>
        <v>3.5</v>
      </c>
      <c r="I34" s="5">
        <f>'Plant loading'!J36</f>
        <v>126</v>
      </c>
      <c r="J34" s="115">
        <f t="shared" si="8"/>
        <v>0.32038095238095238</v>
      </c>
      <c r="K34" s="115">
        <v>0.5</v>
      </c>
      <c r="L34" s="116">
        <f t="shared" si="9"/>
        <v>60</v>
      </c>
      <c r="M34" s="5">
        <f t="shared" si="10"/>
        <v>30</v>
      </c>
      <c r="N34" s="5">
        <f t="shared" si="11"/>
        <v>24</v>
      </c>
      <c r="O34" s="5">
        <f t="shared" si="12"/>
        <v>1440</v>
      </c>
      <c r="P34" s="10">
        <f t="shared" si="13"/>
        <v>1380</v>
      </c>
      <c r="Q34" s="5">
        <f t="shared" si="14"/>
        <v>1470</v>
      </c>
      <c r="R34" s="5">
        <f t="shared" si="15"/>
        <v>1122</v>
      </c>
      <c r="S34" s="5">
        <f t="shared" si="16"/>
        <v>1272</v>
      </c>
    </row>
    <row r="35" spans="1:19">
      <c r="A35" t="str">
        <f>'Plant loading'!A39</f>
        <v>Gravelly Hill</v>
      </c>
      <c r="B35" s="5" t="str">
        <f>'Plant loading'!B39</f>
        <v>BMGMTX-DCSYS01</v>
      </c>
      <c r="C35" s="5" t="str">
        <f>'Plant loading'!C39</f>
        <v>HDR48-ES</v>
      </c>
      <c r="D35" s="5">
        <f>'Plant loading'!D39</f>
        <v>766</v>
      </c>
      <c r="E35" s="5">
        <f>'Plant loading'!E39</f>
        <v>744</v>
      </c>
      <c r="F35" s="5">
        <f>'Plant loading'!G39</f>
        <v>285.798</v>
      </c>
      <c r="G35" s="5">
        <f>'Plant loading'!H39</f>
        <v>44</v>
      </c>
      <c r="H35" s="5">
        <f>'Plant loading'!I39</f>
        <v>3</v>
      </c>
      <c r="I35" s="5">
        <f>'Plant loading'!J39</f>
        <v>132</v>
      </c>
      <c r="J35" s="115">
        <f t="shared" si="8"/>
        <v>0.33657575757575758</v>
      </c>
      <c r="K35" s="115">
        <v>0.5</v>
      </c>
      <c r="L35" s="116">
        <f t="shared" si="9"/>
        <v>51</v>
      </c>
      <c r="M35" s="5">
        <f t="shared" si="10"/>
        <v>25.5</v>
      </c>
      <c r="N35" s="5">
        <f t="shared" si="11"/>
        <v>30</v>
      </c>
      <c r="O35" s="5">
        <f t="shared" si="12"/>
        <v>1530</v>
      </c>
      <c r="P35" s="10">
        <f t="shared" si="13"/>
        <v>1479</v>
      </c>
      <c r="Q35" s="5">
        <f t="shared" si="14"/>
        <v>1555.5</v>
      </c>
      <c r="R35" s="5">
        <f t="shared" si="15"/>
        <v>1442</v>
      </c>
      <c r="S35" s="5">
        <f t="shared" si="16"/>
        <v>1592</v>
      </c>
    </row>
    <row r="36" spans="1:19">
      <c r="A36" t="str">
        <f>'Plant loading'!A40</f>
        <v>Gravelly Hill</v>
      </c>
      <c r="B36" s="5" t="str">
        <f>'Plant loading'!B40</f>
        <v>BMGMTX-DCSYS02</v>
      </c>
      <c r="C36" s="5" t="str">
        <f>'Plant loading'!C40</f>
        <v>HDR48-ES</v>
      </c>
      <c r="D36" s="5">
        <f>'Plant loading'!D40</f>
        <v>785</v>
      </c>
      <c r="E36" s="5">
        <f>'Plant loading'!E40</f>
        <v>766</v>
      </c>
      <c r="F36" s="5">
        <f>'Plant loading'!G40</f>
        <v>0</v>
      </c>
      <c r="G36" s="5">
        <f>'Plant loading'!H40</f>
        <v>44</v>
      </c>
      <c r="H36" s="5">
        <f>'Plant loading'!I40</f>
        <v>3</v>
      </c>
      <c r="I36" s="5">
        <f>'Plant loading'!J40</f>
        <v>132</v>
      </c>
      <c r="J36" s="115">
        <f t="shared" si="8"/>
        <v>0.34492424242424241</v>
      </c>
      <c r="K36" s="115">
        <v>0.5</v>
      </c>
      <c r="L36" s="116">
        <f t="shared" si="9"/>
        <v>51</v>
      </c>
      <c r="M36" s="5">
        <f t="shared" si="10"/>
        <v>25.5</v>
      </c>
      <c r="N36" s="5">
        <f t="shared" si="11"/>
        <v>31</v>
      </c>
      <c r="O36" s="5">
        <f t="shared" si="12"/>
        <v>1581</v>
      </c>
      <c r="P36" s="10">
        <f t="shared" si="13"/>
        <v>1530</v>
      </c>
      <c r="Q36" s="5">
        <f t="shared" si="14"/>
        <v>1606.5</v>
      </c>
      <c r="R36" s="5">
        <f t="shared" si="15"/>
        <v>1499</v>
      </c>
      <c r="S36" s="5">
        <f t="shared" si="16"/>
        <v>1649</v>
      </c>
    </row>
    <row r="37" spans="1:19">
      <c r="A37" t="str">
        <f>'Plant loading'!A41</f>
        <v>Gravelly Hill</v>
      </c>
      <c r="B37" s="5" t="str">
        <f>'Plant loading'!B41</f>
        <v>BMGMTX-DCSYS03</v>
      </c>
      <c r="C37" s="5" t="str">
        <f>'Plant loading'!C41</f>
        <v>HDR48-ES</v>
      </c>
      <c r="D37" s="5">
        <f>'Plant loading'!D41</f>
        <v>858</v>
      </c>
      <c r="E37" s="5">
        <f>'Plant loading'!E41</f>
        <v>785</v>
      </c>
      <c r="F37" s="5">
        <f>'Plant loading'!G41</f>
        <v>0</v>
      </c>
      <c r="G37" s="5">
        <f>'Plant loading'!H41</f>
        <v>44</v>
      </c>
      <c r="H37" s="5">
        <f>'Plant loading'!I41</f>
        <v>3</v>
      </c>
      <c r="I37" s="5">
        <f>'Plant loading'!J41</f>
        <v>132</v>
      </c>
      <c r="J37" s="115">
        <f t="shared" si="8"/>
        <v>0.377</v>
      </c>
      <c r="K37" s="115">
        <v>0.5</v>
      </c>
      <c r="L37" s="116">
        <f t="shared" si="9"/>
        <v>51</v>
      </c>
      <c r="M37" s="5">
        <f t="shared" si="10"/>
        <v>25.5</v>
      </c>
      <c r="N37" s="5">
        <f t="shared" si="11"/>
        <v>31</v>
      </c>
      <c r="O37" s="5">
        <f t="shared" si="12"/>
        <v>1581</v>
      </c>
      <c r="P37" s="10">
        <f t="shared" si="13"/>
        <v>1530</v>
      </c>
      <c r="Q37" s="5">
        <f t="shared" si="14"/>
        <v>1606.5</v>
      </c>
      <c r="R37" s="5">
        <f t="shared" si="15"/>
        <v>1461</v>
      </c>
      <c r="S37" s="5">
        <f t="shared" si="16"/>
        <v>1611</v>
      </c>
    </row>
    <row r="38" spans="1:19">
      <c r="A38" t="str">
        <f>'Plant loading'!A42</f>
        <v>Gravelly Hill</v>
      </c>
      <c r="B38" s="5" t="str">
        <f>'Plant loading'!B42</f>
        <v>BMGMTX-DCSYS04</v>
      </c>
      <c r="C38" s="5" t="str">
        <f>'Plant loading'!C42</f>
        <v>HDR48-ES</v>
      </c>
      <c r="D38" s="5">
        <f>'Plant loading'!D42</f>
        <v>797</v>
      </c>
      <c r="E38" s="5">
        <f>'Plant loading'!E42</f>
        <v>768</v>
      </c>
      <c r="F38" s="5">
        <f>'Plant loading'!G42</f>
        <v>0.61861038961038961</v>
      </c>
      <c r="G38" s="5">
        <f>'Plant loading'!H42</f>
        <v>44</v>
      </c>
      <c r="H38" s="5">
        <v>3.5</v>
      </c>
      <c r="I38" s="5">
        <f>'Plant loading'!J42</f>
        <v>132</v>
      </c>
      <c r="J38" s="115">
        <f t="shared" si="8"/>
        <v>0.3001688311688312</v>
      </c>
      <c r="K38" s="115">
        <v>0.5</v>
      </c>
      <c r="L38" s="116">
        <f t="shared" si="9"/>
        <v>60</v>
      </c>
      <c r="M38" s="5">
        <f t="shared" si="10"/>
        <v>30</v>
      </c>
      <c r="N38" s="5">
        <f t="shared" si="11"/>
        <v>26</v>
      </c>
      <c r="O38" s="5">
        <f t="shared" si="12"/>
        <v>1560</v>
      </c>
      <c r="P38" s="10">
        <f t="shared" si="13"/>
        <v>1500</v>
      </c>
      <c r="Q38" s="5">
        <f t="shared" si="14"/>
        <v>1590</v>
      </c>
      <c r="R38" s="5">
        <f t="shared" si="15"/>
        <v>1220</v>
      </c>
      <c r="S38" s="5">
        <f t="shared" si="16"/>
        <v>1370</v>
      </c>
    </row>
    <row r="39" spans="1:19">
      <c r="A39" t="str">
        <f>'Plant loading'!A43</f>
        <v>Gravelly Hill</v>
      </c>
      <c r="B39" s="5" t="str">
        <f>'Plant loading'!B43</f>
        <v>BMGMTX-DCSYS05</v>
      </c>
      <c r="C39" s="5" t="str">
        <f>'Plant loading'!C43</f>
        <v>HDR48-ES</v>
      </c>
      <c r="D39" s="5">
        <f>'Plant loading'!D43</f>
        <v>799</v>
      </c>
      <c r="E39" s="5">
        <f>'Plant loading'!E43</f>
        <v>786</v>
      </c>
      <c r="F39" s="5">
        <f>'Plant loading'!G43</f>
        <v>0</v>
      </c>
      <c r="G39" s="5">
        <f>'Plant loading'!H43</f>
        <v>44</v>
      </c>
      <c r="H39" s="5">
        <f>'Plant loading'!I43</f>
        <v>3</v>
      </c>
      <c r="I39" s="5">
        <f>'Plant loading'!J43</f>
        <v>132</v>
      </c>
      <c r="J39" s="115">
        <f t="shared" si="8"/>
        <v>0.3510757575757576</v>
      </c>
      <c r="K39" s="115">
        <v>0.5</v>
      </c>
      <c r="L39" s="116">
        <f t="shared" si="9"/>
        <v>51</v>
      </c>
      <c r="M39" s="5">
        <f t="shared" si="10"/>
        <v>25.5</v>
      </c>
      <c r="N39" s="5">
        <f t="shared" si="11"/>
        <v>31</v>
      </c>
      <c r="O39" s="5">
        <f t="shared" si="12"/>
        <v>1581</v>
      </c>
      <c r="P39" s="10">
        <f t="shared" si="13"/>
        <v>1530</v>
      </c>
      <c r="Q39" s="5">
        <f t="shared" si="14"/>
        <v>1606.5</v>
      </c>
      <c r="R39" s="5">
        <f t="shared" si="15"/>
        <v>1459</v>
      </c>
      <c r="S39" s="5">
        <f t="shared" si="16"/>
        <v>1609</v>
      </c>
    </row>
    <row r="40" spans="1:19">
      <c r="A40" t="str">
        <f>'Plant loading'!A44</f>
        <v>Gravelly Hill</v>
      </c>
      <c r="B40" s="5" t="str">
        <f>'Plant loading'!B44</f>
        <v>BMGMTX-DCSYS06</v>
      </c>
      <c r="C40" s="5" t="str">
        <f>'Plant loading'!C44</f>
        <v>HDR48-ES</v>
      </c>
      <c r="D40" s="5">
        <f>'Plant loading'!D44</f>
        <v>844</v>
      </c>
      <c r="E40" s="5">
        <f>'Plant loading'!E44</f>
        <v>825</v>
      </c>
      <c r="F40" s="5">
        <f>'Plant loading'!G44</f>
        <v>0</v>
      </c>
      <c r="G40" s="5">
        <f>'Plant loading'!H44</f>
        <v>44</v>
      </c>
      <c r="H40" s="5">
        <f>'Plant loading'!I44</f>
        <v>3</v>
      </c>
      <c r="I40" s="5">
        <f>'Plant loading'!J44</f>
        <v>132</v>
      </c>
      <c r="J40" s="115">
        <f t="shared" si="8"/>
        <v>0.37084848484848487</v>
      </c>
      <c r="K40" s="115">
        <v>0.5</v>
      </c>
      <c r="L40" s="116">
        <f t="shared" si="9"/>
        <v>51</v>
      </c>
      <c r="M40" s="5">
        <f t="shared" si="10"/>
        <v>25.5</v>
      </c>
      <c r="N40" s="5">
        <f t="shared" si="11"/>
        <v>33</v>
      </c>
      <c r="O40" s="5">
        <f t="shared" si="12"/>
        <v>1683</v>
      </c>
      <c r="P40" s="10">
        <f t="shared" si="13"/>
        <v>1632</v>
      </c>
      <c r="Q40" s="5">
        <f t="shared" si="14"/>
        <v>1708.5</v>
      </c>
      <c r="R40" s="5">
        <f t="shared" si="15"/>
        <v>1583</v>
      </c>
      <c r="S40" s="5">
        <f t="shared" si="16"/>
        <v>1733</v>
      </c>
    </row>
    <row r="41" spans="1:19">
      <c r="A41" t="str">
        <f>'Plant loading'!A47</f>
        <v>Kings Cross</v>
      </c>
      <c r="B41" s="5" t="str">
        <f>'Plant loading'!B47</f>
        <v>PEAKS</v>
      </c>
      <c r="C41" s="5" t="str">
        <f>'Plant loading'!C47</f>
        <v>eSure</v>
      </c>
      <c r="D41" s="5">
        <f>'Plant loading'!D47</f>
        <v>248</v>
      </c>
      <c r="E41" s="5">
        <f>'Plant loading'!E47</f>
        <v>243</v>
      </c>
      <c r="F41" s="5">
        <f>'Plant loading'!G47</f>
        <v>126.985</v>
      </c>
      <c r="G41" s="5">
        <f>'Plant loading'!H47</f>
        <v>24</v>
      </c>
      <c r="H41" s="5">
        <f>'Plant loading'!I47</f>
        <v>3.5</v>
      </c>
      <c r="I41" s="5">
        <f>'Plant loading'!J47</f>
        <v>84</v>
      </c>
      <c r="J41" s="115">
        <f t="shared" si="8"/>
        <v>0.17123809523809522</v>
      </c>
      <c r="K41" s="115">
        <v>0.5</v>
      </c>
      <c r="L41" s="116">
        <f t="shared" si="9"/>
        <v>60</v>
      </c>
      <c r="M41" s="5">
        <f t="shared" si="10"/>
        <v>30</v>
      </c>
      <c r="N41" s="5">
        <f t="shared" si="11"/>
        <v>9</v>
      </c>
      <c r="O41" s="5">
        <f t="shared" si="12"/>
        <v>540</v>
      </c>
      <c r="P41" s="10">
        <f t="shared" si="13"/>
        <v>480</v>
      </c>
      <c r="Q41" s="5">
        <f t="shared" si="14"/>
        <v>570</v>
      </c>
      <c r="R41" s="5">
        <f t="shared" si="15"/>
        <v>395</v>
      </c>
      <c r="S41" s="5">
        <f t="shared" si="16"/>
        <v>545</v>
      </c>
    </row>
    <row r="42" spans="1:19">
      <c r="A42" t="str">
        <f>'Plant loading'!A48</f>
        <v>Kings Cross</v>
      </c>
      <c r="B42" s="5" t="str">
        <f>'Plant loading'!B48</f>
        <v>PEBKS</v>
      </c>
      <c r="C42" s="5" t="str">
        <f>'Plant loading'!C48</f>
        <v>eSure</v>
      </c>
      <c r="D42" s="5">
        <f>'Plant loading'!D48</f>
        <v>353</v>
      </c>
      <c r="E42" s="5">
        <f>'Plant loading'!E48</f>
        <v>328</v>
      </c>
      <c r="F42" s="5">
        <f>'Plant loading'!G48</f>
        <v>0</v>
      </c>
      <c r="G42" s="5">
        <f>'Plant loading'!H48</f>
        <v>30</v>
      </c>
      <c r="H42" s="5">
        <f>'Plant loading'!I48</f>
        <v>3.5</v>
      </c>
      <c r="I42" s="5">
        <f>'Plant loading'!J48</f>
        <v>105</v>
      </c>
      <c r="J42" s="115">
        <f t="shared" si="8"/>
        <v>0.19499047619047619</v>
      </c>
      <c r="K42" s="115">
        <v>0.5</v>
      </c>
      <c r="L42" s="116">
        <f t="shared" si="9"/>
        <v>60</v>
      </c>
      <c r="M42" s="5">
        <f t="shared" si="10"/>
        <v>30</v>
      </c>
      <c r="N42" s="5">
        <f t="shared" si="11"/>
        <v>11</v>
      </c>
      <c r="O42" s="5">
        <f t="shared" si="12"/>
        <v>660</v>
      </c>
      <c r="P42" s="10">
        <f t="shared" si="13"/>
        <v>600</v>
      </c>
      <c r="Q42" s="5">
        <f t="shared" si="14"/>
        <v>690</v>
      </c>
      <c r="R42" s="5">
        <f t="shared" si="15"/>
        <v>454</v>
      </c>
      <c r="S42" s="5">
        <f t="shared" si="16"/>
        <v>604</v>
      </c>
    </row>
    <row r="43" spans="1:19">
      <c r="A43" t="e">
        <f>'Plant loading'!#REF!</f>
        <v>#REF!</v>
      </c>
      <c r="B43" s="5" t="e">
        <f>'Plant loading'!#REF!</f>
        <v>#REF!</v>
      </c>
      <c r="C43" s="5" t="e">
        <f>'Plant loading'!#REF!</f>
        <v>#REF!</v>
      </c>
      <c r="D43" s="5" t="e">
        <f>'Plant loading'!#REF!</f>
        <v>#REF!</v>
      </c>
      <c r="E43" s="5" t="e">
        <f>'Plant loading'!#REF!</f>
        <v>#REF!</v>
      </c>
      <c r="F43" s="5" t="e">
        <f>'Plant loading'!#REF!</f>
        <v>#REF!</v>
      </c>
      <c r="G43" s="5" t="e">
        <f>'Plant loading'!#REF!</f>
        <v>#REF!</v>
      </c>
      <c r="H43" s="5" t="e">
        <f>'Plant loading'!#REF!</f>
        <v>#REF!</v>
      </c>
      <c r="I43" s="5" t="e">
        <f>'Plant loading'!#REF!</f>
        <v>#REF!</v>
      </c>
      <c r="J43" s="115" t="e">
        <f t="shared" si="8"/>
        <v>#REF!</v>
      </c>
      <c r="K43" s="115">
        <v>0.5</v>
      </c>
      <c r="L43" s="116" t="e">
        <f t="shared" si="9"/>
        <v>#REF!</v>
      </c>
      <c r="M43" s="5" t="e">
        <f t="shared" si="10"/>
        <v>#REF!</v>
      </c>
      <c r="N43" s="5" t="e">
        <f t="shared" si="11"/>
        <v>#REF!</v>
      </c>
      <c r="O43" s="5" t="e">
        <f t="shared" si="12"/>
        <v>#REF!</v>
      </c>
      <c r="P43" s="10" t="e">
        <f t="shared" si="13"/>
        <v>#REF!</v>
      </c>
      <c r="Q43" s="5" t="e">
        <f t="shared" si="14"/>
        <v>#REF!</v>
      </c>
      <c r="R43" s="5" t="e">
        <f t="shared" si="15"/>
        <v>#REF!</v>
      </c>
      <c r="S43" s="5" t="e">
        <f t="shared" si="16"/>
        <v>#REF!</v>
      </c>
    </row>
    <row r="44" spans="1:19">
      <c r="A44" t="e">
        <f>'Plant loading'!#REF!</f>
        <v>#REF!</v>
      </c>
      <c r="B44" s="5" t="e">
        <f>'Plant loading'!#REF!</f>
        <v>#REF!</v>
      </c>
      <c r="C44" s="5" t="e">
        <f>'Plant loading'!#REF!</f>
        <v>#REF!</v>
      </c>
      <c r="D44" s="5" t="e">
        <f>'Plant loading'!#REF!</f>
        <v>#REF!</v>
      </c>
      <c r="E44" s="5" t="e">
        <f>'Plant loading'!#REF!</f>
        <v>#REF!</v>
      </c>
      <c r="F44" s="5" t="e">
        <f>'Plant loading'!#REF!</f>
        <v>#REF!</v>
      </c>
      <c r="G44" s="5" t="e">
        <f>'Plant loading'!#REF!</f>
        <v>#REF!</v>
      </c>
      <c r="H44" s="5" t="e">
        <f>'Plant loading'!#REF!</f>
        <v>#REF!</v>
      </c>
      <c r="I44" s="5" t="e">
        <f>'Plant loading'!#REF!</f>
        <v>#REF!</v>
      </c>
      <c r="J44" s="115" t="e">
        <f t="shared" si="8"/>
        <v>#REF!</v>
      </c>
      <c r="K44" s="115">
        <v>0.5</v>
      </c>
      <c r="L44" s="116" t="e">
        <f t="shared" si="9"/>
        <v>#REF!</v>
      </c>
      <c r="M44" s="5" t="e">
        <f t="shared" si="10"/>
        <v>#REF!</v>
      </c>
      <c r="N44" s="5" t="e">
        <f t="shared" si="11"/>
        <v>#REF!</v>
      </c>
      <c r="O44" s="5" t="e">
        <f t="shared" si="12"/>
        <v>#REF!</v>
      </c>
      <c r="P44" s="10" t="e">
        <f t="shared" si="13"/>
        <v>#REF!</v>
      </c>
      <c r="Q44" s="5" t="e">
        <f t="shared" si="14"/>
        <v>#REF!</v>
      </c>
      <c r="R44" s="5" t="e">
        <f t="shared" si="15"/>
        <v>#REF!</v>
      </c>
      <c r="S44" s="5" t="e">
        <f t="shared" si="16"/>
        <v>#REF!</v>
      </c>
    </row>
    <row r="45" spans="1:19">
      <c r="A45" t="str">
        <f>'Plant loading'!A49</f>
        <v>Kings Cross</v>
      </c>
      <c r="B45" s="5" t="str">
        <f>'Plant loading'!B49</f>
        <v>PEEKS</v>
      </c>
      <c r="C45" s="5" t="str">
        <f>'Plant loading'!C49</f>
        <v>eSure</v>
      </c>
      <c r="D45" s="5">
        <f>'Plant loading'!D49</f>
        <v>100</v>
      </c>
      <c r="E45" s="5">
        <f>'Plant loading'!E49</f>
        <v>100</v>
      </c>
      <c r="F45" s="5">
        <f>'Plant loading'!G49</f>
        <v>0</v>
      </c>
      <c r="G45" s="5">
        <f>'Plant loading'!H49</f>
        <v>12</v>
      </c>
      <c r="H45" s="5">
        <f>'Plant loading'!I49</f>
        <v>3.5</v>
      </c>
      <c r="I45" s="5">
        <f>'Plant loading'!J49</f>
        <v>42</v>
      </c>
      <c r="J45" s="115">
        <f t="shared" si="8"/>
        <v>0.13809523809523808</v>
      </c>
      <c r="K45" s="115">
        <v>0.5</v>
      </c>
      <c r="L45" s="116">
        <f t="shared" si="9"/>
        <v>60</v>
      </c>
      <c r="M45" s="5">
        <f t="shared" si="10"/>
        <v>30</v>
      </c>
      <c r="N45" s="5">
        <f t="shared" si="11"/>
        <v>4</v>
      </c>
      <c r="O45" s="5">
        <f t="shared" si="12"/>
        <v>240</v>
      </c>
      <c r="P45" s="10">
        <f t="shared" si="13"/>
        <v>180</v>
      </c>
      <c r="Q45" s="5">
        <f t="shared" si="14"/>
        <v>270</v>
      </c>
      <c r="R45" s="5">
        <f t="shared" si="15"/>
        <v>134</v>
      </c>
      <c r="S45" s="5">
        <f t="shared" si="16"/>
        <v>284</v>
      </c>
    </row>
    <row r="46" spans="1:19">
      <c r="A46" t="str">
        <f>'Plant loading'!A50</f>
        <v>Kings Cross</v>
      </c>
      <c r="B46" s="5" t="str">
        <f>'Plant loading'!B50</f>
        <v>PEIKS</v>
      </c>
      <c r="C46" s="5" t="str">
        <f>'Plant loading'!C50</f>
        <v>eSure</v>
      </c>
      <c r="D46" s="5">
        <f>'Plant loading'!D50</f>
        <v>532</v>
      </c>
      <c r="E46" s="5">
        <f>'Plant loading'!E50</f>
        <v>539</v>
      </c>
      <c r="F46" s="5">
        <f>'Plant loading'!G50</f>
        <v>0</v>
      </c>
      <c r="G46" s="5">
        <f>'Plant loading'!H50</f>
        <v>36</v>
      </c>
      <c r="H46" s="5">
        <f>'Plant loading'!I50</f>
        <v>3.5</v>
      </c>
      <c r="I46" s="5">
        <f>'Plant loading'!J50</f>
        <v>126</v>
      </c>
      <c r="J46" s="115">
        <f t="shared" si="8"/>
        <v>0.24488888888888888</v>
      </c>
      <c r="K46" s="115">
        <v>0.5</v>
      </c>
      <c r="L46" s="116">
        <f t="shared" si="9"/>
        <v>60</v>
      </c>
      <c r="M46" s="5">
        <f t="shared" si="10"/>
        <v>30</v>
      </c>
      <c r="N46" s="5">
        <f t="shared" si="11"/>
        <v>18</v>
      </c>
      <c r="O46" s="5">
        <f t="shared" si="12"/>
        <v>1080</v>
      </c>
      <c r="P46" s="10">
        <f t="shared" si="13"/>
        <v>1020</v>
      </c>
      <c r="Q46" s="5">
        <f t="shared" si="14"/>
        <v>1110</v>
      </c>
      <c r="R46" s="5">
        <f t="shared" si="15"/>
        <v>802</v>
      </c>
      <c r="S46" s="5">
        <f t="shared" si="16"/>
        <v>952</v>
      </c>
    </row>
    <row r="47" spans="1:19">
      <c r="A47" t="str">
        <f>'Plant loading'!A51</f>
        <v>Kings Cross</v>
      </c>
      <c r="B47" s="5" t="str">
        <f>'Plant loading'!B51</f>
        <v>PEJKS</v>
      </c>
      <c r="C47" s="5" t="str">
        <f>'Plant loading'!C51</f>
        <v>eSure</v>
      </c>
      <c r="D47" s="5">
        <f>'Plant loading'!D51</f>
        <v>240</v>
      </c>
      <c r="E47" s="5">
        <f>'Plant loading'!E51</f>
        <v>252</v>
      </c>
      <c r="F47" s="5">
        <f>'Plant loading'!G51</f>
        <v>0</v>
      </c>
      <c r="G47" s="5">
        <f>'Plant loading'!H51</f>
        <v>36</v>
      </c>
      <c r="H47" s="5">
        <f>'Plant loading'!I51</f>
        <v>3.5</v>
      </c>
      <c r="I47" s="5">
        <f>'Plant loading'!J51</f>
        <v>126</v>
      </c>
      <c r="J47" s="115">
        <f t="shared" si="8"/>
        <v>0.11047619047619048</v>
      </c>
      <c r="K47" s="115">
        <v>0.5</v>
      </c>
      <c r="L47" s="116">
        <f t="shared" si="9"/>
        <v>60</v>
      </c>
      <c r="M47" s="5">
        <f t="shared" si="10"/>
        <v>30</v>
      </c>
      <c r="N47" s="5">
        <f t="shared" si="11"/>
        <v>9</v>
      </c>
      <c r="O47" s="5">
        <f t="shared" si="12"/>
        <v>540</v>
      </c>
      <c r="P47" s="10">
        <f t="shared" si="13"/>
        <v>480</v>
      </c>
      <c r="Q47" s="5">
        <f t="shared" si="14"/>
        <v>570</v>
      </c>
      <c r="R47" s="5">
        <f t="shared" si="15"/>
        <v>380</v>
      </c>
      <c r="S47" s="5">
        <f t="shared" si="16"/>
        <v>530</v>
      </c>
    </row>
    <row r="48" spans="1:19">
      <c r="A48" t="str">
        <f>'Plant loading'!A52</f>
        <v>Kings Cross</v>
      </c>
      <c r="B48" s="5" t="str">
        <f>'Plant loading'!B52</f>
        <v>PEKKS</v>
      </c>
      <c r="C48" s="5" t="str">
        <f>'Plant loading'!C52</f>
        <v>eSure</v>
      </c>
      <c r="D48" s="5">
        <f>'Plant loading'!D52</f>
        <v>484</v>
      </c>
      <c r="E48" s="5">
        <f>'Plant loading'!E52</f>
        <v>460</v>
      </c>
      <c r="F48" s="5">
        <f>'Plant loading'!G52</f>
        <v>0.31905778894472364</v>
      </c>
      <c r="G48" s="5">
        <f>'Plant loading'!H52</f>
        <v>30</v>
      </c>
      <c r="H48" s="5">
        <f>'Plant loading'!I52</f>
        <v>3.5</v>
      </c>
      <c r="I48" s="5">
        <f>'Plant loading'!J52</f>
        <v>105</v>
      </c>
      <c r="J48" s="115">
        <f t="shared" si="8"/>
        <v>0.26735238095238095</v>
      </c>
      <c r="K48" s="115">
        <v>0.5</v>
      </c>
      <c r="L48" s="116">
        <f t="shared" si="9"/>
        <v>60</v>
      </c>
      <c r="M48" s="5">
        <f t="shared" si="10"/>
        <v>30</v>
      </c>
      <c r="N48" s="5">
        <f t="shared" si="11"/>
        <v>16</v>
      </c>
      <c r="O48" s="5">
        <f t="shared" si="12"/>
        <v>960</v>
      </c>
      <c r="P48" s="10">
        <f t="shared" si="13"/>
        <v>900</v>
      </c>
      <c r="Q48" s="5">
        <f t="shared" si="14"/>
        <v>990</v>
      </c>
      <c r="R48" s="5">
        <f t="shared" si="15"/>
        <v>734</v>
      </c>
      <c r="S48" s="5">
        <f t="shared" si="16"/>
        <v>884</v>
      </c>
    </row>
    <row r="49" spans="1:19">
      <c r="A49" t="str">
        <f>'Plant loading'!A53</f>
        <v>Kings Cross</v>
      </c>
      <c r="B49" s="5" t="str">
        <f>'Plant loading'!B53</f>
        <v>PELKS</v>
      </c>
      <c r="C49" s="5" t="str">
        <f>'Plant loading'!C53</f>
        <v>eSure</v>
      </c>
      <c r="D49" s="5">
        <f>'Plant loading'!D53</f>
        <v>162</v>
      </c>
      <c r="E49" s="5">
        <f>'Plant loading'!E53</f>
        <v>161</v>
      </c>
      <c r="F49" s="5">
        <f>'Plant loading'!G53</f>
        <v>0</v>
      </c>
      <c r="G49" s="5">
        <f>'Plant loading'!H53</f>
        <v>24</v>
      </c>
      <c r="H49" s="5">
        <f>'Plant loading'!I53</f>
        <v>3.5</v>
      </c>
      <c r="I49" s="5">
        <f>'Plant loading'!J53</f>
        <v>84</v>
      </c>
      <c r="J49" s="115">
        <f t="shared" si="8"/>
        <v>0.11185714285714285</v>
      </c>
      <c r="K49" s="115">
        <v>0.5</v>
      </c>
      <c r="L49" s="116">
        <f t="shared" si="9"/>
        <v>60</v>
      </c>
      <c r="M49" s="5">
        <f t="shared" si="10"/>
        <v>30</v>
      </c>
      <c r="N49" s="5">
        <f t="shared" si="11"/>
        <v>6</v>
      </c>
      <c r="O49" s="5">
        <f t="shared" si="12"/>
        <v>360</v>
      </c>
      <c r="P49" s="10">
        <f t="shared" si="13"/>
        <v>300</v>
      </c>
      <c r="Q49" s="5">
        <f t="shared" si="14"/>
        <v>390</v>
      </c>
      <c r="R49" s="5">
        <f t="shared" si="15"/>
        <v>232</v>
      </c>
      <c r="S49" s="5">
        <f t="shared" si="16"/>
        <v>382</v>
      </c>
    </row>
    <row r="50" spans="1:19">
      <c r="A50" t="str">
        <f>'Plant loading'!A54</f>
        <v>Kings Cross</v>
      </c>
      <c r="B50" s="5" t="str">
        <f>'Plant loading'!B54</f>
        <v>PEMKS</v>
      </c>
      <c r="C50" s="5" t="str">
        <f>'Plant loading'!C54</f>
        <v>eSure</v>
      </c>
      <c r="D50" s="5">
        <f>'Plant loading'!D54</f>
        <v>147</v>
      </c>
      <c r="E50" s="5">
        <f>'Plant loading'!E54</f>
        <v>145</v>
      </c>
      <c r="F50" s="5">
        <f>'Plant loading'!G54</f>
        <v>0</v>
      </c>
      <c r="G50" s="5">
        <f>'Plant loading'!H54</f>
        <v>24</v>
      </c>
      <c r="H50" s="5">
        <f>'Plant loading'!I54</f>
        <v>3.5</v>
      </c>
      <c r="I50" s="5">
        <f>'Plant loading'!J54</f>
        <v>84</v>
      </c>
      <c r="J50" s="115">
        <f t="shared" si="8"/>
        <v>0.10149999999999999</v>
      </c>
      <c r="K50" s="115">
        <v>0.5</v>
      </c>
      <c r="L50" s="116">
        <f t="shared" si="9"/>
        <v>60</v>
      </c>
      <c r="M50" s="5">
        <f t="shared" si="10"/>
        <v>30</v>
      </c>
      <c r="N50" s="5">
        <f t="shared" si="11"/>
        <v>5</v>
      </c>
      <c r="O50" s="5">
        <f t="shared" si="12"/>
        <v>300</v>
      </c>
      <c r="P50" s="10">
        <f t="shared" si="13"/>
        <v>240</v>
      </c>
      <c r="Q50" s="5">
        <f t="shared" si="14"/>
        <v>330</v>
      </c>
      <c r="R50" s="5">
        <f t="shared" si="15"/>
        <v>159</v>
      </c>
      <c r="S50" s="5">
        <f t="shared" si="16"/>
        <v>309</v>
      </c>
    </row>
    <row r="51" spans="1:19">
      <c r="A51" t="str">
        <f>'Plant loading'!A55</f>
        <v>Kings Cross</v>
      </c>
      <c r="B51" s="5" t="str">
        <f>'Plant loading'!B55</f>
        <v>PENKS</v>
      </c>
      <c r="C51" s="5" t="str">
        <f>'Plant loading'!C55</f>
        <v>eSure</v>
      </c>
      <c r="D51" s="5">
        <f>'Plant loading'!D55</f>
        <v>101</v>
      </c>
      <c r="E51" s="5">
        <f>'Plant loading'!E55</f>
        <v>102</v>
      </c>
      <c r="F51" s="5">
        <f>'Plant loading'!G55</f>
        <v>0</v>
      </c>
      <c r="G51" s="5">
        <f>'Plant loading'!H55</f>
        <v>12</v>
      </c>
      <c r="H51" s="5">
        <f>'Plant loading'!I55</f>
        <v>3.5</v>
      </c>
      <c r="I51" s="5">
        <f>'Plant loading'!J55</f>
        <v>42</v>
      </c>
      <c r="J51" s="115">
        <f t="shared" si="8"/>
        <v>0.13947619047619048</v>
      </c>
      <c r="K51" s="115">
        <v>0.5</v>
      </c>
      <c r="L51" s="116">
        <f t="shared" si="9"/>
        <v>60</v>
      </c>
      <c r="M51" s="5">
        <f t="shared" si="10"/>
        <v>30</v>
      </c>
      <c r="N51" s="5">
        <f t="shared" si="11"/>
        <v>4</v>
      </c>
      <c r="O51" s="5">
        <f t="shared" si="12"/>
        <v>240</v>
      </c>
      <c r="P51" s="10">
        <f t="shared" si="13"/>
        <v>180</v>
      </c>
      <c r="Q51" s="5">
        <f t="shared" si="14"/>
        <v>270</v>
      </c>
      <c r="R51" s="5">
        <f t="shared" si="15"/>
        <v>130</v>
      </c>
      <c r="S51" s="5">
        <f t="shared" si="16"/>
        <v>280</v>
      </c>
    </row>
    <row r="52" spans="1:19">
      <c r="A52" t="str">
        <f>'Plant loading'!A56</f>
        <v>Leyland</v>
      </c>
      <c r="B52" s="5" t="str">
        <f>'Plant loading'!B56</f>
        <v>LLDMTX-DCSYS01</v>
      </c>
      <c r="C52" s="5" t="str">
        <f>'Plant loading'!C56</f>
        <v>HDR48-ES</v>
      </c>
      <c r="D52" s="5">
        <f>'Plant loading'!D56</f>
        <v>915</v>
      </c>
      <c r="E52" s="5">
        <f>'Plant loading'!E56</f>
        <v>912</v>
      </c>
      <c r="F52" s="5">
        <f>'Plant loading'!G56</f>
        <v>335.55650000000003</v>
      </c>
      <c r="G52" s="5">
        <f>'Plant loading'!H56</f>
        <v>44</v>
      </c>
      <c r="H52" s="5">
        <f>'Plant loading'!I56</f>
        <v>3</v>
      </c>
      <c r="I52" s="5">
        <f>'Plant loading'!J56</f>
        <v>132</v>
      </c>
      <c r="J52" s="115">
        <f t="shared" si="8"/>
        <v>0.40204545454545454</v>
      </c>
      <c r="K52" s="115">
        <v>0.5</v>
      </c>
      <c r="L52" s="116">
        <f t="shared" si="9"/>
        <v>51</v>
      </c>
      <c r="M52" s="5">
        <f t="shared" si="10"/>
        <v>25.5</v>
      </c>
      <c r="N52" s="5">
        <f t="shared" si="11"/>
        <v>36</v>
      </c>
      <c r="O52" s="5">
        <f t="shared" si="12"/>
        <v>1836</v>
      </c>
      <c r="P52" s="10">
        <f t="shared" si="13"/>
        <v>1785</v>
      </c>
      <c r="Q52" s="5">
        <f t="shared" si="14"/>
        <v>1861.5</v>
      </c>
      <c r="R52" s="5">
        <f t="shared" si="15"/>
        <v>1712</v>
      </c>
      <c r="S52" s="5">
        <f t="shared" si="16"/>
        <v>1862</v>
      </c>
    </row>
    <row r="53" spans="1:19">
      <c r="A53" t="str">
        <f>'Plant loading'!A57</f>
        <v>Leyland</v>
      </c>
      <c r="B53" s="5" t="str">
        <f>'Plant loading'!B57</f>
        <v>LLDMTX-DCSYS02</v>
      </c>
      <c r="C53" s="5" t="str">
        <f>'Plant loading'!C57</f>
        <v>HDR48-ES</v>
      </c>
      <c r="D53" s="5">
        <f>'Plant loading'!D57</f>
        <v>828</v>
      </c>
      <c r="E53" s="5">
        <f>'Plant loading'!E57</f>
        <v>827</v>
      </c>
      <c r="F53" s="5">
        <f>'Plant loading'!G57</f>
        <v>0</v>
      </c>
      <c r="G53" s="5">
        <f>'Plant loading'!H57</f>
        <v>44</v>
      </c>
      <c r="H53" s="5">
        <f>'Plant loading'!I57</f>
        <v>3</v>
      </c>
      <c r="I53" s="5">
        <f>'Plant loading'!J57</f>
        <v>132</v>
      </c>
      <c r="J53" s="115">
        <f t="shared" si="8"/>
        <v>0.36381818181818182</v>
      </c>
      <c r="K53" s="115">
        <v>0.5</v>
      </c>
      <c r="L53" s="116">
        <f t="shared" si="9"/>
        <v>51</v>
      </c>
      <c r="M53" s="5">
        <f t="shared" si="10"/>
        <v>25.5</v>
      </c>
      <c r="N53" s="5">
        <f t="shared" si="11"/>
        <v>33</v>
      </c>
      <c r="O53" s="5">
        <f t="shared" si="12"/>
        <v>1683</v>
      </c>
      <c r="P53" s="10">
        <f t="shared" si="13"/>
        <v>1632</v>
      </c>
      <c r="Q53" s="5">
        <f t="shared" si="14"/>
        <v>1708.5</v>
      </c>
      <c r="R53" s="5">
        <f t="shared" si="15"/>
        <v>1579</v>
      </c>
      <c r="S53" s="5">
        <f t="shared" si="16"/>
        <v>1729</v>
      </c>
    </row>
    <row r="54" spans="1:19">
      <c r="A54" t="str">
        <f>'Plant loading'!A58</f>
        <v>Leyland</v>
      </c>
      <c r="B54" s="5" t="str">
        <f>'Plant loading'!B58</f>
        <v>LLDMTX-DCSYS03</v>
      </c>
      <c r="C54" s="5" t="str">
        <f>'Plant loading'!C58</f>
        <v>HDR48-ES</v>
      </c>
      <c r="D54" s="5">
        <f>'Plant loading'!D58</f>
        <v>947</v>
      </c>
      <c r="E54" s="5">
        <f>'Plant loading'!E58</f>
        <v>950</v>
      </c>
      <c r="F54" s="5">
        <f>'Plant loading'!G58</f>
        <v>0</v>
      </c>
      <c r="G54" s="5">
        <f>'Plant loading'!H58</f>
        <v>44</v>
      </c>
      <c r="H54" s="5">
        <f>'Plant loading'!I58</f>
        <v>3</v>
      </c>
      <c r="I54" s="5">
        <f>'Plant loading'!J58</f>
        <v>132</v>
      </c>
      <c r="J54" s="115">
        <f t="shared" si="8"/>
        <v>0.41610606060606059</v>
      </c>
      <c r="K54" s="115">
        <v>0.5</v>
      </c>
      <c r="L54" s="116">
        <f t="shared" si="9"/>
        <v>51</v>
      </c>
      <c r="M54" s="5">
        <f t="shared" si="10"/>
        <v>25.5</v>
      </c>
      <c r="N54" s="5">
        <f t="shared" si="11"/>
        <v>38</v>
      </c>
      <c r="O54" s="5">
        <f t="shared" si="12"/>
        <v>1938</v>
      </c>
      <c r="P54" s="10">
        <f t="shared" si="13"/>
        <v>1887</v>
      </c>
      <c r="Q54" s="5">
        <f t="shared" si="14"/>
        <v>1963.5</v>
      </c>
      <c r="R54" s="5">
        <f t="shared" si="15"/>
        <v>1838</v>
      </c>
      <c r="S54" s="5">
        <f t="shared" si="16"/>
        <v>1988</v>
      </c>
    </row>
    <row r="55" spans="1:19">
      <c r="A55" t="str">
        <f>'Plant loading'!A59</f>
        <v>Leyland</v>
      </c>
      <c r="B55" s="5" t="str">
        <f>'Plant loading'!B59</f>
        <v>LLDMTX-DCSYS04</v>
      </c>
      <c r="C55" s="5" t="str">
        <f>'Plant loading'!C59</f>
        <v>HDR48-ES</v>
      </c>
      <c r="D55" s="5">
        <f>'Plant loading'!D59</f>
        <v>865</v>
      </c>
      <c r="E55" s="5">
        <f>'Plant loading'!E59</f>
        <v>867</v>
      </c>
      <c r="F55" s="5">
        <f>'Plant loading'!G59</f>
        <v>0.72947065217391316</v>
      </c>
      <c r="G55" s="5">
        <f>'Plant loading'!H59</f>
        <v>44</v>
      </c>
      <c r="H55" s="5">
        <f>'Plant loading'!I59</f>
        <v>3</v>
      </c>
      <c r="I55" s="5">
        <f>'Plant loading'!J59</f>
        <v>132</v>
      </c>
      <c r="J55" s="115">
        <f t="shared" si="8"/>
        <v>0.38007575757575757</v>
      </c>
      <c r="K55" s="115">
        <v>0.5</v>
      </c>
      <c r="L55" s="116">
        <f t="shared" si="9"/>
        <v>51</v>
      </c>
      <c r="M55" s="5">
        <f t="shared" si="10"/>
        <v>25.5</v>
      </c>
      <c r="N55" s="5">
        <f t="shared" si="11"/>
        <v>34</v>
      </c>
      <c r="O55" s="5">
        <f t="shared" si="12"/>
        <v>1734</v>
      </c>
      <c r="P55" s="10">
        <f t="shared" si="13"/>
        <v>1683</v>
      </c>
      <c r="Q55" s="5">
        <f t="shared" si="14"/>
        <v>1759.5</v>
      </c>
      <c r="R55" s="5">
        <f t="shared" si="15"/>
        <v>1600</v>
      </c>
      <c r="S55" s="5">
        <f t="shared" si="16"/>
        <v>1750</v>
      </c>
    </row>
    <row r="56" spans="1:19">
      <c r="A56" t="str">
        <f>'Plant loading'!A60</f>
        <v>Leyland</v>
      </c>
      <c r="B56" s="5" t="str">
        <f>'Plant loading'!B60</f>
        <v>LLDMTX-DCSYS05</v>
      </c>
      <c r="C56" s="5" t="str">
        <f>'Plant loading'!C60</f>
        <v>HDR48-ES</v>
      </c>
      <c r="D56" s="5">
        <f>'Plant loading'!D60</f>
        <v>919</v>
      </c>
      <c r="E56" s="5">
        <f>'Plant loading'!E60</f>
        <v>913</v>
      </c>
      <c r="F56" s="5">
        <f>'Plant loading'!G60</f>
        <v>0</v>
      </c>
      <c r="G56" s="5">
        <f>'Plant loading'!H60</f>
        <v>44</v>
      </c>
      <c r="H56" s="5">
        <f>'Plant loading'!I60</f>
        <v>3</v>
      </c>
      <c r="I56" s="5">
        <f>'Plant loading'!J60</f>
        <v>132</v>
      </c>
      <c r="J56" s="115">
        <f t="shared" si="8"/>
        <v>0.40380303030303033</v>
      </c>
      <c r="K56" s="115">
        <v>0.5</v>
      </c>
      <c r="L56" s="116">
        <f t="shared" si="9"/>
        <v>51</v>
      </c>
      <c r="M56" s="5">
        <f t="shared" si="10"/>
        <v>25.5</v>
      </c>
      <c r="N56" s="5">
        <f t="shared" si="11"/>
        <v>36</v>
      </c>
      <c r="O56" s="5">
        <f t="shared" si="12"/>
        <v>1836</v>
      </c>
      <c r="P56" s="10">
        <f t="shared" si="13"/>
        <v>1785</v>
      </c>
      <c r="Q56" s="5">
        <f t="shared" si="14"/>
        <v>1861.5</v>
      </c>
      <c r="R56" s="5">
        <f t="shared" si="15"/>
        <v>1710</v>
      </c>
      <c r="S56" s="5">
        <f t="shared" si="16"/>
        <v>1860</v>
      </c>
    </row>
    <row r="57" spans="1:19">
      <c r="A57" t="str">
        <f>'Plant loading'!A61</f>
        <v>Leyland</v>
      </c>
      <c r="B57" s="5" t="str">
        <f>'Plant loading'!B61</f>
        <v>LLDMTX-DCSYS06</v>
      </c>
      <c r="C57" s="5" t="str">
        <f>'Plant loading'!C61</f>
        <v>HDR48-ES</v>
      </c>
      <c r="D57" s="5">
        <f>'Plant loading'!D61</f>
        <v>903</v>
      </c>
      <c r="E57" s="5">
        <f>'Plant loading'!E61</f>
        <v>899</v>
      </c>
      <c r="F57" s="5">
        <f>'Plant loading'!G61</f>
        <v>0</v>
      </c>
      <c r="G57" s="5">
        <f>'Plant loading'!H61</f>
        <v>44</v>
      </c>
      <c r="H57" s="5">
        <f>'Plant loading'!I61</f>
        <v>3</v>
      </c>
      <c r="I57" s="5">
        <f>'Plant loading'!J61</f>
        <v>132</v>
      </c>
      <c r="J57" s="115">
        <f t="shared" si="8"/>
        <v>0.39677272727272728</v>
      </c>
      <c r="K57" s="115">
        <v>0.5</v>
      </c>
      <c r="L57" s="116">
        <f t="shared" si="9"/>
        <v>51</v>
      </c>
      <c r="M57" s="5">
        <f t="shared" si="10"/>
        <v>25.5</v>
      </c>
      <c r="N57" s="5">
        <f t="shared" si="11"/>
        <v>36</v>
      </c>
      <c r="O57" s="5">
        <f t="shared" si="12"/>
        <v>1836</v>
      </c>
      <c r="P57" s="10">
        <f t="shared" si="13"/>
        <v>1785</v>
      </c>
      <c r="Q57" s="5">
        <f t="shared" si="14"/>
        <v>1861.5</v>
      </c>
      <c r="R57" s="5">
        <f t="shared" si="15"/>
        <v>1738</v>
      </c>
      <c r="S57" s="5">
        <f t="shared" si="16"/>
        <v>1888</v>
      </c>
    </row>
    <row r="58" spans="1:19">
      <c r="A58" t="str">
        <f>'Plant loading'!A64</f>
        <v>Milton Keynes</v>
      </c>
      <c r="B58" s="5" t="str">
        <f>'Plant loading'!B64</f>
        <v>PEAMS</v>
      </c>
      <c r="C58" s="5" t="str">
        <f>'Plant loading'!C64</f>
        <v>eSure</v>
      </c>
      <c r="D58" s="5">
        <f>'Plant loading'!D64</f>
        <v>1055</v>
      </c>
      <c r="E58" s="5">
        <f>'Plant loading'!E64</f>
        <v>1050</v>
      </c>
      <c r="F58" s="5">
        <f>'Plant loading'!G64</f>
        <v>368.14749999999998</v>
      </c>
      <c r="G58" s="5">
        <f>'Plant loading'!H64</f>
        <v>42</v>
      </c>
      <c r="H58" s="5">
        <f>'Plant loading'!I64</f>
        <v>3.5</v>
      </c>
      <c r="I58" s="5">
        <f>'Plant loading'!J64</f>
        <v>147</v>
      </c>
      <c r="J58" s="115">
        <f t="shared" si="8"/>
        <v>0.4162585034013605</v>
      </c>
      <c r="K58" s="115">
        <v>0.5</v>
      </c>
      <c r="L58" s="116">
        <f t="shared" si="9"/>
        <v>60</v>
      </c>
      <c r="M58" s="5">
        <f t="shared" si="10"/>
        <v>30</v>
      </c>
      <c r="N58" s="5">
        <f t="shared" si="11"/>
        <v>35</v>
      </c>
      <c r="O58" s="5">
        <f t="shared" si="12"/>
        <v>2100</v>
      </c>
      <c r="P58" s="10">
        <f t="shared" si="13"/>
        <v>2040</v>
      </c>
      <c r="Q58" s="5">
        <f t="shared" si="14"/>
        <v>2130</v>
      </c>
      <c r="R58" s="5">
        <f t="shared" si="15"/>
        <v>1650</v>
      </c>
      <c r="S58" s="5">
        <f t="shared" si="16"/>
        <v>1800</v>
      </c>
    </row>
    <row r="59" spans="1:19">
      <c r="A59" t="str">
        <f>'Plant loading'!A65</f>
        <v>Milton Keynes</v>
      </c>
      <c r="B59" s="5" t="str">
        <f>'Plant loading'!B65</f>
        <v>PEBMS</v>
      </c>
      <c r="C59" s="5" t="str">
        <f>'Plant loading'!C65</f>
        <v>eSure</v>
      </c>
      <c r="D59" s="5">
        <f>'Plant loading'!D65</f>
        <v>990</v>
      </c>
      <c r="E59" s="5">
        <f>'Plant loading'!E65</f>
        <v>985</v>
      </c>
      <c r="F59" s="5">
        <f>'Plant loading'!G65</f>
        <v>0</v>
      </c>
      <c r="G59" s="5">
        <f>'Plant loading'!H65</f>
        <v>42</v>
      </c>
      <c r="H59" s="5">
        <f>'Plant loading'!I65</f>
        <v>3.5</v>
      </c>
      <c r="I59" s="5">
        <f>'Plant loading'!J65</f>
        <v>147</v>
      </c>
      <c r="J59" s="115">
        <f t="shared" si="8"/>
        <v>0.39061224489795915</v>
      </c>
      <c r="K59" s="115">
        <v>0.5</v>
      </c>
      <c r="L59" s="116">
        <f t="shared" si="9"/>
        <v>60</v>
      </c>
      <c r="M59" s="5">
        <f t="shared" si="10"/>
        <v>30</v>
      </c>
      <c r="N59" s="5">
        <f t="shared" si="11"/>
        <v>33</v>
      </c>
      <c r="O59" s="5">
        <f t="shared" si="12"/>
        <v>1980</v>
      </c>
      <c r="P59" s="10">
        <f t="shared" si="13"/>
        <v>1920</v>
      </c>
      <c r="Q59" s="5">
        <f t="shared" si="14"/>
        <v>2010</v>
      </c>
      <c r="R59" s="5">
        <f t="shared" si="15"/>
        <v>1559</v>
      </c>
      <c r="S59" s="5">
        <f t="shared" si="16"/>
        <v>1709</v>
      </c>
    </row>
    <row r="60" spans="1:19">
      <c r="A60" t="str">
        <f>'Plant loading'!A66</f>
        <v>Milton Keynes</v>
      </c>
      <c r="B60" s="5" t="str">
        <f>'Plant loading'!B66</f>
        <v>PECMS</v>
      </c>
      <c r="C60" s="5" t="str">
        <f>'Plant loading'!C66</f>
        <v>eSure</v>
      </c>
      <c r="D60" s="5">
        <f>'Plant loading'!D66</f>
        <v>978</v>
      </c>
      <c r="E60" s="5">
        <f>'Plant loading'!E66</f>
        <v>978</v>
      </c>
      <c r="F60" s="5">
        <f>'Plant loading'!G66</f>
        <v>0</v>
      </c>
      <c r="G60" s="5">
        <f>'Plant loading'!H66</f>
        <v>42</v>
      </c>
      <c r="H60" s="5">
        <f>'Plant loading'!I66</f>
        <v>3.5</v>
      </c>
      <c r="I60" s="5">
        <f>'Plant loading'!J66</f>
        <v>147</v>
      </c>
      <c r="J60" s="115">
        <f t="shared" si="8"/>
        <v>0.38587755102040816</v>
      </c>
      <c r="K60" s="115">
        <v>0.5</v>
      </c>
      <c r="L60" s="116">
        <f t="shared" si="9"/>
        <v>60</v>
      </c>
      <c r="M60" s="5">
        <f t="shared" si="10"/>
        <v>30</v>
      </c>
      <c r="N60" s="5">
        <f t="shared" si="11"/>
        <v>33</v>
      </c>
      <c r="O60" s="5">
        <f t="shared" si="12"/>
        <v>1980</v>
      </c>
      <c r="P60" s="10">
        <f t="shared" si="13"/>
        <v>1920</v>
      </c>
      <c r="Q60" s="5">
        <f t="shared" si="14"/>
        <v>2010</v>
      </c>
      <c r="R60" s="5">
        <f t="shared" si="15"/>
        <v>1570</v>
      </c>
      <c r="S60" s="5">
        <f t="shared" si="16"/>
        <v>1720</v>
      </c>
    </row>
    <row r="61" spans="1:19">
      <c r="A61" t="str">
        <f>'Plant loading'!A67</f>
        <v>Milton Keynes</v>
      </c>
      <c r="B61" s="5" t="str">
        <f>'Plant loading'!B67</f>
        <v>PEDMS</v>
      </c>
      <c r="C61" s="5" t="str">
        <f>'Plant loading'!C67</f>
        <v>eSure</v>
      </c>
      <c r="D61" s="5">
        <f>'Plant loading'!D67</f>
        <v>1141</v>
      </c>
      <c r="E61" s="5">
        <f>'Plant loading'!E67</f>
        <v>1130</v>
      </c>
      <c r="F61" s="5">
        <f>'Plant loading'!G67</f>
        <v>0.76697395833333326</v>
      </c>
      <c r="G61" s="5">
        <f>'Plant loading'!H67</f>
        <v>42</v>
      </c>
      <c r="H61" s="5">
        <f>'Plant loading'!I67</f>
        <v>3.5</v>
      </c>
      <c r="I61" s="5">
        <f>'Plant loading'!J67</f>
        <v>147</v>
      </c>
      <c r="J61" s="115">
        <f t="shared" si="8"/>
        <v>0.4501904761904762</v>
      </c>
      <c r="K61" s="115">
        <v>0.5</v>
      </c>
      <c r="L61" s="116">
        <f t="shared" si="9"/>
        <v>60</v>
      </c>
      <c r="M61" s="5">
        <f t="shared" si="10"/>
        <v>30</v>
      </c>
      <c r="N61" s="5">
        <f t="shared" si="11"/>
        <v>38</v>
      </c>
      <c r="O61" s="5">
        <f t="shared" si="12"/>
        <v>2280</v>
      </c>
      <c r="P61" s="10">
        <f t="shared" si="13"/>
        <v>2220</v>
      </c>
      <c r="Q61" s="5">
        <f t="shared" si="14"/>
        <v>2310</v>
      </c>
      <c r="R61" s="5">
        <f t="shared" si="15"/>
        <v>1817</v>
      </c>
      <c r="S61" s="5">
        <f t="shared" si="16"/>
        <v>1967</v>
      </c>
    </row>
    <row r="62" spans="1:19">
      <c r="A62" t="str">
        <f>'Plant loading'!A68</f>
        <v>Milton Keynes</v>
      </c>
      <c r="B62" s="5" t="str">
        <f>'Plant loading'!B68</f>
        <v>PEEMS</v>
      </c>
      <c r="C62" s="5" t="str">
        <f>'Plant loading'!C68</f>
        <v>eSure</v>
      </c>
      <c r="D62" s="5">
        <f>'Plant loading'!D68</f>
        <v>1046</v>
      </c>
      <c r="E62" s="5">
        <f>'Plant loading'!E68</f>
        <v>1046</v>
      </c>
      <c r="F62" s="5">
        <f>'Plant loading'!G68</f>
        <v>0</v>
      </c>
      <c r="G62" s="5">
        <f>'Plant loading'!H68</f>
        <v>42</v>
      </c>
      <c r="H62" s="5">
        <f>'Plant loading'!I68</f>
        <v>3.5</v>
      </c>
      <c r="I62" s="5">
        <f>'Plant loading'!J68</f>
        <v>147</v>
      </c>
      <c r="J62" s="115">
        <f t="shared" si="8"/>
        <v>0.41270748299319726</v>
      </c>
      <c r="K62" s="115">
        <v>0.5</v>
      </c>
      <c r="L62" s="116">
        <f t="shared" si="9"/>
        <v>60</v>
      </c>
      <c r="M62" s="5">
        <f t="shared" si="10"/>
        <v>30</v>
      </c>
      <c r="N62" s="5">
        <f t="shared" si="11"/>
        <v>35</v>
      </c>
      <c r="O62" s="5">
        <f t="shared" si="12"/>
        <v>2100</v>
      </c>
      <c r="P62" s="10">
        <f t="shared" si="13"/>
        <v>2040</v>
      </c>
      <c r="Q62" s="5">
        <f t="shared" si="14"/>
        <v>2130</v>
      </c>
      <c r="R62" s="5">
        <f t="shared" si="15"/>
        <v>1657</v>
      </c>
      <c r="S62" s="5">
        <f t="shared" si="16"/>
        <v>1807</v>
      </c>
    </row>
    <row r="63" spans="1:19">
      <c r="A63" t="str">
        <f>'Plant loading'!A69</f>
        <v>Milton Keynes</v>
      </c>
      <c r="B63" s="5" t="str">
        <f>'Plant loading'!B69</f>
        <v>PEFMS</v>
      </c>
      <c r="C63" s="5" t="str">
        <f>'Plant loading'!C69</f>
        <v>eSure</v>
      </c>
      <c r="D63" s="5">
        <f>'Plant loading'!D69</f>
        <v>1035</v>
      </c>
      <c r="E63" s="5">
        <f>'Plant loading'!E69</f>
        <v>1039</v>
      </c>
      <c r="F63" s="5">
        <f>'Plant loading'!G69</f>
        <v>0</v>
      </c>
      <c r="G63" s="5">
        <f>'Plant loading'!H69</f>
        <v>42</v>
      </c>
      <c r="H63" s="5">
        <f>'Plant loading'!I69</f>
        <v>3.5</v>
      </c>
      <c r="I63" s="5">
        <f>'Plant loading'!J69</f>
        <v>147</v>
      </c>
      <c r="J63" s="115">
        <f t="shared" si="8"/>
        <v>0.40836734693877547</v>
      </c>
      <c r="K63" s="115">
        <v>0.5</v>
      </c>
      <c r="L63" s="116">
        <f t="shared" si="9"/>
        <v>60</v>
      </c>
      <c r="M63" s="5">
        <f t="shared" si="10"/>
        <v>30</v>
      </c>
      <c r="N63" s="5">
        <f t="shared" si="11"/>
        <v>35</v>
      </c>
      <c r="O63" s="5">
        <f t="shared" si="12"/>
        <v>2100</v>
      </c>
      <c r="P63" s="10">
        <f t="shared" si="13"/>
        <v>2040</v>
      </c>
      <c r="Q63" s="5">
        <f t="shared" si="14"/>
        <v>2130</v>
      </c>
      <c r="R63" s="5">
        <f t="shared" si="15"/>
        <v>1669</v>
      </c>
      <c r="S63" s="5">
        <f t="shared" si="16"/>
        <v>1819</v>
      </c>
    </row>
    <row r="64" spans="1:19">
      <c r="A64" t="str">
        <f>'Plant loading'!A72</f>
        <v>Oldham</v>
      </c>
      <c r="B64" s="5" t="str">
        <f>'Plant loading'!B72</f>
        <v>OLDMTX-DCSYS01</v>
      </c>
      <c r="C64" s="5" t="str">
        <f>'Plant loading'!C72</f>
        <v>HDR48-ES</v>
      </c>
      <c r="D64" s="5">
        <f>'Plant loading'!D72</f>
        <v>891</v>
      </c>
      <c r="E64" s="5">
        <f>'Plant loading'!E72</f>
        <v>891</v>
      </c>
      <c r="F64" s="5">
        <f>'Plant loading'!G72</f>
        <v>294.57249999999999</v>
      </c>
      <c r="G64" s="5">
        <f>'Plant loading'!H72</f>
        <v>44</v>
      </c>
      <c r="H64" s="5">
        <f>'Plant loading'!I72</f>
        <v>3</v>
      </c>
      <c r="I64" s="5">
        <f>'Plant loading'!J72</f>
        <v>132</v>
      </c>
      <c r="J64" s="115">
        <f t="shared" si="8"/>
        <v>0.39150000000000001</v>
      </c>
      <c r="K64" s="115">
        <v>0.5</v>
      </c>
      <c r="L64" s="116">
        <f t="shared" si="9"/>
        <v>51</v>
      </c>
      <c r="M64" s="5">
        <f t="shared" si="10"/>
        <v>25.5</v>
      </c>
      <c r="N64" s="5">
        <f t="shared" si="11"/>
        <v>35</v>
      </c>
      <c r="O64" s="5">
        <f t="shared" si="12"/>
        <v>1785</v>
      </c>
      <c r="P64" s="10">
        <f t="shared" si="13"/>
        <v>1734</v>
      </c>
      <c r="Q64" s="5">
        <f t="shared" si="14"/>
        <v>1810.5</v>
      </c>
      <c r="R64" s="5">
        <f t="shared" si="15"/>
        <v>1653</v>
      </c>
      <c r="S64" s="5">
        <f t="shared" si="16"/>
        <v>1803</v>
      </c>
    </row>
    <row r="65" spans="1:19">
      <c r="A65" t="str">
        <f>'Plant loading'!A73</f>
        <v>Oldham</v>
      </c>
      <c r="B65" s="5" t="str">
        <f>'Plant loading'!B73</f>
        <v>OLDMTX-DCSYS02</v>
      </c>
      <c r="C65" s="5" t="str">
        <f>'Plant loading'!C73</f>
        <v>HDR48-ES</v>
      </c>
      <c r="D65" s="5">
        <f>'Plant loading'!D73</f>
        <v>824</v>
      </c>
      <c r="E65" s="5">
        <f>'Plant loading'!E73</f>
        <v>825</v>
      </c>
      <c r="F65" s="5">
        <f>'Plant loading'!G73</f>
        <v>0</v>
      </c>
      <c r="G65" s="5">
        <f>'Plant loading'!H73</f>
        <v>44</v>
      </c>
      <c r="H65" s="5">
        <f>'Plant loading'!I73</f>
        <v>3</v>
      </c>
      <c r="I65" s="5">
        <f>'Plant loading'!J73</f>
        <v>132</v>
      </c>
      <c r="J65" s="115">
        <f t="shared" si="8"/>
        <v>0.36206060606060608</v>
      </c>
      <c r="K65" s="115">
        <v>0.5</v>
      </c>
      <c r="L65" s="116">
        <f t="shared" si="9"/>
        <v>51</v>
      </c>
      <c r="M65" s="5">
        <f t="shared" si="10"/>
        <v>25.5</v>
      </c>
      <c r="N65" s="5">
        <f t="shared" si="11"/>
        <v>33</v>
      </c>
      <c r="O65" s="5">
        <f t="shared" si="12"/>
        <v>1683</v>
      </c>
      <c r="P65" s="10">
        <f t="shared" si="13"/>
        <v>1632</v>
      </c>
      <c r="Q65" s="5">
        <f t="shared" si="14"/>
        <v>1708.5</v>
      </c>
      <c r="R65" s="5">
        <f t="shared" si="15"/>
        <v>1583</v>
      </c>
      <c r="S65" s="5">
        <f t="shared" si="16"/>
        <v>1733</v>
      </c>
    </row>
    <row r="66" spans="1:19">
      <c r="A66" t="str">
        <f>'Plant loading'!A74</f>
        <v>Oldham</v>
      </c>
      <c r="B66" s="5" t="str">
        <f>'Plant loading'!B74</f>
        <v>OLDMTX-DCSYS03</v>
      </c>
      <c r="C66" s="5" t="str">
        <f>'Plant loading'!C74</f>
        <v>HDR48-ES</v>
      </c>
      <c r="D66" s="5">
        <f>'Plant loading'!D74</f>
        <v>820</v>
      </c>
      <c r="E66" s="5">
        <f>'Plant loading'!E74</f>
        <v>817</v>
      </c>
      <c r="F66" s="5">
        <f>'Plant loading'!G74</f>
        <v>0</v>
      </c>
      <c r="G66" s="5">
        <f>'Plant loading'!H74</f>
        <v>44</v>
      </c>
      <c r="H66" s="5">
        <f>'Plant loading'!I74</f>
        <v>3</v>
      </c>
      <c r="I66" s="5">
        <f>'Plant loading'!J74</f>
        <v>132</v>
      </c>
      <c r="J66" s="115">
        <f t="shared" si="8"/>
        <v>0.36030303030303029</v>
      </c>
      <c r="K66" s="115">
        <v>0.5</v>
      </c>
      <c r="L66" s="116">
        <f t="shared" si="9"/>
        <v>51</v>
      </c>
      <c r="M66" s="5">
        <f t="shared" si="10"/>
        <v>25.5</v>
      </c>
      <c r="N66" s="5">
        <f t="shared" si="11"/>
        <v>33</v>
      </c>
      <c r="O66" s="5">
        <f t="shared" si="12"/>
        <v>1683</v>
      </c>
      <c r="P66" s="10">
        <f t="shared" si="13"/>
        <v>1632</v>
      </c>
      <c r="Q66" s="5">
        <f t="shared" si="14"/>
        <v>1708.5</v>
      </c>
      <c r="R66" s="5">
        <f t="shared" si="15"/>
        <v>1599</v>
      </c>
      <c r="S66" s="5">
        <f t="shared" si="16"/>
        <v>1749</v>
      </c>
    </row>
    <row r="67" spans="1:19">
      <c r="A67" t="str">
        <f>'Plant loading'!A75</f>
        <v>Oldham</v>
      </c>
      <c r="B67" s="5" t="str">
        <f>'Plant loading'!B75</f>
        <v>OLDMTX-DCSYS04</v>
      </c>
      <c r="C67" s="5" t="str">
        <f>'Plant loading'!C75</f>
        <v>HDR48-ES</v>
      </c>
      <c r="D67" s="5">
        <f>'Plant loading'!D75</f>
        <v>620</v>
      </c>
      <c r="E67" s="5">
        <f>'Plant loading'!E75</f>
        <v>622</v>
      </c>
      <c r="F67" s="5">
        <f>'Plant loading'!G75</f>
        <v>0.63348924731182799</v>
      </c>
      <c r="G67" s="5">
        <f>'Plant loading'!H75</f>
        <v>34</v>
      </c>
      <c r="H67" s="5">
        <f>'Plant loading'!I75</f>
        <v>3</v>
      </c>
      <c r="I67" s="5">
        <f>'Plant loading'!J75</f>
        <v>102</v>
      </c>
      <c r="J67" s="115">
        <f t="shared" si="8"/>
        <v>0.35254901960784313</v>
      </c>
      <c r="K67" s="115">
        <v>0.5</v>
      </c>
      <c r="L67" s="116">
        <f t="shared" si="9"/>
        <v>51</v>
      </c>
      <c r="M67" s="5">
        <f t="shared" si="10"/>
        <v>25.5</v>
      </c>
      <c r="N67" s="5">
        <f t="shared" si="11"/>
        <v>25</v>
      </c>
      <c r="O67" s="5">
        <f t="shared" si="12"/>
        <v>1275</v>
      </c>
      <c r="P67" s="10">
        <f t="shared" si="13"/>
        <v>1224</v>
      </c>
      <c r="Q67" s="5">
        <f t="shared" si="14"/>
        <v>1300.5</v>
      </c>
      <c r="R67" s="5">
        <f t="shared" si="15"/>
        <v>1181</v>
      </c>
      <c r="S67" s="5">
        <f t="shared" si="16"/>
        <v>1331</v>
      </c>
    </row>
    <row r="68" spans="1:19">
      <c r="A68" t="str">
        <f>'Plant loading'!A76</f>
        <v>Oldham</v>
      </c>
      <c r="B68" s="5" t="str">
        <f>'Plant loading'!B76</f>
        <v>OLDMTX-DCSYS05</v>
      </c>
      <c r="C68" s="5" t="str">
        <f>'Plant loading'!C76</f>
        <v>HDR48-ES</v>
      </c>
      <c r="D68" s="5">
        <f>'Plant loading'!D76</f>
        <v>647</v>
      </c>
      <c r="E68" s="5">
        <f>'Plant loading'!E76</f>
        <v>648</v>
      </c>
      <c r="F68" s="5">
        <f>'Plant loading'!G76</f>
        <v>0</v>
      </c>
      <c r="G68" s="5">
        <f>'Plant loading'!H76</f>
        <v>44</v>
      </c>
      <c r="H68" s="5">
        <f>'Plant loading'!I76</f>
        <v>3</v>
      </c>
      <c r="I68" s="5">
        <f>'Plant loading'!J76</f>
        <v>132</v>
      </c>
      <c r="J68" s="115">
        <f t="shared" si="8"/>
        <v>0.28428787878787881</v>
      </c>
      <c r="K68" s="115">
        <v>0.5</v>
      </c>
      <c r="L68" s="116">
        <f t="shared" si="9"/>
        <v>51</v>
      </c>
      <c r="M68" s="5">
        <f t="shared" si="10"/>
        <v>25.5</v>
      </c>
      <c r="N68" s="5">
        <f t="shared" si="11"/>
        <v>26</v>
      </c>
      <c r="O68" s="5">
        <f t="shared" si="12"/>
        <v>1326</v>
      </c>
      <c r="P68" s="10">
        <f t="shared" si="13"/>
        <v>1275</v>
      </c>
      <c r="Q68" s="5">
        <f t="shared" si="14"/>
        <v>1351.5</v>
      </c>
      <c r="R68" s="5">
        <f t="shared" si="15"/>
        <v>1230</v>
      </c>
      <c r="S68" s="5">
        <f t="shared" si="16"/>
        <v>1380</v>
      </c>
    </row>
    <row r="69" spans="1:19">
      <c r="A69" t="str">
        <f>'Plant loading'!A77</f>
        <v>Oldham</v>
      </c>
      <c r="B69" s="5" t="str">
        <f>'Plant loading'!B77</f>
        <v>OLDMTX-DCSYS06</v>
      </c>
      <c r="C69" s="5" t="str">
        <f>'Plant loading'!C77</f>
        <v>HDR48-ES</v>
      </c>
      <c r="D69" s="5">
        <f>'Plant loading'!D77</f>
        <v>646</v>
      </c>
      <c r="E69" s="5">
        <f>'Plant loading'!E77</f>
        <v>645</v>
      </c>
      <c r="F69" s="5">
        <f>'Plant loading'!G77</f>
        <v>0</v>
      </c>
      <c r="G69" s="5">
        <f>'Plant loading'!H77</f>
        <v>44</v>
      </c>
      <c r="H69" s="5">
        <f>'Plant loading'!I77</f>
        <v>3</v>
      </c>
      <c r="I69" s="5">
        <f>'Plant loading'!J77</f>
        <v>132</v>
      </c>
      <c r="J69" s="115">
        <f t="shared" ref="J69:J115" si="17">D69/(G69*((H69*1000)/58))</f>
        <v>0.28384848484848485</v>
      </c>
      <c r="K69" s="115">
        <v>0.5</v>
      </c>
      <c r="L69" s="116">
        <f t="shared" si="9"/>
        <v>51</v>
      </c>
      <c r="M69" s="5">
        <f t="shared" si="10"/>
        <v>25.5</v>
      </c>
      <c r="N69" s="5">
        <f t="shared" si="11"/>
        <v>26</v>
      </c>
      <c r="O69" s="5">
        <f t="shared" si="12"/>
        <v>1326</v>
      </c>
      <c r="P69" s="10">
        <f t="shared" si="13"/>
        <v>1275</v>
      </c>
      <c r="Q69" s="5">
        <f t="shared" si="14"/>
        <v>1351.5</v>
      </c>
      <c r="R69" s="5">
        <f t="shared" si="15"/>
        <v>1236</v>
      </c>
      <c r="S69" s="5">
        <f t="shared" si="16"/>
        <v>1386</v>
      </c>
    </row>
    <row r="70" spans="1:19" s="118" customFormat="1">
      <c r="A70" s="118" t="str">
        <f>'Plant loading'!A80</f>
        <v>Rotherham</v>
      </c>
      <c r="B70" s="119" t="str">
        <f>'Plant loading'!B80</f>
        <v>PEARM</v>
      </c>
      <c r="C70" s="119" t="str">
        <f>'Plant loading'!C80</f>
        <v>eSure</v>
      </c>
      <c r="D70" s="119">
        <f>'Plant loading'!D80</f>
        <v>393</v>
      </c>
      <c r="E70" s="119">
        <f>'Plant loading'!E80</f>
        <v>396</v>
      </c>
      <c r="F70" s="119">
        <f>'Plant loading'!G80</f>
        <v>99.462500000000006</v>
      </c>
      <c r="G70" s="119">
        <f>'Plant loading'!H80</f>
        <v>36</v>
      </c>
      <c r="H70" s="119">
        <f>'Plant loading'!I80</f>
        <v>3.5</v>
      </c>
      <c r="I70" s="119">
        <f>'Plant loading'!J80</f>
        <v>126</v>
      </c>
      <c r="J70" s="521">
        <f t="shared" si="17"/>
        <v>0.1809047619047619</v>
      </c>
      <c r="K70" s="521">
        <v>0.5</v>
      </c>
      <c r="L70" s="522">
        <f t="shared" si="9"/>
        <v>60</v>
      </c>
      <c r="M70" s="119">
        <f t="shared" si="10"/>
        <v>30</v>
      </c>
      <c r="N70" s="119">
        <f t="shared" si="11"/>
        <v>14</v>
      </c>
      <c r="O70" s="119">
        <f t="shared" si="12"/>
        <v>840</v>
      </c>
      <c r="P70" s="120">
        <f t="shared" si="13"/>
        <v>780</v>
      </c>
      <c r="Q70" s="119">
        <f t="shared" si="14"/>
        <v>870</v>
      </c>
      <c r="R70" s="119">
        <f t="shared" si="15"/>
        <v>640</v>
      </c>
      <c r="S70" s="119">
        <f t="shared" si="16"/>
        <v>790</v>
      </c>
    </row>
    <row r="71" spans="1:19" s="118" customFormat="1">
      <c r="A71" s="118" t="str">
        <f>'Plant loading'!A81</f>
        <v>Rotherham</v>
      </c>
      <c r="B71" s="119" t="str">
        <f>'Plant loading'!B81</f>
        <v>PEBRM</v>
      </c>
      <c r="C71" s="119" t="str">
        <f>'Plant loading'!C81</f>
        <v>eSure</v>
      </c>
      <c r="D71" s="119">
        <f>'Plant loading'!D81</f>
        <v>435</v>
      </c>
      <c r="E71" s="119">
        <f>'Plant loading'!E81</f>
        <v>433</v>
      </c>
      <c r="F71" s="119">
        <f>'Plant loading'!G81</f>
        <v>0</v>
      </c>
      <c r="G71" s="119">
        <f>'Plant loading'!H81</f>
        <v>36</v>
      </c>
      <c r="H71" s="119">
        <f>'Plant loading'!I81</f>
        <v>3.5</v>
      </c>
      <c r="I71" s="119">
        <f>'Plant loading'!J81</f>
        <v>126</v>
      </c>
      <c r="J71" s="521">
        <f t="shared" si="17"/>
        <v>0.20023809523809524</v>
      </c>
      <c r="K71" s="521">
        <v>0.5</v>
      </c>
      <c r="L71" s="522">
        <f t="shared" si="9"/>
        <v>60</v>
      </c>
      <c r="M71" s="119">
        <f t="shared" si="10"/>
        <v>30</v>
      </c>
      <c r="N71" s="119">
        <f t="shared" si="11"/>
        <v>15</v>
      </c>
      <c r="O71" s="119">
        <f t="shared" si="12"/>
        <v>900</v>
      </c>
      <c r="P71" s="120">
        <f t="shared" si="13"/>
        <v>840</v>
      </c>
      <c r="Q71" s="119">
        <f t="shared" si="14"/>
        <v>930</v>
      </c>
      <c r="R71" s="119">
        <f t="shared" si="15"/>
        <v>679</v>
      </c>
      <c r="S71" s="119">
        <f t="shared" si="16"/>
        <v>829</v>
      </c>
    </row>
    <row r="72" spans="1:19" s="118" customFormat="1">
      <c r="A72" s="118" t="str">
        <f>'Plant loading'!A82</f>
        <v>Rotherham</v>
      </c>
      <c r="B72" s="119" t="str">
        <f>'Plant loading'!B82</f>
        <v>PECRM</v>
      </c>
      <c r="C72" s="119" t="str">
        <f>'Plant loading'!C82</f>
        <v>eSure</v>
      </c>
      <c r="D72" s="119">
        <f>'Plant loading'!D82</f>
        <v>530</v>
      </c>
      <c r="E72" s="119">
        <f>'Plant loading'!E82</f>
        <v>527</v>
      </c>
      <c r="F72" s="119">
        <f>'Plant loading'!G82</f>
        <v>0</v>
      </c>
      <c r="G72" s="119">
        <f>'Plant loading'!H82</f>
        <v>36</v>
      </c>
      <c r="H72" s="119">
        <f>'Plant loading'!I82</f>
        <v>3.5</v>
      </c>
      <c r="I72" s="119">
        <f>'Plant loading'!J82</f>
        <v>126</v>
      </c>
      <c r="J72" s="521">
        <f t="shared" si="17"/>
        <v>0.24396825396825395</v>
      </c>
      <c r="K72" s="521">
        <v>0.5</v>
      </c>
      <c r="L72" s="522">
        <f t="shared" si="9"/>
        <v>60</v>
      </c>
      <c r="M72" s="119">
        <f t="shared" si="10"/>
        <v>30</v>
      </c>
      <c r="N72" s="119">
        <f t="shared" si="11"/>
        <v>18</v>
      </c>
      <c r="O72" s="119">
        <f t="shared" si="12"/>
        <v>1080</v>
      </c>
      <c r="P72" s="120">
        <f t="shared" si="13"/>
        <v>1020</v>
      </c>
      <c r="Q72" s="119">
        <f t="shared" si="14"/>
        <v>1110</v>
      </c>
      <c r="R72" s="119">
        <f t="shared" si="15"/>
        <v>822</v>
      </c>
      <c r="S72" s="119">
        <f t="shared" si="16"/>
        <v>972</v>
      </c>
    </row>
    <row r="73" spans="1:19" s="118" customFormat="1">
      <c r="A73" s="118" t="str">
        <f>'Plant loading'!A83</f>
        <v>Rotherham</v>
      </c>
      <c r="B73" s="119" t="str">
        <f>'Plant loading'!B83</f>
        <v>PEDRM</v>
      </c>
      <c r="C73" s="119" t="str">
        <f>'Plant loading'!C83</f>
        <v>eSure</v>
      </c>
      <c r="D73" s="119">
        <f>'Plant loading'!D83</f>
        <v>255</v>
      </c>
      <c r="E73" s="119">
        <f>'Plant loading'!E83</f>
        <v>256</v>
      </c>
      <c r="F73" s="119">
        <f>'Plant loading'!G83</f>
        <v>0.31575396825396829</v>
      </c>
      <c r="G73" s="119">
        <f>'Plant loading'!H83</f>
        <v>36</v>
      </c>
      <c r="H73" s="119">
        <f>'Plant loading'!I83</f>
        <v>3.5</v>
      </c>
      <c r="I73" s="119">
        <f>'Plant loading'!J83</f>
        <v>126</v>
      </c>
      <c r="J73" s="521">
        <f t="shared" si="17"/>
        <v>0.11738095238095238</v>
      </c>
      <c r="K73" s="521">
        <v>0.5</v>
      </c>
      <c r="L73" s="522">
        <f t="shared" si="9"/>
        <v>60</v>
      </c>
      <c r="M73" s="119">
        <f t="shared" si="10"/>
        <v>30</v>
      </c>
      <c r="N73" s="119">
        <f t="shared" si="11"/>
        <v>9</v>
      </c>
      <c r="O73" s="119">
        <f t="shared" si="12"/>
        <v>540</v>
      </c>
      <c r="P73" s="120">
        <f t="shared" si="13"/>
        <v>480</v>
      </c>
      <c r="Q73" s="119">
        <f t="shared" si="14"/>
        <v>570</v>
      </c>
      <c r="R73" s="119">
        <f t="shared" si="15"/>
        <v>374</v>
      </c>
      <c r="S73" s="119">
        <f t="shared" si="16"/>
        <v>524</v>
      </c>
    </row>
    <row r="74" spans="1:19" s="118" customFormat="1">
      <c r="A74" s="118" t="str">
        <f>'Plant loading'!A84</f>
        <v>Rotherham</v>
      </c>
      <c r="B74" s="119" t="str">
        <f>'Plant loading'!B84</f>
        <v>PEERM</v>
      </c>
      <c r="C74" s="119" t="str">
        <f>'Plant loading'!C84</f>
        <v>eSure</v>
      </c>
      <c r="D74" s="119">
        <f>'Plant loading'!D84</f>
        <v>212</v>
      </c>
      <c r="E74" s="119">
        <f>'Plant loading'!E84</f>
        <v>213</v>
      </c>
      <c r="F74" s="119">
        <f>'Plant loading'!G84</f>
        <v>0</v>
      </c>
      <c r="G74" s="119">
        <f>'Plant loading'!H84</f>
        <v>36</v>
      </c>
      <c r="H74" s="119">
        <f>'Plant loading'!I84</f>
        <v>3.5</v>
      </c>
      <c r="I74" s="119">
        <f>'Plant loading'!J84</f>
        <v>126</v>
      </c>
      <c r="J74" s="521">
        <f t="shared" si="17"/>
        <v>9.7587301587301584E-2</v>
      </c>
      <c r="K74" s="521">
        <v>0.5</v>
      </c>
      <c r="L74" s="522">
        <f t="shared" si="9"/>
        <v>60</v>
      </c>
      <c r="M74" s="119">
        <f t="shared" si="10"/>
        <v>30</v>
      </c>
      <c r="N74" s="119">
        <f t="shared" si="11"/>
        <v>8</v>
      </c>
      <c r="O74" s="119">
        <f t="shared" si="12"/>
        <v>480</v>
      </c>
      <c r="P74" s="120">
        <f t="shared" si="13"/>
        <v>420</v>
      </c>
      <c r="Q74" s="119">
        <f t="shared" si="14"/>
        <v>510</v>
      </c>
      <c r="R74" s="119">
        <f t="shared" si="15"/>
        <v>345</v>
      </c>
      <c r="S74" s="119">
        <f t="shared" si="16"/>
        <v>495</v>
      </c>
    </row>
    <row r="75" spans="1:19">
      <c r="A75" t="str">
        <f>'Plant loading'!A85</f>
        <v>Southampton</v>
      </c>
      <c r="B75" s="5" t="str">
        <f>'Plant loading'!B85</f>
        <v>PEASN</v>
      </c>
      <c r="C75" s="5" t="str">
        <f>'Plant loading'!C85</f>
        <v>eSure</v>
      </c>
      <c r="D75" s="5">
        <f>'Plant loading'!D85</f>
        <v>376</v>
      </c>
      <c r="E75" s="5">
        <f>'Plant loading'!E85</f>
        <v>360</v>
      </c>
      <c r="F75" s="5">
        <f>'Plant loading'!G85</f>
        <v>92.704499999999996</v>
      </c>
      <c r="G75" s="5">
        <f>'Plant loading'!H85</f>
        <v>36</v>
      </c>
      <c r="H75" s="5">
        <f>'Plant loading'!I85</f>
        <v>3.5</v>
      </c>
      <c r="I75" s="5">
        <f>'Plant loading'!J85</f>
        <v>126</v>
      </c>
      <c r="J75" s="115">
        <f t="shared" si="17"/>
        <v>0.17307936507936508</v>
      </c>
      <c r="K75" s="115">
        <v>0.5</v>
      </c>
      <c r="L75" s="116">
        <f t="shared" si="9"/>
        <v>60</v>
      </c>
      <c r="M75" s="5">
        <f t="shared" si="10"/>
        <v>30</v>
      </c>
      <c r="N75" s="5">
        <f t="shared" si="11"/>
        <v>12</v>
      </c>
      <c r="O75" s="5">
        <f t="shared" si="12"/>
        <v>720</v>
      </c>
      <c r="P75" s="10">
        <f t="shared" si="13"/>
        <v>660</v>
      </c>
      <c r="Q75" s="5">
        <f t="shared" si="14"/>
        <v>750</v>
      </c>
      <c r="R75" s="5">
        <f t="shared" si="15"/>
        <v>500</v>
      </c>
      <c r="S75" s="5">
        <f t="shared" si="16"/>
        <v>650</v>
      </c>
    </row>
    <row r="76" spans="1:19">
      <c r="A76" t="str">
        <f>'Plant loading'!A86</f>
        <v>Southampton</v>
      </c>
      <c r="B76" s="5" t="str">
        <f>'Plant loading'!B86</f>
        <v>PEBSN</v>
      </c>
      <c r="C76" s="5" t="str">
        <f>'Plant loading'!C86</f>
        <v>eSure</v>
      </c>
      <c r="D76" s="5">
        <f>'Plant loading'!D86</f>
        <v>555</v>
      </c>
      <c r="E76" s="5">
        <f>'Plant loading'!E86</f>
        <v>521</v>
      </c>
      <c r="F76" s="5">
        <f>'Plant loading'!G86</f>
        <v>0</v>
      </c>
      <c r="G76" s="5">
        <f>'Plant loading'!H86</f>
        <v>36</v>
      </c>
      <c r="H76" s="5">
        <f>'Plant loading'!I86</f>
        <v>3.5</v>
      </c>
      <c r="I76" s="5">
        <f>'Plant loading'!J86</f>
        <v>126</v>
      </c>
      <c r="J76" s="115">
        <f t="shared" si="17"/>
        <v>0.25547619047619047</v>
      </c>
      <c r="K76" s="115">
        <v>0.5</v>
      </c>
      <c r="L76" s="116">
        <f t="shared" si="9"/>
        <v>60</v>
      </c>
      <c r="M76" s="5">
        <f t="shared" si="10"/>
        <v>30</v>
      </c>
      <c r="N76" s="5">
        <f t="shared" si="11"/>
        <v>18</v>
      </c>
      <c r="O76" s="5">
        <f t="shared" si="12"/>
        <v>1080</v>
      </c>
      <c r="P76" s="10">
        <f t="shared" si="13"/>
        <v>1020</v>
      </c>
      <c r="Q76" s="5">
        <f t="shared" si="14"/>
        <v>1110</v>
      </c>
      <c r="R76" s="5">
        <f t="shared" si="15"/>
        <v>832</v>
      </c>
      <c r="S76" s="5">
        <f t="shared" si="16"/>
        <v>982</v>
      </c>
    </row>
    <row r="77" spans="1:19">
      <c r="A77" t="str">
        <f>'Plant loading'!A87</f>
        <v>Southampton</v>
      </c>
      <c r="B77" s="5" t="str">
        <f>'Plant loading'!B87</f>
        <v>PECSN</v>
      </c>
      <c r="C77" s="5" t="str">
        <f>'Plant loading'!C87</f>
        <v>eSure</v>
      </c>
      <c r="D77" s="5">
        <f>'Plant loading'!D87</f>
        <v>487</v>
      </c>
      <c r="E77" s="5">
        <f>'Plant loading'!E87</f>
        <v>476</v>
      </c>
      <c r="F77" s="5">
        <f>'Plant loading'!G87</f>
        <v>0.36787500000000001</v>
      </c>
      <c r="G77" s="5">
        <f>'Plant loading'!H87</f>
        <v>36</v>
      </c>
      <c r="H77" s="5">
        <f>'Plant loading'!I87</f>
        <v>3.5</v>
      </c>
      <c r="I77" s="5">
        <f>'Plant loading'!J87</f>
        <v>126</v>
      </c>
      <c r="J77" s="115">
        <f t="shared" si="17"/>
        <v>0.22417460317460317</v>
      </c>
      <c r="K77" s="115">
        <v>0.5</v>
      </c>
      <c r="L77" s="116">
        <f t="shared" si="9"/>
        <v>60</v>
      </c>
      <c r="M77" s="5">
        <f t="shared" si="10"/>
        <v>30</v>
      </c>
      <c r="N77" s="5">
        <f t="shared" si="11"/>
        <v>16</v>
      </c>
      <c r="O77" s="5">
        <f t="shared" si="12"/>
        <v>960</v>
      </c>
      <c r="P77" s="10">
        <f t="shared" si="13"/>
        <v>900</v>
      </c>
      <c r="Q77" s="5">
        <f t="shared" si="14"/>
        <v>990</v>
      </c>
      <c r="R77" s="5">
        <f t="shared" si="15"/>
        <v>707</v>
      </c>
      <c r="S77" s="5">
        <f t="shared" si="16"/>
        <v>857</v>
      </c>
    </row>
    <row r="78" spans="1:19">
      <c r="A78" t="str">
        <f>'Plant loading'!A88</f>
        <v>Southampton</v>
      </c>
      <c r="B78" s="5" t="str">
        <f>'Plant loading'!B88</f>
        <v>PEESN</v>
      </c>
      <c r="C78" s="5" t="str">
        <f>'Plant loading'!C88</f>
        <v>eSure</v>
      </c>
      <c r="D78" s="5">
        <f>'Plant loading'!D88</f>
        <v>348</v>
      </c>
      <c r="E78" s="5">
        <f>'Plant loading'!E88</f>
        <v>344</v>
      </c>
      <c r="F78" s="5">
        <f>'Plant loading'!G88</f>
        <v>0</v>
      </c>
      <c r="G78" s="5">
        <f>'Plant loading'!H88</f>
        <v>36</v>
      </c>
      <c r="H78" s="5">
        <f>'Plant loading'!I88</f>
        <v>3.5</v>
      </c>
      <c r="I78" s="5">
        <f>'Plant loading'!J88</f>
        <v>126</v>
      </c>
      <c r="J78" s="115">
        <f t="shared" si="17"/>
        <v>0.16019047619047619</v>
      </c>
      <c r="K78" s="115">
        <v>0.5</v>
      </c>
      <c r="L78" s="116">
        <f t="shared" ref="L78:L115" si="18">ROUNDDOWN((H78*1000/58),0)</f>
        <v>60</v>
      </c>
      <c r="M78" s="5">
        <f t="shared" ref="M78:M115" si="19">L78*K78</f>
        <v>30</v>
      </c>
      <c r="N78" s="5">
        <f t="shared" ref="N78:N115" si="20">ROUNDUP((E78/M78),0)</f>
        <v>12</v>
      </c>
      <c r="O78" s="5">
        <f t="shared" ref="O78:O115" si="21">N78*L78</f>
        <v>720</v>
      </c>
      <c r="P78" s="10">
        <f t="shared" ref="P78:P115" si="22">O78-L78</f>
        <v>660</v>
      </c>
      <c r="Q78" s="5">
        <f t="shared" ref="Q78:Q115" si="23">O78+(L78*K78)</f>
        <v>750</v>
      </c>
      <c r="R78" s="5">
        <f t="shared" ref="R78:R115" si="24">ROUNDUP((P78-E78)/L78*100,0)</f>
        <v>527</v>
      </c>
      <c r="S78" s="5">
        <f t="shared" ref="S78:S115" si="25">ROUNDUP((Q78-E78)/(L78)*100,0)</f>
        <v>677</v>
      </c>
    </row>
    <row r="79" spans="1:19">
      <c r="A79" t="str">
        <f>'Plant loading'!A89</f>
        <v>Swanley</v>
      </c>
      <c r="B79" s="5" t="str">
        <f>'Plant loading'!B89</f>
        <v>PEASY</v>
      </c>
      <c r="C79" s="5" t="str">
        <f>'Plant loading'!C89</f>
        <v>eSure</v>
      </c>
      <c r="D79" s="5">
        <f>'Plant loading'!D89</f>
        <v>544</v>
      </c>
      <c r="E79" s="5">
        <f>'Plant loading'!E89</f>
        <v>547</v>
      </c>
      <c r="F79" s="5">
        <f>'Plant loading'!G89</f>
        <v>109.872</v>
      </c>
      <c r="G79" s="5">
        <f>'Plant loading'!H89</f>
        <v>36</v>
      </c>
      <c r="H79" s="5">
        <f>'Plant loading'!I89</f>
        <v>3.5</v>
      </c>
      <c r="I79" s="5">
        <f>'Plant loading'!J89</f>
        <v>126</v>
      </c>
      <c r="J79" s="115">
        <f t="shared" si="17"/>
        <v>0.25041269841269842</v>
      </c>
      <c r="K79" s="115">
        <v>0.5</v>
      </c>
      <c r="L79" s="116">
        <f t="shared" si="18"/>
        <v>60</v>
      </c>
      <c r="M79" s="5">
        <f t="shared" si="19"/>
        <v>30</v>
      </c>
      <c r="N79" s="5">
        <f t="shared" si="20"/>
        <v>19</v>
      </c>
      <c r="O79" s="5">
        <f t="shared" si="21"/>
        <v>1140</v>
      </c>
      <c r="P79" s="10">
        <f t="shared" si="22"/>
        <v>1080</v>
      </c>
      <c r="Q79" s="5">
        <f t="shared" si="23"/>
        <v>1170</v>
      </c>
      <c r="R79" s="5">
        <f t="shared" si="24"/>
        <v>889</v>
      </c>
      <c r="S79" s="5">
        <f t="shared" si="25"/>
        <v>1039</v>
      </c>
    </row>
    <row r="80" spans="1:19">
      <c r="A80" t="str">
        <f>'Plant loading'!A90</f>
        <v>Swanley</v>
      </c>
      <c r="B80" s="5" t="str">
        <f>'Plant loading'!B90</f>
        <v>PEBSY</v>
      </c>
      <c r="C80" s="5" t="str">
        <f>'Plant loading'!C90</f>
        <v>eSure</v>
      </c>
      <c r="D80" s="5">
        <f>'Plant loading'!D90</f>
        <v>471</v>
      </c>
      <c r="E80" s="5">
        <f>'Plant loading'!E90</f>
        <v>470</v>
      </c>
      <c r="F80" s="5">
        <f>'Plant loading'!G90</f>
        <v>0</v>
      </c>
      <c r="G80" s="5">
        <f>'Plant loading'!H90</f>
        <v>36</v>
      </c>
      <c r="H80" s="5">
        <f>'Plant loading'!I90</f>
        <v>3.5</v>
      </c>
      <c r="I80" s="5">
        <f>'Plant loading'!J90</f>
        <v>126</v>
      </c>
      <c r="J80" s="115">
        <f t="shared" si="17"/>
        <v>0.21680952380952381</v>
      </c>
      <c r="K80" s="115">
        <v>0.5</v>
      </c>
      <c r="L80" s="116">
        <f t="shared" si="18"/>
        <v>60</v>
      </c>
      <c r="M80" s="5">
        <f t="shared" si="19"/>
        <v>30</v>
      </c>
      <c r="N80" s="5">
        <f t="shared" si="20"/>
        <v>16</v>
      </c>
      <c r="O80" s="5">
        <f t="shared" si="21"/>
        <v>960</v>
      </c>
      <c r="P80" s="10">
        <f t="shared" si="22"/>
        <v>900</v>
      </c>
      <c r="Q80" s="5">
        <f t="shared" si="23"/>
        <v>990</v>
      </c>
      <c r="R80" s="5">
        <f t="shared" si="24"/>
        <v>717</v>
      </c>
      <c r="S80" s="5">
        <f t="shared" si="25"/>
        <v>867</v>
      </c>
    </row>
    <row r="81" spans="1:19">
      <c r="A81" t="str">
        <f>'Plant loading'!A91</f>
        <v>Swanley</v>
      </c>
      <c r="B81" s="5" t="str">
        <f>'Plant loading'!B91</f>
        <v>PECSY</v>
      </c>
      <c r="C81" s="5" t="str">
        <f>'Plant loading'!C91</f>
        <v>eSure</v>
      </c>
      <c r="D81" s="5">
        <f>'Plant loading'!D91</f>
        <v>385</v>
      </c>
      <c r="E81" s="5">
        <f>'Plant loading'!E91</f>
        <v>402</v>
      </c>
      <c r="F81" s="5">
        <f>'Plant loading'!G91</f>
        <v>0</v>
      </c>
      <c r="G81" s="5">
        <f>'Plant loading'!H91</f>
        <v>36</v>
      </c>
      <c r="H81" s="5">
        <f>'Plant loading'!I91</f>
        <v>3.5</v>
      </c>
      <c r="I81" s="5">
        <f>'Plant loading'!J91</f>
        <v>126</v>
      </c>
      <c r="J81" s="115">
        <f t="shared" si="17"/>
        <v>0.17722222222222223</v>
      </c>
      <c r="K81" s="115">
        <v>0.5</v>
      </c>
      <c r="L81" s="116">
        <f t="shared" si="18"/>
        <v>60</v>
      </c>
      <c r="M81" s="5">
        <f t="shared" si="19"/>
        <v>30</v>
      </c>
      <c r="N81" s="5">
        <f t="shared" si="20"/>
        <v>14</v>
      </c>
      <c r="O81" s="5">
        <f t="shared" si="21"/>
        <v>840</v>
      </c>
      <c r="P81" s="10">
        <f t="shared" si="22"/>
        <v>780</v>
      </c>
      <c r="Q81" s="5">
        <f t="shared" si="23"/>
        <v>870</v>
      </c>
      <c r="R81" s="5">
        <f t="shared" si="24"/>
        <v>630</v>
      </c>
      <c r="S81" s="5">
        <f t="shared" si="25"/>
        <v>780</v>
      </c>
    </row>
    <row r="82" spans="1:19">
      <c r="A82" t="str">
        <f>'Plant loading'!A92</f>
        <v>Swanley</v>
      </c>
      <c r="B82" s="5" t="str">
        <f>'Plant loading'!B92</f>
        <v>PEDSY</v>
      </c>
      <c r="C82" s="5" t="str">
        <f>'Plant loading'!C92</f>
        <v>eSure</v>
      </c>
      <c r="D82" s="5">
        <f>'Plant loading'!D92</f>
        <v>300</v>
      </c>
      <c r="E82" s="5">
        <f>'Plant loading'!E92</f>
        <v>281</v>
      </c>
      <c r="F82" s="5">
        <f>'Plant loading'!G92</f>
        <v>0.36142105263157892</v>
      </c>
      <c r="G82" s="5">
        <f>'Plant loading'!H92</f>
        <v>36</v>
      </c>
      <c r="H82" s="5">
        <f>'Plant loading'!I92</f>
        <v>3.5</v>
      </c>
      <c r="I82" s="5">
        <f>'Plant loading'!J92</f>
        <v>126</v>
      </c>
      <c r="J82" s="115">
        <f t="shared" si="17"/>
        <v>0.13809523809523808</v>
      </c>
      <c r="K82" s="115">
        <v>0.5</v>
      </c>
      <c r="L82" s="116">
        <f t="shared" si="18"/>
        <v>60</v>
      </c>
      <c r="M82" s="5">
        <f t="shared" si="19"/>
        <v>30</v>
      </c>
      <c r="N82" s="5">
        <f t="shared" si="20"/>
        <v>10</v>
      </c>
      <c r="O82" s="5">
        <f t="shared" si="21"/>
        <v>600</v>
      </c>
      <c r="P82" s="10">
        <f t="shared" si="22"/>
        <v>540</v>
      </c>
      <c r="Q82" s="5">
        <f t="shared" si="23"/>
        <v>630</v>
      </c>
      <c r="R82" s="5">
        <f t="shared" si="24"/>
        <v>432</v>
      </c>
      <c r="S82" s="5">
        <f t="shared" si="25"/>
        <v>582</v>
      </c>
    </row>
    <row r="83" spans="1:19">
      <c r="A83" t="str">
        <f>'Plant loading'!A93</f>
        <v>Swanley</v>
      </c>
      <c r="B83" s="5" t="str">
        <f>'Plant loading'!B93</f>
        <v>PEESY</v>
      </c>
      <c r="C83" s="5" t="str">
        <f>'Plant loading'!C93</f>
        <v>eSure</v>
      </c>
      <c r="D83" s="5">
        <f>'Plant loading'!D93</f>
        <v>311</v>
      </c>
      <c r="E83" s="5">
        <f>'Plant loading'!E93</f>
        <v>316</v>
      </c>
      <c r="F83" s="5">
        <f>'Plant loading'!G93</f>
        <v>0</v>
      </c>
      <c r="G83" s="5">
        <f>'Plant loading'!H93</f>
        <v>30</v>
      </c>
      <c r="H83" s="5">
        <f>'Plant loading'!I93</f>
        <v>3.5</v>
      </c>
      <c r="I83" s="5">
        <f>'Plant loading'!J93</f>
        <v>105</v>
      </c>
      <c r="J83" s="115">
        <f t="shared" si="17"/>
        <v>0.17179047619047619</v>
      </c>
      <c r="K83" s="115">
        <v>0.5</v>
      </c>
      <c r="L83" s="116">
        <f t="shared" si="18"/>
        <v>60</v>
      </c>
      <c r="M83" s="5">
        <f t="shared" si="19"/>
        <v>30</v>
      </c>
      <c r="N83" s="5">
        <f t="shared" si="20"/>
        <v>11</v>
      </c>
      <c r="O83" s="5">
        <f t="shared" si="21"/>
        <v>660</v>
      </c>
      <c r="P83" s="10">
        <f t="shared" si="22"/>
        <v>600</v>
      </c>
      <c r="Q83" s="5">
        <f t="shared" si="23"/>
        <v>690</v>
      </c>
      <c r="R83" s="5">
        <f t="shared" si="24"/>
        <v>474</v>
      </c>
      <c r="S83" s="5">
        <f t="shared" si="25"/>
        <v>624</v>
      </c>
    </row>
    <row r="84" spans="1:19">
      <c r="A84" t="str">
        <f>'Plant loading'!A94</f>
        <v>Bristol</v>
      </c>
      <c r="B84" s="5" t="str">
        <f>'Plant loading'!B94</f>
        <v>PEFBL</v>
      </c>
      <c r="C84" s="5" t="str">
        <f>'Plant loading'!C94</f>
        <v>NetSure</v>
      </c>
      <c r="D84" s="5">
        <f>'Plant loading'!D94</f>
        <v>475</v>
      </c>
      <c r="E84" s="5">
        <f>'Plant loading'!E94</f>
        <v>471</v>
      </c>
      <c r="F84" s="5">
        <f>'Plant loading'!G94</f>
        <v>43.817999999999998</v>
      </c>
      <c r="G84" s="5">
        <f>'Plant loading'!H94</f>
        <v>36</v>
      </c>
      <c r="H84" s="5">
        <f>'Plant loading'!I94</f>
        <v>3.2</v>
      </c>
      <c r="I84" s="5">
        <f>'Plant loading'!J94</f>
        <v>115</v>
      </c>
      <c r="J84" s="115">
        <f t="shared" si="17"/>
        <v>0.23914930555555558</v>
      </c>
      <c r="K84" s="115">
        <v>0.5</v>
      </c>
      <c r="L84" s="116">
        <f t="shared" si="18"/>
        <v>55</v>
      </c>
      <c r="M84" s="5">
        <f t="shared" si="19"/>
        <v>27.5</v>
      </c>
      <c r="N84" s="5">
        <f t="shared" si="20"/>
        <v>18</v>
      </c>
      <c r="O84" s="5">
        <f t="shared" si="21"/>
        <v>990</v>
      </c>
      <c r="P84" s="10">
        <f t="shared" si="22"/>
        <v>935</v>
      </c>
      <c r="Q84" s="5">
        <f t="shared" si="23"/>
        <v>1017.5</v>
      </c>
      <c r="R84" s="5">
        <f t="shared" si="24"/>
        <v>844</v>
      </c>
      <c r="S84" s="5">
        <f t="shared" si="25"/>
        <v>994</v>
      </c>
    </row>
    <row r="85" spans="1:19">
      <c r="A85" t="str">
        <f>'Plant loading'!A95</f>
        <v>Bristol</v>
      </c>
      <c r="B85" s="5" t="str">
        <f>'Plant loading'!B95</f>
        <v>PEHBL</v>
      </c>
      <c r="C85" s="5" t="str">
        <f>'Plant loading'!C95</f>
        <v>NetSure</v>
      </c>
      <c r="D85" s="5">
        <f>'Plant loading'!D95</f>
        <v>329</v>
      </c>
      <c r="E85" s="5">
        <f>'Plant loading'!E95</f>
        <v>333</v>
      </c>
      <c r="F85" s="5">
        <f>'Plant loading'!G95</f>
        <v>0</v>
      </c>
      <c r="G85" s="5">
        <f>'Plant loading'!H95</f>
        <v>36</v>
      </c>
      <c r="H85" s="5">
        <f>'Plant loading'!I95</f>
        <v>3.2</v>
      </c>
      <c r="I85" s="5">
        <f>'Plant loading'!J95</f>
        <v>115</v>
      </c>
      <c r="J85" s="115">
        <f t="shared" si="17"/>
        <v>0.16564236111111114</v>
      </c>
      <c r="K85" s="115">
        <v>0.5</v>
      </c>
      <c r="L85" s="116">
        <f t="shared" si="18"/>
        <v>55</v>
      </c>
      <c r="M85" s="5">
        <f t="shared" si="19"/>
        <v>27.5</v>
      </c>
      <c r="N85" s="5">
        <f t="shared" si="20"/>
        <v>13</v>
      </c>
      <c r="O85" s="5">
        <f t="shared" si="21"/>
        <v>715</v>
      </c>
      <c r="P85" s="10">
        <f t="shared" si="22"/>
        <v>660</v>
      </c>
      <c r="Q85" s="5">
        <f t="shared" si="23"/>
        <v>742.5</v>
      </c>
      <c r="R85" s="5">
        <f t="shared" si="24"/>
        <v>595</v>
      </c>
      <c r="S85" s="5">
        <f t="shared" si="25"/>
        <v>745</v>
      </c>
    </row>
    <row r="86" spans="1:19">
      <c r="A86" t="str">
        <f>'Plant loading'!A96</f>
        <v>Cardiff</v>
      </c>
      <c r="B86" s="5" t="str">
        <f>'Plant loading'!B96</f>
        <v>PECCF</v>
      </c>
      <c r="C86" s="5" t="str">
        <f>'Plant loading'!C96</f>
        <v>NetSure</v>
      </c>
      <c r="D86" s="5">
        <f>'Plant loading'!D96</f>
        <v>357</v>
      </c>
      <c r="E86" s="5">
        <f>'Plant loading'!E96</f>
        <v>357</v>
      </c>
      <c r="F86" s="5">
        <f>'Plant loading'!G96</f>
        <v>39.893999999999998</v>
      </c>
      <c r="G86" s="5">
        <f>'Plant loading'!H96</f>
        <v>36</v>
      </c>
      <c r="H86" s="5">
        <f>'Plant loading'!I96</f>
        <v>3.2</v>
      </c>
      <c r="I86" s="5">
        <f>'Plant loading'!J96</f>
        <v>115</v>
      </c>
      <c r="J86" s="115">
        <f t="shared" si="17"/>
        <v>0.17973958333333334</v>
      </c>
      <c r="K86" s="115">
        <v>0.5</v>
      </c>
      <c r="L86" s="116">
        <f t="shared" si="18"/>
        <v>55</v>
      </c>
      <c r="M86" s="5">
        <f t="shared" si="19"/>
        <v>27.5</v>
      </c>
      <c r="N86" s="5">
        <f t="shared" si="20"/>
        <v>13</v>
      </c>
      <c r="O86" s="5">
        <f t="shared" si="21"/>
        <v>715</v>
      </c>
      <c r="P86" s="10">
        <f t="shared" si="22"/>
        <v>660</v>
      </c>
      <c r="Q86" s="5">
        <f t="shared" si="23"/>
        <v>742.5</v>
      </c>
      <c r="R86" s="5">
        <f t="shared" si="24"/>
        <v>551</v>
      </c>
      <c r="S86" s="5">
        <f t="shared" si="25"/>
        <v>701</v>
      </c>
    </row>
    <row r="87" spans="1:19">
      <c r="A87" t="str">
        <f>'Plant loading'!A97</f>
        <v>Cardiff</v>
      </c>
      <c r="B87" s="5" t="str">
        <f>'Plant loading'!B97</f>
        <v>PEDCF</v>
      </c>
      <c r="C87" s="5" t="str">
        <f>'Plant loading'!C97</f>
        <v>NetSure</v>
      </c>
      <c r="D87" s="5">
        <f>'Plant loading'!D97</f>
        <v>167</v>
      </c>
      <c r="E87" s="5">
        <f>'Plant loading'!E97</f>
        <v>166</v>
      </c>
      <c r="F87" s="5">
        <f>'Plant loading'!G97</f>
        <v>0</v>
      </c>
      <c r="G87" s="5">
        <f>'Plant loading'!H97</f>
        <v>18</v>
      </c>
      <c r="H87" s="5">
        <f>'Plant loading'!I97</f>
        <v>3.2</v>
      </c>
      <c r="I87" s="5">
        <f>'Plant loading'!J97</f>
        <v>57</v>
      </c>
      <c r="J87" s="115">
        <f t="shared" si="17"/>
        <v>0.16815972222222222</v>
      </c>
      <c r="K87" s="115">
        <v>0.5</v>
      </c>
      <c r="L87" s="116">
        <f t="shared" si="18"/>
        <v>55</v>
      </c>
      <c r="M87" s="5">
        <f t="shared" si="19"/>
        <v>27.5</v>
      </c>
      <c r="N87" s="5">
        <f t="shared" si="20"/>
        <v>7</v>
      </c>
      <c r="O87" s="5">
        <f t="shared" si="21"/>
        <v>385</v>
      </c>
      <c r="P87" s="10">
        <f t="shared" si="22"/>
        <v>330</v>
      </c>
      <c r="Q87" s="5">
        <f t="shared" si="23"/>
        <v>412.5</v>
      </c>
      <c r="R87" s="5">
        <f t="shared" si="24"/>
        <v>299</v>
      </c>
      <c r="S87" s="5">
        <f t="shared" si="25"/>
        <v>449</v>
      </c>
    </row>
    <row r="88" spans="1:19">
      <c r="A88" t="str">
        <f>'Plant loading'!A98</f>
        <v>Cardiff</v>
      </c>
      <c r="B88" s="5" t="str">
        <f>'Plant loading'!B98</f>
        <v>PEECF</v>
      </c>
      <c r="C88" s="5" t="str">
        <f>'Plant loading'!C98</f>
        <v>NetSure</v>
      </c>
      <c r="D88" s="5">
        <f>'Plant loading'!D98</f>
        <v>210</v>
      </c>
      <c r="E88" s="5">
        <f>'Plant loading'!E98</f>
        <v>209</v>
      </c>
      <c r="F88" s="5">
        <f>'Plant loading'!G98</f>
        <v>0</v>
      </c>
      <c r="G88" s="5">
        <f>'Plant loading'!H98</f>
        <v>18</v>
      </c>
      <c r="H88" s="5">
        <f>'Plant loading'!I98</f>
        <v>3.2</v>
      </c>
      <c r="I88" s="5">
        <f>'Plant loading'!J98</f>
        <v>57</v>
      </c>
      <c r="J88" s="115">
        <f t="shared" si="17"/>
        <v>0.21145833333333336</v>
      </c>
      <c r="K88" s="115">
        <v>0.5</v>
      </c>
      <c r="L88" s="116">
        <f t="shared" si="18"/>
        <v>55</v>
      </c>
      <c r="M88" s="5">
        <f t="shared" si="19"/>
        <v>27.5</v>
      </c>
      <c r="N88" s="5">
        <f t="shared" si="20"/>
        <v>8</v>
      </c>
      <c r="O88" s="5">
        <f t="shared" si="21"/>
        <v>440</v>
      </c>
      <c r="P88" s="10">
        <f t="shared" si="22"/>
        <v>385</v>
      </c>
      <c r="Q88" s="5">
        <f t="shared" si="23"/>
        <v>467.5</v>
      </c>
      <c r="R88" s="5">
        <f t="shared" si="24"/>
        <v>320</v>
      </c>
      <c r="S88" s="5">
        <f t="shared" si="25"/>
        <v>470</v>
      </c>
    </row>
    <row r="89" spans="1:19">
      <c r="A89" t="str">
        <f>'Plant loading'!A99</f>
        <v>Carlisle</v>
      </c>
      <c r="B89" s="5" t="str">
        <f>'Plant loading'!B99</f>
        <v>PEACE</v>
      </c>
      <c r="C89" s="5" t="str">
        <f>'Plant loading'!C99</f>
        <v>NetSure</v>
      </c>
      <c r="D89" s="5">
        <f>'Plant loading'!D99</f>
        <v>395</v>
      </c>
      <c r="E89" s="5">
        <f>'Plant loading'!E99</f>
        <v>399</v>
      </c>
      <c r="F89" s="5">
        <f>'Plant loading'!G99</f>
        <v>46.216000000000001</v>
      </c>
      <c r="G89" s="5">
        <f>'Plant loading'!H99</f>
        <v>36</v>
      </c>
      <c r="H89" s="5">
        <f>'Plant loading'!I99</f>
        <v>3.2</v>
      </c>
      <c r="I89" s="5">
        <f>'Plant loading'!J99</f>
        <v>115</v>
      </c>
      <c r="J89" s="115">
        <f t="shared" si="17"/>
        <v>0.19887152777777781</v>
      </c>
      <c r="K89" s="115">
        <v>0.5</v>
      </c>
      <c r="L89" s="116">
        <f t="shared" si="18"/>
        <v>55</v>
      </c>
      <c r="M89" s="5">
        <f t="shared" si="19"/>
        <v>27.5</v>
      </c>
      <c r="N89" s="5">
        <f t="shared" si="20"/>
        <v>15</v>
      </c>
      <c r="O89" s="5">
        <f t="shared" si="21"/>
        <v>825</v>
      </c>
      <c r="P89" s="10">
        <f t="shared" si="22"/>
        <v>770</v>
      </c>
      <c r="Q89" s="5">
        <f t="shared" si="23"/>
        <v>852.5</v>
      </c>
      <c r="R89" s="5">
        <f t="shared" si="24"/>
        <v>675</v>
      </c>
      <c r="S89" s="5">
        <f t="shared" si="25"/>
        <v>825</v>
      </c>
    </row>
    <row r="90" spans="1:19">
      <c r="A90" t="str">
        <f>'Plant loading'!A100</f>
        <v>Carlisle</v>
      </c>
      <c r="B90" s="5" t="str">
        <f>'Plant loading'!B100</f>
        <v>PEBCE</v>
      </c>
      <c r="C90" s="5" t="str">
        <f>'Plant loading'!C100</f>
        <v>NetSure</v>
      </c>
      <c r="D90" s="5">
        <f>'Plant loading'!D100</f>
        <v>442</v>
      </c>
      <c r="E90" s="5">
        <f>'Plant loading'!E100</f>
        <v>449</v>
      </c>
      <c r="F90" s="5">
        <f>'Plant loading'!G100</f>
        <v>0</v>
      </c>
      <c r="G90" s="5">
        <f>'Plant loading'!H100</f>
        <v>36</v>
      </c>
      <c r="H90" s="5">
        <f>'Plant loading'!I100</f>
        <v>3.2</v>
      </c>
      <c r="I90" s="5">
        <f>'Plant loading'!J100</f>
        <v>115</v>
      </c>
      <c r="J90" s="115">
        <f t="shared" si="17"/>
        <v>0.22253472222222223</v>
      </c>
      <c r="K90" s="115">
        <v>0.5</v>
      </c>
      <c r="L90" s="116">
        <f t="shared" si="18"/>
        <v>55</v>
      </c>
      <c r="M90" s="5">
        <f t="shared" si="19"/>
        <v>27.5</v>
      </c>
      <c r="N90" s="5">
        <f t="shared" si="20"/>
        <v>17</v>
      </c>
      <c r="O90" s="5">
        <f t="shared" si="21"/>
        <v>935</v>
      </c>
      <c r="P90" s="10">
        <f t="shared" si="22"/>
        <v>880</v>
      </c>
      <c r="Q90" s="5">
        <f t="shared" si="23"/>
        <v>962.5</v>
      </c>
      <c r="R90" s="5">
        <f t="shared" si="24"/>
        <v>784</v>
      </c>
      <c r="S90" s="5">
        <f t="shared" si="25"/>
        <v>934</v>
      </c>
    </row>
    <row r="91" spans="1:19">
      <c r="A91" t="str">
        <f>'Plant loading'!A101</f>
        <v>Croydon</v>
      </c>
      <c r="B91" s="5" t="str">
        <f>'Plant loading'!B101</f>
        <v>PEFCN</v>
      </c>
      <c r="C91" s="5" t="str">
        <f>'Plant loading'!C101</f>
        <v>NetSure</v>
      </c>
      <c r="D91" s="5">
        <f>'Plant loading'!D101</f>
        <v>314</v>
      </c>
      <c r="E91" s="5">
        <f>'Plant loading'!E101</f>
        <v>303</v>
      </c>
      <c r="F91" s="5">
        <f>'Plant loading'!G101</f>
        <v>38.040999999999997</v>
      </c>
      <c r="G91" s="5">
        <f>'Plant loading'!H101</f>
        <v>36</v>
      </c>
      <c r="H91" s="5">
        <f>'Plant loading'!I101</f>
        <v>3.2</v>
      </c>
      <c r="I91" s="5">
        <f>'Plant loading'!J101</f>
        <v>115</v>
      </c>
      <c r="J91" s="115">
        <f t="shared" si="17"/>
        <v>0.15809027777777779</v>
      </c>
      <c r="K91" s="115">
        <v>0.5</v>
      </c>
      <c r="L91" s="116">
        <f t="shared" si="18"/>
        <v>55</v>
      </c>
      <c r="M91" s="5">
        <f t="shared" si="19"/>
        <v>27.5</v>
      </c>
      <c r="N91" s="5">
        <f t="shared" si="20"/>
        <v>12</v>
      </c>
      <c r="O91" s="5">
        <f t="shared" si="21"/>
        <v>660</v>
      </c>
      <c r="P91" s="10">
        <f t="shared" si="22"/>
        <v>605</v>
      </c>
      <c r="Q91" s="5">
        <f t="shared" si="23"/>
        <v>687.5</v>
      </c>
      <c r="R91" s="5">
        <f t="shared" si="24"/>
        <v>550</v>
      </c>
      <c r="S91" s="5">
        <f t="shared" si="25"/>
        <v>700</v>
      </c>
    </row>
    <row r="92" spans="1:19">
      <c r="A92" t="str">
        <f>'Plant loading'!A102</f>
        <v>Croydon</v>
      </c>
      <c r="B92" s="5" t="str">
        <f>'Plant loading'!B102</f>
        <v>PEGCN</v>
      </c>
      <c r="C92" s="5" t="str">
        <f>'Plant loading'!C102</f>
        <v>NetSure</v>
      </c>
      <c r="D92" s="5">
        <f>'Plant loading'!D102</f>
        <v>385</v>
      </c>
      <c r="E92" s="5">
        <f>'Plant loading'!E102</f>
        <v>395</v>
      </c>
      <c r="F92" s="5">
        <f>'Plant loading'!G102</f>
        <v>0</v>
      </c>
      <c r="G92" s="5">
        <f>'Plant loading'!H102</f>
        <v>36</v>
      </c>
      <c r="H92" s="5">
        <f>'Plant loading'!I102</f>
        <v>3.2</v>
      </c>
      <c r="I92" s="5">
        <f>'Plant loading'!J102</f>
        <v>115</v>
      </c>
      <c r="J92" s="115">
        <f t="shared" si="17"/>
        <v>0.19383680555555557</v>
      </c>
      <c r="K92" s="115">
        <v>0.5</v>
      </c>
      <c r="L92" s="116">
        <f t="shared" si="18"/>
        <v>55</v>
      </c>
      <c r="M92" s="5">
        <f t="shared" si="19"/>
        <v>27.5</v>
      </c>
      <c r="N92" s="5">
        <f t="shared" si="20"/>
        <v>15</v>
      </c>
      <c r="O92" s="5">
        <f t="shared" si="21"/>
        <v>825</v>
      </c>
      <c r="P92" s="10">
        <f t="shared" si="22"/>
        <v>770</v>
      </c>
      <c r="Q92" s="5">
        <f t="shared" si="23"/>
        <v>852.5</v>
      </c>
      <c r="R92" s="5">
        <f t="shared" si="24"/>
        <v>682</v>
      </c>
      <c r="S92" s="5">
        <f t="shared" si="25"/>
        <v>832</v>
      </c>
    </row>
    <row r="93" spans="1:19">
      <c r="A93" t="str">
        <f>'Plant loading'!A103</f>
        <v>Glasgow TXO</v>
      </c>
      <c r="B93" s="5" t="str">
        <f>'Plant loading'!B103</f>
        <v>PEJGW</v>
      </c>
      <c r="C93" s="5" t="str">
        <f>'Plant loading'!C103</f>
        <v>eSure</v>
      </c>
      <c r="D93" s="5">
        <f>'Plant loading'!D103</f>
        <v>88</v>
      </c>
      <c r="E93" s="5">
        <f>'Plant loading'!E103</f>
        <v>90</v>
      </c>
      <c r="F93" s="5">
        <f>'Plant loading'!G103</f>
        <v>9.5374999999999996</v>
      </c>
      <c r="G93" s="5">
        <f>'Plant loading'!H103</f>
        <v>9</v>
      </c>
      <c r="H93" s="5">
        <f>'Plant loading'!I103</f>
        <v>3.5</v>
      </c>
      <c r="I93" s="5">
        <f>'Plant loading'!J103</f>
        <v>31</v>
      </c>
      <c r="J93" s="115">
        <f t="shared" si="17"/>
        <v>0.16203174603174603</v>
      </c>
      <c r="K93" s="115">
        <v>0.5</v>
      </c>
      <c r="L93" s="116">
        <f t="shared" si="18"/>
        <v>60</v>
      </c>
      <c r="M93" s="5">
        <f t="shared" si="19"/>
        <v>30</v>
      </c>
      <c r="N93" s="5">
        <f t="shared" si="20"/>
        <v>3</v>
      </c>
      <c r="O93" s="5">
        <f t="shared" si="21"/>
        <v>180</v>
      </c>
      <c r="P93" s="10">
        <f t="shared" si="22"/>
        <v>120</v>
      </c>
      <c r="Q93" s="5">
        <f t="shared" si="23"/>
        <v>210</v>
      </c>
      <c r="R93" s="5">
        <f t="shared" si="24"/>
        <v>50</v>
      </c>
      <c r="S93" s="5">
        <f t="shared" si="25"/>
        <v>200</v>
      </c>
    </row>
    <row r="94" spans="1:19">
      <c r="A94" t="str">
        <f>'Plant loading'!A104</f>
        <v>Glasgow TXO</v>
      </c>
      <c r="B94" s="5" t="str">
        <f>'Plant loading'!B104</f>
        <v>PEKGW</v>
      </c>
      <c r="C94" s="5" t="str">
        <f>'Plant loading'!C104</f>
        <v>eSure</v>
      </c>
      <c r="D94" s="5">
        <f>'Plant loading'!D104</f>
        <v>84</v>
      </c>
      <c r="E94" s="5">
        <f>'Plant loading'!E104</f>
        <v>85</v>
      </c>
      <c r="F94" s="5">
        <f>'Plant loading'!G104</f>
        <v>0</v>
      </c>
      <c r="G94" s="5">
        <f>'Plant loading'!H104</f>
        <v>9</v>
      </c>
      <c r="H94" s="5">
        <f>'Plant loading'!I104</f>
        <v>3.5</v>
      </c>
      <c r="I94" s="5">
        <f>'Plant loading'!J104</f>
        <v>31</v>
      </c>
      <c r="J94" s="115">
        <f t="shared" si="17"/>
        <v>0.15466666666666665</v>
      </c>
      <c r="K94" s="115">
        <v>0.5</v>
      </c>
      <c r="L94" s="116">
        <f t="shared" si="18"/>
        <v>60</v>
      </c>
      <c r="M94" s="5">
        <f t="shared" si="19"/>
        <v>30</v>
      </c>
      <c r="N94" s="5">
        <f t="shared" si="20"/>
        <v>3</v>
      </c>
      <c r="O94" s="5">
        <f t="shared" si="21"/>
        <v>180</v>
      </c>
      <c r="P94" s="10">
        <f t="shared" si="22"/>
        <v>120</v>
      </c>
      <c r="Q94" s="5">
        <f t="shared" si="23"/>
        <v>210</v>
      </c>
      <c r="R94" s="5">
        <f t="shared" si="24"/>
        <v>59</v>
      </c>
      <c r="S94" s="5">
        <f t="shared" si="25"/>
        <v>209</v>
      </c>
    </row>
    <row r="95" spans="1:19">
      <c r="A95" t="e">
        <f>'Plant loading'!#REF!</f>
        <v>#REF!</v>
      </c>
      <c r="B95" s="5" t="e">
        <f>'Plant loading'!#REF!</f>
        <v>#REF!</v>
      </c>
      <c r="C95" s="5" t="e">
        <f>'Plant loading'!#REF!</f>
        <v>#REF!</v>
      </c>
      <c r="D95" s="5" t="e">
        <f>'Plant loading'!#REF!</f>
        <v>#REF!</v>
      </c>
      <c r="E95" s="5" t="e">
        <f>'Plant loading'!#REF!</f>
        <v>#REF!</v>
      </c>
      <c r="F95" s="5" t="e">
        <f>'Plant loading'!#REF!</f>
        <v>#REF!</v>
      </c>
      <c r="G95" s="5" t="e">
        <f>'Plant loading'!#REF!</f>
        <v>#REF!</v>
      </c>
      <c r="H95" s="5" t="e">
        <f>'Plant loading'!#REF!</f>
        <v>#REF!</v>
      </c>
      <c r="I95" s="5" t="e">
        <f>'Plant loading'!#REF!</f>
        <v>#REF!</v>
      </c>
      <c r="J95" s="115" t="e">
        <f t="shared" si="17"/>
        <v>#REF!</v>
      </c>
      <c r="K95" s="115">
        <v>0.5</v>
      </c>
      <c r="L95" s="116" t="e">
        <f t="shared" si="18"/>
        <v>#REF!</v>
      </c>
      <c r="M95" s="5" t="e">
        <f t="shared" si="19"/>
        <v>#REF!</v>
      </c>
      <c r="N95" s="5" t="e">
        <f t="shared" si="20"/>
        <v>#REF!</v>
      </c>
      <c r="O95" s="5" t="e">
        <f t="shared" si="21"/>
        <v>#REF!</v>
      </c>
      <c r="P95" s="10" t="e">
        <f t="shared" si="22"/>
        <v>#REF!</v>
      </c>
      <c r="Q95" s="5" t="e">
        <f t="shared" si="23"/>
        <v>#REF!</v>
      </c>
      <c r="R95" s="5" t="e">
        <f t="shared" si="24"/>
        <v>#REF!</v>
      </c>
      <c r="S95" s="5" t="e">
        <f t="shared" si="25"/>
        <v>#REF!</v>
      </c>
    </row>
    <row r="96" spans="1:19">
      <c r="A96" t="e">
        <f>'Plant loading'!#REF!</f>
        <v>#REF!</v>
      </c>
      <c r="B96" s="5" t="e">
        <f>'Plant loading'!#REF!</f>
        <v>#REF!</v>
      </c>
      <c r="C96" s="5" t="e">
        <f>'Plant loading'!#REF!</f>
        <v>#REF!</v>
      </c>
      <c r="D96" s="5" t="e">
        <f>'Plant loading'!#REF!</f>
        <v>#REF!</v>
      </c>
      <c r="E96" s="5" t="e">
        <f>'Plant loading'!#REF!</f>
        <v>#REF!</v>
      </c>
      <c r="F96" s="5" t="e">
        <f>'Plant loading'!#REF!</f>
        <v>#REF!</v>
      </c>
      <c r="G96" s="5" t="e">
        <f>'Plant loading'!#REF!</f>
        <v>#REF!</v>
      </c>
      <c r="H96" s="5" t="e">
        <f>'Plant loading'!#REF!</f>
        <v>#REF!</v>
      </c>
      <c r="I96" s="5" t="e">
        <f>'Plant loading'!#REF!</f>
        <v>#REF!</v>
      </c>
      <c r="J96" s="115" t="e">
        <f t="shared" si="17"/>
        <v>#REF!</v>
      </c>
      <c r="K96" s="115">
        <v>0.5</v>
      </c>
      <c r="L96" s="116" t="e">
        <f t="shared" si="18"/>
        <v>#REF!</v>
      </c>
      <c r="M96" s="5" t="e">
        <f t="shared" si="19"/>
        <v>#REF!</v>
      </c>
      <c r="N96" s="5" t="e">
        <f t="shared" si="20"/>
        <v>#REF!</v>
      </c>
      <c r="O96" s="5" t="e">
        <f t="shared" si="21"/>
        <v>#REF!</v>
      </c>
      <c r="P96" s="10" t="e">
        <f t="shared" si="22"/>
        <v>#REF!</v>
      </c>
      <c r="Q96" s="5" t="e">
        <f t="shared" si="23"/>
        <v>#REF!</v>
      </c>
      <c r="R96" s="5" t="e">
        <f t="shared" si="24"/>
        <v>#REF!</v>
      </c>
      <c r="S96" s="5" t="e">
        <f t="shared" si="25"/>
        <v>#REF!</v>
      </c>
    </row>
    <row r="97" spans="1:19">
      <c r="A97" t="e">
        <f>'Plant loading'!#REF!</f>
        <v>#REF!</v>
      </c>
      <c r="B97" s="5" t="e">
        <f>'Plant loading'!#REF!</f>
        <v>#REF!</v>
      </c>
      <c r="C97" s="5" t="e">
        <f>'Plant loading'!#REF!</f>
        <v>#REF!</v>
      </c>
      <c r="D97" s="5" t="e">
        <f>'Plant loading'!#REF!</f>
        <v>#REF!</v>
      </c>
      <c r="E97" s="5" t="e">
        <f>'Plant loading'!#REF!</f>
        <v>#REF!</v>
      </c>
      <c r="F97" s="5" t="e">
        <f>'Plant loading'!#REF!</f>
        <v>#REF!</v>
      </c>
      <c r="G97" s="5" t="e">
        <f>'Plant loading'!#REF!</f>
        <v>#REF!</v>
      </c>
      <c r="H97" s="5" t="e">
        <f>'Plant loading'!#REF!</f>
        <v>#REF!</v>
      </c>
      <c r="I97" s="5" t="e">
        <f>'Plant loading'!#REF!</f>
        <v>#REF!</v>
      </c>
      <c r="J97" s="115" t="e">
        <f t="shared" si="17"/>
        <v>#REF!</v>
      </c>
      <c r="K97" s="115">
        <v>0.5</v>
      </c>
      <c r="L97" s="116" t="e">
        <f t="shared" si="18"/>
        <v>#REF!</v>
      </c>
      <c r="M97" s="5" t="e">
        <f t="shared" si="19"/>
        <v>#REF!</v>
      </c>
      <c r="N97" s="5" t="e">
        <f t="shared" si="20"/>
        <v>#REF!</v>
      </c>
      <c r="O97" s="5" t="e">
        <f t="shared" si="21"/>
        <v>#REF!</v>
      </c>
      <c r="P97" s="10" t="e">
        <f t="shared" si="22"/>
        <v>#REF!</v>
      </c>
      <c r="Q97" s="5" t="e">
        <f t="shared" si="23"/>
        <v>#REF!</v>
      </c>
      <c r="R97" s="5" t="e">
        <f t="shared" si="24"/>
        <v>#REF!</v>
      </c>
      <c r="S97" s="5" t="e">
        <f t="shared" si="25"/>
        <v>#REF!</v>
      </c>
    </row>
    <row r="98" spans="1:19">
      <c r="A98" t="e">
        <f>'Plant loading'!#REF!</f>
        <v>#REF!</v>
      </c>
      <c r="B98" s="5" t="e">
        <f>'Plant loading'!#REF!</f>
        <v>#REF!</v>
      </c>
      <c r="C98" s="5" t="e">
        <f>'Plant loading'!#REF!</f>
        <v>#REF!</v>
      </c>
      <c r="D98" s="5" t="e">
        <f>'Plant loading'!#REF!</f>
        <v>#REF!</v>
      </c>
      <c r="E98" s="5" t="e">
        <f>'Plant loading'!#REF!</f>
        <v>#REF!</v>
      </c>
      <c r="F98" s="5" t="e">
        <f>'Plant loading'!#REF!</f>
        <v>#REF!</v>
      </c>
      <c r="G98" s="5" t="e">
        <f>'Plant loading'!#REF!</f>
        <v>#REF!</v>
      </c>
      <c r="H98" s="5" t="e">
        <f>'Plant loading'!#REF!</f>
        <v>#REF!</v>
      </c>
      <c r="I98" s="5" t="e">
        <f>'Plant loading'!#REF!</f>
        <v>#REF!</v>
      </c>
      <c r="J98" s="115" t="e">
        <f t="shared" si="17"/>
        <v>#REF!</v>
      </c>
      <c r="K98" s="115">
        <v>0.5</v>
      </c>
      <c r="L98" s="116" t="e">
        <f t="shared" si="18"/>
        <v>#REF!</v>
      </c>
      <c r="M98" s="5" t="e">
        <f t="shared" si="19"/>
        <v>#REF!</v>
      </c>
      <c r="N98" s="5" t="e">
        <f t="shared" si="20"/>
        <v>#REF!</v>
      </c>
      <c r="O98" s="5" t="e">
        <f t="shared" si="21"/>
        <v>#REF!</v>
      </c>
      <c r="P98" s="10" t="e">
        <f t="shared" si="22"/>
        <v>#REF!</v>
      </c>
      <c r="Q98" s="5" t="e">
        <f t="shared" si="23"/>
        <v>#REF!</v>
      </c>
      <c r="R98" s="5" t="e">
        <f t="shared" si="24"/>
        <v>#REF!</v>
      </c>
      <c r="S98" s="5" t="e">
        <f t="shared" si="25"/>
        <v>#REF!</v>
      </c>
    </row>
    <row r="99" spans="1:19">
      <c r="A99" t="str">
        <f>'Plant loading'!A105</f>
        <v>Leicester</v>
      </c>
      <c r="B99" s="5" t="str">
        <f>'Plant loading'!B105</f>
        <v>PEFLR</v>
      </c>
      <c r="C99" s="5" t="str">
        <f>'Plant loading'!C105</f>
        <v>NetSure</v>
      </c>
      <c r="D99" s="5">
        <f>'Plant loading'!D105</f>
        <v>623</v>
      </c>
      <c r="E99" s="5">
        <f>'Plant loading'!E105</f>
        <v>622</v>
      </c>
      <c r="F99" s="5">
        <f>'Plant loading'!G105</f>
        <v>62.347999999999999</v>
      </c>
      <c r="G99" s="5">
        <f>'Plant loading'!H105</f>
        <v>36</v>
      </c>
      <c r="H99" s="5">
        <f>'Plant loading'!I105</f>
        <v>3.2</v>
      </c>
      <c r="I99" s="5">
        <f>'Plant loading'!J105</f>
        <v>115</v>
      </c>
      <c r="J99" s="115">
        <f t="shared" si="17"/>
        <v>0.31366319444444446</v>
      </c>
      <c r="K99" s="115">
        <v>0.5</v>
      </c>
      <c r="L99" s="116">
        <f t="shared" si="18"/>
        <v>55</v>
      </c>
      <c r="M99" s="5">
        <f t="shared" si="19"/>
        <v>27.5</v>
      </c>
      <c r="N99" s="5">
        <f t="shared" si="20"/>
        <v>23</v>
      </c>
      <c r="O99" s="5">
        <f t="shared" si="21"/>
        <v>1265</v>
      </c>
      <c r="P99" s="10">
        <f t="shared" si="22"/>
        <v>1210</v>
      </c>
      <c r="Q99" s="5">
        <f t="shared" si="23"/>
        <v>1292.5</v>
      </c>
      <c r="R99" s="5">
        <f t="shared" si="24"/>
        <v>1070</v>
      </c>
      <c r="S99" s="5">
        <f t="shared" si="25"/>
        <v>1220</v>
      </c>
    </row>
    <row r="100" spans="1:19">
      <c r="A100" t="str">
        <f>'Plant loading'!A106</f>
        <v>Leicester</v>
      </c>
      <c r="B100" s="5" t="str">
        <f>'Plant loading'!B106</f>
        <v>PEGLR</v>
      </c>
      <c r="C100" s="5" t="str">
        <f>'Plant loading'!C106</f>
        <v>NetSure</v>
      </c>
      <c r="D100" s="5">
        <f>'Plant loading'!D106</f>
        <v>521</v>
      </c>
      <c r="E100" s="5">
        <f>'Plant loading'!E106</f>
        <v>522</v>
      </c>
      <c r="F100" s="5">
        <f>'Plant loading'!G106</f>
        <v>0</v>
      </c>
      <c r="G100" s="5">
        <f>'Plant loading'!H106</f>
        <v>36</v>
      </c>
      <c r="H100" s="5">
        <f>'Plant loading'!I106</f>
        <v>3.2</v>
      </c>
      <c r="I100" s="5">
        <f>'Plant loading'!J106</f>
        <v>115</v>
      </c>
      <c r="J100" s="115">
        <f t="shared" si="17"/>
        <v>0.26230902777777781</v>
      </c>
      <c r="K100" s="115">
        <v>0.5</v>
      </c>
      <c r="L100" s="116">
        <f t="shared" si="18"/>
        <v>55</v>
      </c>
      <c r="M100" s="5">
        <f t="shared" si="19"/>
        <v>27.5</v>
      </c>
      <c r="N100" s="5">
        <f t="shared" si="20"/>
        <v>19</v>
      </c>
      <c r="O100" s="5">
        <f t="shared" si="21"/>
        <v>1045</v>
      </c>
      <c r="P100" s="10">
        <f t="shared" si="22"/>
        <v>990</v>
      </c>
      <c r="Q100" s="5">
        <f t="shared" si="23"/>
        <v>1072.5</v>
      </c>
      <c r="R100" s="5">
        <f t="shared" si="24"/>
        <v>851</v>
      </c>
      <c r="S100" s="5">
        <f t="shared" si="25"/>
        <v>1001</v>
      </c>
    </row>
    <row r="101" spans="1:19">
      <c r="A101" t="str">
        <f>'Plant loading'!A107</f>
        <v>Newbury</v>
      </c>
      <c r="B101" s="5" t="str">
        <f>'Plant loading'!B107</f>
        <v>PEGNY</v>
      </c>
      <c r="C101" s="5" t="str">
        <f>'Plant loading'!C107</f>
        <v>NetSure</v>
      </c>
      <c r="D101" s="5">
        <f>'Plant loading'!D107</f>
        <v>322</v>
      </c>
      <c r="E101" s="5">
        <f>'Plant loading'!E107</f>
        <v>324</v>
      </c>
      <c r="F101" s="5">
        <f>'Plant loading'!G107</f>
        <v>33.735500000000002</v>
      </c>
      <c r="G101" s="5">
        <f>'Plant loading'!H107</f>
        <v>36</v>
      </c>
      <c r="H101" s="5">
        <f>'Plant loading'!I107</f>
        <v>3.2</v>
      </c>
      <c r="I101" s="5">
        <f>'Plant loading'!J107</f>
        <v>115</v>
      </c>
      <c r="J101" s="115">
        <f t="shared" si="17"/>
        <v>0.16211805555555556</v>
      </c>
      <c r="K101" s="115">
        <v>0.5</v>
      </c>
      <c r="L101" s="116">
        <f t="shared" si="18"/>
        <v>55</v>
      </c>
      <c r="M101" s="5">
        <f t="shared" si="19"/>
        <v>27.5</v>
      </c>
      <c r="N101" s="5">
        <f t="shared" si="20"/>
        <v>12</v>
      </c>
      <c r="O101" s="5">
        <f t="shared" si="21"/>
        <v>660</v>
      </c>
      <c r="P101" s="10">
        <f t="shared" si="22"/>
        <v>605</v>
      </c>
      <c r="Q101" s="5">
        <f t="shared" si="23"/>
        <v>687.5</v>
      </c>
      <c r="R101" s="5">
        <f t="shared" si="24"/>
        <v>511</v>
      </c>
      <c r="S101" s="5">
        <f t="shared" si="25"/>
        <v>661</v>
      </c>
    </row>
    <row r="102" spans="1:19">
      <c r="A102" t="str">
        <f>'Plant loading'!A108</f>
        <v>Newbury</v>
      </c>
      <c r="B102" s="5" t="str">
        <f>'Plant loading'!B108</f>
        <v>PEHNY</v>
      </c>
      <c r="C102" s="5" t="str">
        <f>'Plant loading'!C108</f>
        <v>NetSure</v>
      </c>
      <c r="D102" s="5">
        <f>'Plant loading'!D108</f>
        <v>294</v>
      </c>
      <c r="E102" s="5">
        <f>'Plant loading'!E108</f>
        <v>295</v>
      </c>
      <c r="F102" s="5">
        <f>'Plant loading'!G108</f>
        <v>0</v>
      </c>
      <c r="G102" s="5">
        <f>'Plant loading'!H108</f>
        <v>36</v>
      </c>
      <c r="H102" s="5">
        <f>'Plant loading'!I108</f>
        <v>3.2</v>
      </c>
      <c r="I102" s="5">
        <f>'Plant loading'!J108</f>
        <v>115</v>
      </c>
      <c r="J102" s="115">
        <f t="shared" si="17"/>
        <v>0.14802083333333335</v>
      </c>
      <c r="K102" s="115">
        <v>0.5</v>
      </c>
      <c r="L102" s="116">
        <f t="shared" si="18"/>
        <v>55</v>
      </c>
      <c r="M102" s="5">
        <f t="shared" si="19"/>
        <v>27.5</v>
      </c>
      <c r="N102" s="5">
        <f t="shared" si="20"/>
        <v>11</v>
      </c>
      <c r="O102" s="5">
        <f t="shared" si="21"/>
        <v>605</v>
      </c>
      <c r="P102" s="10">
        <f t="shared" si="22"/>
        <v>550</v>
      </c>
      <c r="Q102" s="5">
        <f t="shared" si="23"/>
        <v>632.5</v>
      </c>
      <c r="R102" s="5">
        <f t="shared" si="24"/>
        <v>464</v>
      </c>
      <c r="S102" s="5">
        <f t="shared" si="25"/>
        <v>614</v>
      </c>
    </row>
    <row r="103" spans="1:19">
      <c r="A103" t="e">
        <f>'Plant loading'!#REF!</f>
        <v>#REF!</v>
      </c>
      <c r="B103" s="5" t="e">
        <f>'Plant loading'!#REF!</f>
        <v>#REF!</v>
      </c>
      <c r="C103" s="5" t="e">
        <f>'Plant loading'!#REF!</f>
        <v>#REF!</v>
      </c>
      <c r="D103" s="5" t="e">
        <f>'Plant loading'!#REF!</f>
        <v>#REF!</v>
      </c>
      <c r="E103" s="5" t="e">
        <f>'Plant loading'!#REF!</f>
        <v>#REF!</v>
      </c>
      <c r="F103" s="5"/>
      <c r="G103" s="5" t="e">
        <f>'Plant loading'!#REF!</f>
        <v>#REF!</v>
      </c>
      <c r="H103" s="5" t="e">
        <f>'Plant loading'!#REF!</f>
        <v>#REF!</v>
      </c>
      <c r="I103" s="5" t="e">
        <f>'Plant loading'!#REF!</f>
        <v>#REF!</v>
      </c>
      <c r="J103" s="115" t="e">
        <f t="shared" si="17"/>
        <v>#REF!</v>
      </c>
      <c r="K103" s="115">
        <v>1.5</v>
      </c>
      <c r="L103" s="116" t="e">
        <f>ROUNDDOWN((H103*1000/58),0)</f>
        <v>#REF!</v>
      </c>
      <c r="M103" s="5" t="e">
        <f>L103*K103</f>
        <v>#REF!</v>
      </c>
      <c r="N103" s="5" t="e">
        <f>ROUNDUP((E103/M103),0)</f>
        <v>#REF!</v>
      </c>
      <c r="O103" s="5" t="e">
        <f>N103*L103</f>
        <v>#REF!</v>
      </c>
      <c r="P103" s="10" t="e">
        <f>O103-L103</f>
        <v>#REF!</v>
      </c>
      <c r="Q103" s="5" t="e">
        <f>O103+(L103*K103)</f>
        <v>#REF!</v>
      </c>
      <c r="R103" s="5" t="e">
        <f>ROUNDUP((P103-E103)/L103*100,0)</f>
        <v>#REF!</v>
      </c>
      <c r="S103" s="5" t="e">
        <f>ROUNDUP((Q103-E103)/(L103)*100,0)</f>
        <v>#REF!</v>
      </c>
    </row>
    <row r="104" spans="1:19">
      <c r="A104" t="e">
        <f>'Plant loading'!#REF!</f>
        <v>#REF!</v>
      </c>
      <c r="B104" s="5" t="e">
        <f>'Plant loading'!#REF!</f>
        <v>#REF!</v>
      </c>
      <c r="C104" s="5" t="e">
        <f>'Plant loading'!#REF!</f>
        <v>#REF!</v>
      </c>
      <c r="D104" s="5" t="e">
        <f>'Plant loading'!#REF!</f>
        <v>#REF!</v>
      </c>
      <c r="E104" s="5" t="e">
        <f>'Plant loading'!#REF!</f>
        <v>#REF!</v>
      </c>
      <c r="F104" s="5"/>
      <c r="G104" s="5" t="e">
        <f>'Plant loading'!#REF!</f>
        <v>#REF!</v>
      </c>
      <c r="H104" s="5" t="e">
        <f>'Plant loading'!#REF!</f>
        <v>#REF!</v>
      </c>
      <c r="I104" s="5" t="e">
        <f>'Plant loading'!#REF!</f>
        <v>#REF!</v>
      </c>
      <c r="J104" s="115" t="e">
        <f t="shared" si="17"/>
        <v>#REF!</v>
      </c>
      <c r="K104" s="115">
        <v>2.5</v>
      </c>
      <c r="L104" s="116" t="e">
        <f>ROUNDDOWN((H104*1000/58),0)</f>
        <v>#REF!</v>
      </c>
      <c r="M104" s="5" t="e">
        <f>L104*K104</f>
        <v>#REF!</v>
      </c>
      <c r="N104" s="5" t="e">
        <f>ROUNDUP((E104/M104),0)</f>
        <v>#REF!</v>
      </c>
      <c r="O104" s="5" t="e">
        <f>N104*L104</f>
        <v>#REF!</v>
      </c>
      <c r="P104" s="10" t="e">
        <f>O104-L104</f>
        <v>#REF!</v>
      </c>
      <c r="Q104" s="5" t="e">
        <f>O104+(L104*K104)</f>
        <v>#REF!</v>
      </c>
      <c r="R104" s="5" t="e">
        <f>ROUNDUP((P104-E104)/L104*100,0)</f>
        <v>#REF!</v>
      </c>
      <c r="S104" s="5" t="e">
        <f>ROUNDUP((Q104-E104)/(L104)*100,0)</f>
        <v>#REF!</v>
      </c>
    </row>
    <row r="105" spans="1:19">
      <c r="A105" t="str">
        <f>'Plant loading'!A109</f>
        <v>Newcastle</v>
      </c>
      <c r="B105" s="5" t="str">
        <f>'Plant loading'!B109</f>
        <v>PEENE</v>
      </c>
      <c r="C105" s="5" t="str">
        <f>'Plant loading'!C109</f>
        <v>NetSure</v>
      </c>
      <c r="D105" s="5">
        <f>'Plant loading'!D109</f>
        <v>306</v>
      </c>
      <c r="E105" s="5">
        <f>'Plant loading'!E109</f>
        <v>306</v>
      </c>
      <c r="F105" s="5">
        <f>'Plant loading'!G109</f>
        <v>44.581000000000003</v>
      </c>
      <c r="G105" s="5">
        <f>'Plant loading'!H109</f>
        <v>36</v>
      </c>
      <c r="H105" s="5">
        <f>'Plant loading'!I109</f>
        <v>3.2</v>
      </c>
      <c r="I105" s="5">
        <f>'Plant loading'!J109</f>
        <v>115</v>
      </c>
      <c r="J105" s="115">
        <f t="shared" si="17"/>
        <v>0.15406250000000002</v>
      </c>
      <c r="K105" s="115">
        <v>0.5</v>
      </c>
      <c r="L105" s="116">
        <f t="shared" si="18"/>
        <v>55</v>
      </c>
      <c r="M105" s="5">
        <f t="shared" si="19"/>
        <v>27.5</v>
      </c>
      <c r="N105" s="5">
        <f t="shared" si="20"/>
        <v>12</v>
      </c>
      <c r="O105" s="5">
        <f t="shared" si="21"/>
        <v>660</v>
      </c>
      <c r="P105" s="10">
        <f t="shared" si="22"/>
        <v>605</v>
      </c>
      <c r="Q105" s="5">
        <f t="shared" si="23"/>
        <v>687.5</v>
      </c>
      <c r="R105" s="5">
        <f t="shared" si="24"/>
        <v>544</v>
      </c>
      <c r="S105" s="5">
        <f t="shared" si="25"/>
        <v>694</v>
      </c>
    </row>
    <row r="106" spans="1:19">
      <c r="A106" t="str">
        <f>'Plant loading'!A110</f>
        <v>Newcastle</v>
      </c>
      <c r="B106" s="5" t="str">
        <f>'Plant loading'!B110</f>
        <v>PEFNE</v>
      </c>
      <c r="C106" s="5" t="str">
        <f>'Plant loading'!C110</f>
        <v>NetSure</v>
      </c>
      <c r="D106" s="5">
        <f>'Plant loading'!D110</f>
        <v>358</v>
      </c>
      <c r="E106" s="5">
        <f>'Plant loading'!E110</f>
        <v>360</v>
      </c>
      <c r="F106" s="5">
        <f>'Plant loading'!G110</f>
        <v>0</v>
      </c>
      <c r="G106" s="5">
        <f>'Plant loading'!H110</f>
        <v>36</v>
      </c>
      <c r="H106" s="5">
        <f>'Plant loading'!I110</f>
        <v>3.2</v>
      </c>
      <c r="I106" s="5">
        <f>'Plant loading'!J110</f>
        <v>115</v>
      </c>
      <c r="J106" s="115">
        <f t="shared" si="17"/>
        <v>0.18024305555555556</v>
      </c>
      <c r="K106" s="115">
        <v>0.5</v>
      </c>
      <c r="L106" s="116">
        <f t="shared" si="18"/>
        <v>55</v>
      </c>
      <c r="M106" s="5">
        <f t="shared" si="19"/>
        <v>27.5</v>
      </c>
      <c r="N106" s="5">
        <f t="shared" si="20"/>
        <v>14</v>
      </c>
      <c r="O106" s="5">
        <f t="shared" si="21"/>
        <v>770</v>
      </c>
      <c r="P106" s="10">
        <f t="shared" si="22"/>
        <v>715</v>
      </c>
      <c r="Q106" s="5">
        <f t="shared" si="23"/>
        <v>797.5</v>
      </c>
      <c r="R106" s="5">
        <f t="shared" si="24"/>
        <v>646</v>
      </c>
      <c r="S106" s="5">
        <f t="shared" si="25"/>
        <v>796</v>
      </c>
    </row>
    <row r="107" spans="1:19">
      <c r="A107" t="str">
        <f>'Plant loading'!A111</f>
        <v>Newcastle</v>
      </c>
      <c r="B107" s="5" t="str">
        <f>'Plant loading'!B111</f>
        <v>PEGNE</v>
      </c>
      <c r="C107" s="5" t="str">
        <f>'Plant loading'!C111</f>
        <v>NetSure</v>
      </c>
      <c r="D107" s="5">
        <f>'Plant loading'!D111</f>
        <v>152</v>
      </c>
      <c r="E107" s="5">
        <f>'Plant loading'!E111</f>
        <v>152</v>
      </c>
      <c r="F107" s="5">
        <f>'Plant loading'!G111</f>
        <v>0</v>
      </c>
      <c r="G107" s="5">
        <f>'Plant loading'!H111</f>
        <v>18</v>
      </c>
      <c r="H107" s="5">
        <f>'Plant loading'!I111</f>
        <v>3.2</v>
      </c>
      <c r="I107" s="5">
        <f>'Plant loading'!J111</f>
        <v>57</v>
      </c>
      <c r="J107" s="115">
        <f t="shared" si="17"/>
        <v>0.15305555555555556</v>
      </c>
      <c r="K107" s="115">
        <v>0.5</v>
      </c>
      <c r="L107" s="116">
        <f t="shared" si="18"/>
        <v>55</v>
      </c>
      <c r="M107" s="5">
        <f t="shared" si="19"/>
        <v>27.5</v>
      </c>
      <c r="N107" s="5">
        <f t="shared" si="20"/>
        <v>6</v>
      </c>
      <c r="O107" s="5">
        <f t="shared" si="21"/>
        <v>330</v>
      </c>
      <c r="P107" s="10">
        <f t="shared" si="22"/>
        <v>275</v>
      </c>
      <c r="Q107" s="5">
        <f t="shared" si="23"/>
        <v>357.5</v>
      </c>
      <c r="R107" s="5">
        <f t="shared" si="24"/>
        <v>224</v>
      </c>
      <c r="S107" s="5">
        <f t="shared" si="25"/>
        <v>374</v>
      </c>
    </row>
    <row r="108" spans="1:19">
      <c r="A108" t="str">
        <f>'Plant loading'!A112</f>
        <v>Oxford</v>
      </c>
      <c r="B108" s="5" t="str">
        <f>'Plant loading'!B112</f>
        <v>PECOD</v>
      </c>
      <c r="C108" s="5" t="str">
        <f>'Plant loading'!C112</f>
        <v>NetSure</v>
      </c>
      <c r="D108" s="5">
        <f>'Plant loading'!D112</f>
        <v>236</v>
      </c>
      <c r="E108" s="5">
        <f>'Plant loading'!E112</f>
        <v>214</v>
      </c>
      <c r="F108" s="5">
        <f>'Plant loading'!G112</f>
        <v>19.292999999999999</v>
      </c>
      <c r="G108" s="5">
        <f>'Plant loading'!H112</f>
        <v>36</v>
      </c>
      <c r="H108" s="5">
        <f>'Plant loading'!I112</f>
        <v>3.2</v>
      </c>
      <c r="I108" s="5">
        <f>'Plant loading'!J112</f>
        <v>115</v>
      </c>
      <c r="J108" s="115">
        <f t="shared" si="17"/>
        <v>0.11881944444444445</v>
      </c>
      <c r="K108" s="115">
        <v>0.5</v>
      </c>
      <c r="L108" s="116">
        <f t="shared" si="18"/>
        <v>55</v>
      </c>
      <c r="M108" s="5">
        <f t="shared" si="19"/>
        <v>27.5</v>
      </c>
      <c r="N108" s="5">
        <f t="shared" si="20"/>
        <v>8</v>
      </c>
      <c r="O108" s="5">
        <f t="shared" si="21"/>
        <v>440</v>
      </c>
      <c r="P108" s="10">
        <f t="shared" si="22"/>
        <v>385</v>
      </c>
      <c r="Q108" s="5">
        <f t="shared" si="23"/>
        <v>467.5</v>
      </c>
      <c r="R108" s="5">
        <f t="shared" si="24"/>
        <v>311</v>
      </c>
      <c r="S108" s="5">
        <f t="shared" si="25"/>
        <v>461</v>
      </c>
    </row>
    <row r="109" spans="1:19">
      <c r="A109" t="str">
        <f>'Plant loading'!A113</f>
        <v>Oxford</v>
      </c>
      <c r="B109" s="5" t="str">
        <f>'Plant loading'!B113</f>
        <v>PEFOD</v>
      </c>
      <c r="C109" s="5" t="str">
        <f>'Plant loading'!C113</f>
        <v>NetSure</v>
      </c>
      <c r="D109" s="5">
        <f>'Plant loading'!D113</f>
        <v>140</v>
      </c>
      <c r="E109" s="5">
        <f>'Plant loading'!E113</f>
        <v>140</v>
      </c>
      <c r="F109" s="5">
        <f>'Plant loading'!G113</f>
        <v>0</v>
      </c>
      <c r="G109" s="5">
        <f>'Plant loading'!H113</f>
        <v>30</v>
      </c>
      <c r="H109" s="5">
        <f>'Plant loading'!I113</f>
        <v>3.2</v>
      </c>
      <c r="I109" s="5">
        <f>'Plant loading'!J113</f>
        <v>96</v>
      </c>
      <c r="J109" s="115">
        <f t="shared" si="17"/>
        <v>8.4583333333333344E-2</v>
      </c>
      <c r="K109" s="115">
        <v>0.5</v>
      </c>
      <c r="L109" s="116">
        <f t="shared" si="18"/>
        <v>55</v>
      </c>
      <c r="M109" s="5">
        <f t="shared" si="19"/>
        <v>27.5</v>
      </c>
      <c r="N109" s="5">
        <f t="shared" si="20"/>
        <v>6</v>
      </c>
      <c r="O109" s="5">
        <f t="shared" si="21"/>
        <v>330</v>
      </c>
      <c r="P109" s="10">
        <f t="shared" si="22"/>
        <v>275</v>
      </c>
      <c r="Q109" s="5">
        <f t="shared" si="23"/>
        <v>357.5</v>
      </c>
      <c r="R109" s="5">
        <f t="shared" si="24"/>
        <v>246</v>
      </c>
      <c r="S109" s="5">
        <f t="shared" si="25"/>
        <v>396</v>
      </c>
    </row>
    <row r="110" spans="1:19">
      <c r="A110" t="str">
        <f>'Plant loading'!A114</f>
        <v>Stafford</v>
      </c>
      <c r="B110" s="5" t="str">
        <f>'Plant loading'!B114</f>
        <v>PEESD</v>
      </c>
      <c r="C110" s="5" t="str">
        <f>'Plant loading'!C114</f>
        <v>NetSure</v>
      </c>
      <c r="D110" s="5">
        <f>'Plant loading'!D114</f>
        <v>397</v>
      </c>
      <c r="E110" s="5">
        <f>'Plant loading'!E114</f>
        <v>393</v>
      </c>
      <c r="F110" s="5">
        <f>'Plant loading'!G114</f>
        <v>44.253999999999998</v>
      </c>
      <c r="G110" s="5">
        <f>'Plant loading'!H114</f>
        <v>36</v>
      </c>
      <c r="H110" s="5">
        <f>'Plant loading'!I114</f>
        <v>3.2</v>
      </c>
      <c r="I110" s="5">
        <f>'Plant loading'!J114</f>
        <v>115</v>
      </c>
      <c r="J110" s="115">
        <f t="shared" si="17"/>
        <v>0.19987847222222224</v>
      </c>
      <c r="K110" s="115">
        <v>0.5</v>
      </c>
      <c r="L110" s="116">
        <f t="shared" si="18"/>
        <v>55</v>
      </c>
      <c r="M110" s="5">
        <f t="shared" si="19"/>
        <v>27.5</v>
      </c>
      <c r="N110" s="5">
        <f t="shared" si="20"/>
        <v>15</v>
      </c>
      <c r="O110" s="5">
        <f t="shared" si="21"/>
        <v>825</v>
      </c>
      <c r="P110" s="10">
        <f t="shared" si="22"/>
        <v>770</v>
      </c>
      <c r="Q110" s="5">
        <f t="shared" si="23"/>
        <v>852.5</v>
      </c>
      <c r="R110" s="5">
        <f t="shared" si="24"/>
        <v>686</v>
      </c>
      <c r="S110" s="5">
        <f t="shared" si="25"/>
        <v>836</v>
      </c>
    </row>
    <row r="111" spans="1:19">
      <c r="A111" t="str">
        <f>'Plant loading'!A115</f>
        <v>Stafford</v>
      </c>
      <c r="B111" s="5" t="str">
        <f>'Plant loading'!B115</f>
        <v>PEGSD</v>
      </c>
      <c r="C111" s="5" t="str">
        <f>'Plant loading'!C115</f>
        <v>NetSure</v>
      </c>
      <c r="D111" s="5">
        <f>'Plant loading'!D115</f>
        <v>421</v>
      </c>
      <c r="E111" s="5">
        <f>'Plant loading'!E115</f>
        <v>419</v>
      </c>
      <c r="F111" s="5">
        <f>'Plant loading'!G115</f>
        <v>0</v>
      </c>
      <c r="G111" s="5">
        <f>'Plant loading'!H115</f>
        <v>36</v>
      </c>
      <c r="H111" s="5">
        <f>'Plant loading'!I115</f>
        <v>3.2</v>
      </c>
      <c r="I111" s="5">
        <f>'Plant loading'!J115</f>
        <v>115</v>
      </c>
      <c r="J111" s="115">
        <f t="shared" si="17"/>
        <v>0.21196180555555558</v>
      </c>
      <c r="K111" s="115">
        <v>0.5</v>
      </c>
      <c r="L111" s="116">
        <f t="shared" si="18"/>
        <v>55</v>
      </c>
      <c r="M111" s="5">
        <f t="shared" si="19"/>
        <v>27.5</v>
      </c>
      <c r="N111" s="5">
        <f t="shared" si="20"/>
        <v>16</v>
      </c>
      <c r="O111" s="5">
        <f t="shared" si="21"/>
        <v>880</v>
      </c>
      <c r="P111" s="10">
        <f t="shared" si="22"/>
        <v>825</v>
      </c>
      <c r="Q111" s="5">
        <f t="shared" si="23"/>
        <v>907.5</v>
      </c>
      <c r="R111" s="5">
        <f t="shared" si="24"/>
        <v>739</v>
      </c>
      <c r="S111" s="5">
        <f t="shared" si="25"/>
        <v>889</v>
      </c>
    </row>
    <row r="112" spans="1:19">
      <c r="A112" t="str">
        <f>'Plant loading'!A116</f>
        <v>Warrington TXO</v>
      </c>
      <c r="B112" s="5" t="str">
        <f>'Plant loading'!B116</f>
        <v>PELWN</v>
      </c>
      <c r="C112" s="5" t="str">
        <f>'Plant loading'!C116</f>
        <v>NetSure</v>
      </c>
      <c r="D112" s="5">
        <f>'Plant loading'!D116</f>
        <v>208</v>
      </c>
      <c r="E112" s="5">
        <f>'Plant loading'!E116</f>
        <v>209</v>
      </c>
      <c r="F112" s="5">
        <f>'Plant loading'!G116</f>
        <v>39.512500000000003</v>
      </c>
      <c r="G112" s="5">
        <f>'Plant loading'!H116</f>
        <v>18</v>
      </c>
      <c r="H112" s="5">
        <f>'Plant loading'!I116</f>
        <v>3.2</v>
      </c>
      <c r="I112" s="5">
        <f>'Plant loading'!J116</f>
        <v>57</v>
      </c>
      <c r="J112" s="115">
        <f t="shared" si="17"/>
        <v>0.20944444444444446</v>
      </c>
      <c r="K112" s="115">
        <v>0.5</v>
      </c>
      <c r="L112" s="116">
        <f t="shared" si="18"/>
        <v>55</v>
      </c>
      <c r="M112" s="5">
        <f t="shared" si="19"/>
        <v>27.5</v>
      </c>
      <c r="N112" s="5">
        <f t="shared" si="20"/>
        <v>8</v>
      </c>
      <c r="O112" s="5">
        <f t="shared" si="21"/>
        <v>440</v>
      </c>
      <c r="P112" s="10">
        <f t="shared" si="22"/>
        <v>385</v>
      </c>
      <c r="Q112" s="5">
        <f t="shared" si="23"/>
        <v>467.5</v>
      </c>
      <c r="R112" s="5">
        <f t="shared" si="24"/>
        <v>320</v>
      </c>
      <c r="S112" s="5">
        <f t="shared" si="25"/>
        <v>470</v>
      </c>
    </row>
    <row r="113" spans="1:19">
      <c r="A113" t="str">
        <f>'Plant loading'!A117</f>
        <v>Warrington TXO</v>
      </c>
      <c r="B113" s="5" t="str">
        <f>'Plant loading'!B117</f>
        <v>PEMWN</v>
      </c>
      <c r="C113" s="5" t="str">
        <f>'Plant loading'!C117</f>
        <v>NetSure</v>
      </c>
      <c r="D113" s="5">
        <f>'Plant loading'!D117</f>
        <v>155</v>
      </c>
      <c r="E113" s="5">
        <f>'Plant loading'!E117</f>
        <v>156</v>
      </c>
      <c r="F113" s="5">
        <f>'Plant loading'!G117</f>
        <v>0</v>
      </c>
      <c r="G113" s="5">
        <f>'Plant loading'!H117</f>
        <v>18</v>
      </c>
      <c r="H113" s="5">
        <f>'Plant loading'!I117</f>
        <v>3.2</v>
      </c>
      <c r="I113" s="5">
        <f>'Plant loading'!J117</f>
        <v>57</v>
      </c>
      <c r="J113" s="115">
        <f t="shared" si="17"/>
        <v>0.15607638888888889</v>
      </c>
      <c r="K113" s="115">
        <v>0.5</v>
      </c>
      <c r="L113" s="116">
        <f t="shared" si="18"/>
        <v>55</v>
      </c>
      <c r="M113" s="5">
        <f t="shared" si="19"/>
        <v>27.5</v>
      </c>
      <c r="N113" s="5">
        <f t="shared" si="20"/>
        <v>6</v>
      </c>
      <c r="O113" s="5">
        <f t="shared" si="21"/>
        <v>330</v>
      </c>
      <c r="P113" s="10">
        <f t="shared" si="22"/>
        <v>275</v>
      </c>
      <c r="Q113" s="5">
        <f t="shared" si="23"/>
        <v>357.5</v>
      </c>
      <c r="R113" s="5">
        <f t="shared" si="24"/>
        <v>217</v>
      </c>
      <c r="S113" s="5">
        <f t="shared" si="25"/>
        <v>367</v>
      </c>
    </row>
    <row r="114" spans="1:19">
      <c r="A114" t="str">
        <f>'Plant loading'!A118</f>
        <v>Warrington TXO</v>
      </c>
      <c r="B114" s="5" t="str">
        <f>'Plant loading'!B118</f>
        <v>PENWN</v>
      </c>
      <c r="C114" s="5" t="str">
        <f>'Plant loading'!C118</f>
        <v>NetSure</v>
      </c>
      <c r="D114" s="5">
        <f>'Plant loading'!D118</f>
        <v>360</v>
      </c>
      <c r="E114" s="5">
        <f>'Plant loading'!E118</f>
        <v>360</v>
      </c>
      <c r="F114" s="5">
        <f>'Plant loading'!G118</f>
        <v>0</v>
      </c>
      <c r="G114" s="5">
        <f>'Plant loading'!H118</f>
        <v>18</v>
      </c>
      <c r="H114" s="5">
        <f>'Plant loading'!I118</f>
        <v>3.2</v>
      </c>
      <c r="I114" s="5">
        <f>'Plant loading'!J118</f>
        <v>57</v>
      </c>
      <c r="J114" s="115">
        <f t="shared" si="17"/>
        <v>0.36250000000000004</v>
      </c>
      <c r="K114" s="115">
        <v>0.5</v>
      </c>
      <c r="L114" s="116">
        <f t="shared" si="18"/>
        <v>55</v>
      </c>
      <c r="M114" s="5">
        <f t="shared" si="19"/>
        <v>27.5</v>
      </c>
      <c r="N114" s="5">
        <f t="shared" si="20"/>
        <v>14</v>
      </c>
      <c r="O114" s="5">
        <f t="shared" si="21"/>
        <v>770</v>
      </c>
      <c r="P114" s="10">
        <f t="shared" si="22"/>
        <v>715</v>
      </c>
      <c r="Q114" s="5">
        <f t="shared" si="23"/>
        <v>797.5</v>
      </c>
      <c r="R114" s="5">
        <f t="shared" si="24"/>
        <v>646</v>
      </c>
      <c r="S114" s="5">
        <f t="shared" si="25"/>
        <v>796</v>
      </c>
    </row>
    <row r="115" spans="1:19">
      <c r="A115" t="e">
        <f>'Plant loading'!#REF!</f>
        <v>#REF!</v>
      </c>
      <c r="B115" s="5" t="e">
        <f>'Plant loading'!#REF!</f>
        <v>#REF!</v>
      </c>
      <c r="C115" s="5" t="e">
        <f>'Plant loading'!#REF!</f>
        <v>#REF!</v>
      </c>
      <c r="D115" s="5" t="e">
        <f>'Plant loading'!#REF!</f>
        <v>#REF!</v>
      </c>
      <c r="E115" s="5" t="e">
        <f>'Plant loading'!#REF!</f>
        <v>#REF!</v>
      </c>
      <c r="F115" s="5" t="e">
        <f>'Plant loading'!#REF!</f>
        <v>#REF!</v>
      </c>
      <c r="G115" s="5" t="e">
        <f>'Plant loading'!#REF!</f>
        <v>#REF!</v>
      </c>
      <c r="H115" s="5" t="e">
        <f>'Plant loading'!#REF!</f>
        <v>#REF!</v>
      </c>
      <c r="I115" s="5" t="e">
        <f>'Plant loading'!#REF!</f>
        <v>#REF!</v>
      </c>
      <c r="J115" s="115" t="e">
        <f t="shared" si="17"/>
        <v>#REF!</v>
      </c>
      <c r="K115" s="115">
        <v>0.5</v>
      </c>
      <c r="L115" s="116" t="e">
        <f t="shared" si="18"/>
        <v>#REF!</v>
      </c>
      <c r="M115" s="5" t="e">
        <f t="shared" si="19"/>
        <v>#REF!</v>
      </c>
      <c r="N115" s="5" t="e">
        <f t="shared" si="20"/>
        <v>#REF!</v>
      </c>
      <c r="O115" s="5" t="e">
        <f t="shared" si="21"/>
        <v>#REF!</v>
      </c>
      <c r="P115" s="10" t="e">
        <f t="shared" si="22"/>
        <v>#REF!</v>
      </c>
      <c r="Q115" s="5" t="e">
        <f t="shared" si="23"/>
        <v>#REF!</v>
      </c>
      <c r="R115" s="5" t="e">
        <f t="shared" si="24"/>
        <v>#REF!</v>
      </c>
      <c r="S115" s="5" t="e">
        <f t="shared" si="25"/>
        <v>#REF!</v>
      </c>
    </row>
  </sheetData>
  <conditionalFormatting sqref="J4:J115">
    <cfRule type="cellIs" dxfId="81" priority="1" stopIfTrue="1" operator="greaterThanOrEqual">
      <formula>0.4</formula>
    </cfRule>
    <cfRule type="cellIs" dxfId="80" priority="2" stopIfTrue="1" operator="lessThanOrEqual">
      <formula>0.399</formula>
    </cfRule>
  </conditionalFormatting>
  <pageMargins left="0.7" right="0.7" top="0.75" bottom="0.75" header="0.3" footer="0.3"/>
  <pageSetup paperSize="9" orientation="portrait" r:id="rId1"/>
  <headerFooter>
    <oddFooter>&amp;L&amp;1#&amp;"Calibri"&amp;7&amp;K000000C2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A1:AB129"/>
  <sheetViews>
    <sheetView zoomScaleNormal="100" workbookViewId="0">
      <selection activeCell="D21" sqref="D21"/>
    </sheetView>
  </sheetViews>
  <sheetFormatPr defaultColWidth="8.6640625" defaultRowHeight="10.15" outlineLevelRow="2"/>
  <cols>
    <col min="1" max="1" width="15.6640625" bestFit="1" customWidth="1"/>
    <col min="2" max="2" width="12.5" customWidth="1"/>
    <col min="3" max="3" width="8.6640625" bestFit="1" customWidth="1"/>
    <col min="4" max="4" width="17" bestFit="1" customWidth="1"/>
    <col min="5" max="5" width="12.1640625" bestFit="1" customWidth="1"/>
    <col min="6" max="6" width="17.6640625" bestFit="1" customWidth="1"/>
    <col min="7" max="7" width="16.6640625" style="44" bestFit="1" customWidth="1"/>
    <col min="8" max="8" width="12.1640625" bestFit="1" customWidth="1"/>
    <col min="9" max="9" width="17" customWidth="1"/>
    <col min="10" max="10" width="12.1640625" bestFit="1" customWidth="1"/>
    <col min="11" max="11" width="11.5" bestFit="1" customWidth="1"/>
    <col min="12" max="12" width="12.6640625" customWidth="1"/>
    <col min="13" max="13" width="13" bestFit="1" customWidth="1"/>
    <col min="14" max="14" width="16.1640625" customWidth="1"/>
    <col min="15" max="15" width="13.6640625" customWidth="1"/>
    <col min="16" max="16" width="13" customWidth="1"/>
    <col min="17" max="17" width="15.1640625" customWidth="1"/>
    <col min="18" max="18" width="14.6640625" customWidth="1"/>
    <col min="19" max="19" width="1.1640625" customWidth="1"/>
    <col min="20" max="20" width="9" bestFit="1" customWidth="1"/>
    <col min="21" max="21" width="29.6640625" bestFit="1" customWidth="1"/>
    <col min="22" max="22" width="18.6640625" bestFit="1" customWidth="1"/>
    <col min="23" max="23" width="12.1640625" bestFit="1" customWidth="1"/>
    <col min="24" max="24" width="14.1640625" bestFit="1" customWidth="1"/>
    <col min="25" max="26" width="11.5" bestFit="1" customWidth="1"/>
    <col min="27" max="27" width="6.1640625" bestFit="1" customWidth="1"/>
    <col min="28" max="28" width="11.5" bestFit="1" customWidth="1"/>
  </cols>
  <sheetData>
    <row r="1" spans="1:24" ht="40.9">
      <c r="A1" s="35" t="s">
        <v>7</v>
      </c>
      <c r="B1" s="35" t="s">
        <v>583</v>
      </c>
      <c r="C1" s="35" t="s">
        <v>1486</v>
      </c>
      <c r="D1" s="35" t="s">
        <v>1487</v>
      </c>
      <c r="E1" s="35" t="s">
        <v>1488</v>
      </c>
      <c r="F1" s="35" t="s">
        <v>1489</v>
      </c>
      <c r="G1" s="74" t="s">
        <v>1490</v>
      </c>
      <c r="H1" s="35" t="s">
        <v>1491</v>
      </c>
      <c r="I1" s="80" t="s">
        <v>1492</v>
      </c>
      <c r="J1" s="80" t="s">
        <v>1493</v>
      </c>
      <c r="K1" s="80" t="s">
        <v>1494</v>
      </c>
      <c r="L1" s="77" t="s">
        <v>1495</v>
      </c>
      <c r="M1" s="77" t="s">
        <v>1496</v>
      </c>
      <c r="N1" s="77" t="s">
        <v>1497</v>
      </c>
      <c r="O1" s="77" t="s">
        <v>1498</v>
      </c>
      <c r="P1" s="75" t="s">
        <v>1499</v>
      </c>
      <c r="Q1" s="75" t="s">
        <v>1500</v>
      </c>
      <c r="R1" s="75" t="s">
        <v>1501</v>
      </c>
      <c r="S1" s="35"/>
    </row>
    <row r="2" spans="1:24">
      <c r="A2" s="5" t="str">
        <f>'Plant loading'!A4</f>
        <v>Acton</v>
      </c>
      <c r="B2" s="5" t="str">
        <f>'Plant loading'!B4</f>
        <v>PEAAN</v>
      </c>
      <c r="C2" s="5">
        <f>'Plant loading'!E4</f>
        <v>634</v>
      </c>
      <c r="D2" s="10">
        <v>36</v>
      </c>
      <c r="E2" s="5">
        <f>C2/D2</f>
        <v>17.611111111111111</v>
      </c>
      <c r="F2" s="5">
        <f>E2*54.5</f>
        <v>959.80555555555554</v>
      </c>
      <c r="G2" s="17">
        <f t="shared" ref="G2:G33" si="0">CHOOSE(MATCH(F2,W$3:W$14,1),X$3,X$4,X$5,X$6,X$7,X$8,X$9,X$10,X$11,X$12,X$13,X$14)</f>
        <v>90.745146605757995</v>
      </c>
      <c r="H2">
        <f t="shared" ref="H2:H15" si="1">((($D2*$E2)*54.5)*(1+(1-(G2/100)))/1000)</f>
        <v>37.750829493312438</v>
      </c>
      <c r="I2" s="81">
        <f>((($D2*$E2)*54.5)*(1+(1-0.92))/1000)</f>
        <v>37.317240000000005</v>
      </c>
      <c r="J2" s="81">
        <f>H2-I2</f>
        <v>0.43358949331243224</v>
      </c>
      <c r="K2" s="523">
        <f t="shared" ref="K2:K33" si="2">(J2*24*365)*$V$18</f>
        <v>490.35329541892258</v>
      </c>
      <c r="L2" s="78">
        <f>CHOOSE(MATCH(F2,N$96:N$107,1),O$96,O$97,O$98,O$99,O$100,O$101,O$102,O$103,O$104,O$105,O$106,O$107)</f>
        <v>95.5</v>
      </c>
      <c r="M2" s="79">
        <f>((($D2*$E2)*54.5)*(1+(1-(L2/100)))/1000)</f>
        <v>36.107884999999996</v>
      </c>
      <c r="N2" s="79">
        <f>H2-M2</f>
        <v>1.6429444933124415</v>
      </c>
      <c r="O2" s="524">
        <f t="shared" ref="O2:O33" si="3">(N2*24*365)*$V$18</f>
        <v>1858.032214598933</v>
      </c>
      <c r="P2" s="76">
        <f>((($D2*$E2)*54.5)*(1+(1-0.97))/1000)</f>
        <v>35.589590000000001</v>
      </c>
      <c r="Q2" s="76">
        <f>H2-P2</f>
        <v>2.1612394933124364</v>
      </c>
      <c r="R2" s="525">
        <f t="shared" ref="R2:R33" si="4">(Q2*24*365)*$V$18</f>
        <v>2444.1803228189269</v>
      </c>
      <c r="S2" s="70"/>
      <c r="T2" s="51" t="s">
        <v>1502</v>
      </c>
      <c r="U2" s="51" t="s">
        <v>1503</v>
      </c>
      <c r="V2" s="51" t="s">
        <v>1504</v>
      </c>
      <c r="W2" s="51" t="s">
        <v>1505</v>
      </c>
      <c r="X2" s="51" t="s">
        <v>1506</v>
      </c>
    </row>
    <row r="3" spans="1:24">
      <c r="A3" s="5" t="str">
        <f>'Plant loading'!A5</f>
        <v>Acton</v>
      </c>
      <c r="B3" s="5" t="str">
        <f>'Plant loading'!B5</f>
        <v>PEBAN</v>
      </c>
      <c r="C3" s="5">
        <f>'Plant loading'!E5</f>
        <v>611</v>
      </c>
      <c r="D3" s="10">
        <f>'Plant loading'!H5</f>
        <v>36</v>
      </c>
      <c r="E3" s="5">
        <f>C3/D3</f>
        <v>16.972222222222221</v>
      </c>
      <c r="F3" s="5">
        <f t="shared" ref="F3:F40" si="5">E3*54.5</f>
        <v>924.98611111111109</v>
      </c>
      <c r="G3" s="17">
        <f t="shared" si="0"/>
        <v>90.745146605757995</v>
      </c>
      <c r="H3">
        <f t="shared" si="1"/>
        <v>36.381319906015612</v>
      </c>
      <c r="I3" s="81">
        <f t="shared" ref="I3:I40" si="6">((($D3*$E3)*54.5)*(1+(1-0.92))/1000)</f>
        <v>35.963459999999998</v>
      </c>
      <c r="J3" s="81">
        <f t="shared" ref="J3:J40" si="7">H3-I3</f>
        <v>0.41785990601561451</v>
      </c>
      <c r="K3" s="523">
        <f t="shared" si="2"/>
        <v>472.56445347155466</v>
      </c>
      <c r="L3" s="78">
        <f t="shared" ref="L3:L56" si="8">CHOOSE(MATCH(F3,N$96:N$107,1),O$96,O$97,O$98,O$99,O$100,O$101,O$102,O$103,O$104,O$105,O$106,O$107)</f>
        <v>95.5</v>
      </c>
      <c r="M3" s="79">
        <f t="shared" ref="M3:M56" si="9">((($D3*$E3)*54.5)*(1+(1-(L3/100)))/1000)</f>
        <v>34.797977500000002</v>
      </c>
      <c r="N3" s="79">
        <f t="shared" ref="N3:N56" si="10">H3-M3</f>
        <v>1.5833424060156105</v>
      </c>
      <c r="O3" s="524">
        <f t="shared" si="3"/>
        <v>1790.6272604415501</v>
      </c>
      <c r="P3" s="76">
        <f t="shared" ref="P3:P66" si="11">((($D3*$E3)*54.5)*(1+(1-0.97))/1000)</f>
        <v>34.298484999999999</v>
      </c>
      <c r="Q3" s="76">
        <f t="shared" ref="Q3:Q66" si="12">H3-P3</f>
        <v>2.0828349060156128</v>
      </c>
      <c r="R3" s="525">
        <f t="shared" si="4"/>
        <v>2355.5113205715529</v>
      </c>
      <c r="T3" s="51">
        <v>57.039000000000001</v>
      </c>
      <c r="U3" s="51">
        <v>3.0259999999999998</v>
      </c>
      <c r="V3" s="51">
        <v>230.4</v>
      </c>
      <c r="W3" s="51">
        <f>U3*T3</f>
        <v>172.60001399999999</v>
      </c>
      <c r="X3" s="65">
        <f t="shared" ref="X3:X14" si="13">T3*U3*100/V3</f>
        <v>74.913200520833314</v>
      </c>
    </row>
    <row r="4" spans="1:24">
      <c r="A4" s="5" t="str">
        <f>'Plant loading'!A6</f>
        <v>Acton</v>
      </c>
      <c r="B4" s="5" t="str">
        <f>'Plant loading'!B6</f>
        <v>PECAN</v>
      </c>
      <c r="C4" s="5">
        <f>'Plant loading'!E6</f>
        <v>480</v>
      </c>
      <c r="D4" s="10">
        <v>36</v>
      </c>
      <c r="E4" s="5">
        <f>C4/D4</f>
        <v>13.333333333333334</v>
      </c>
      <c r="F4" s="5">
        <f t="shared" si="5"/>
        <v>726.66666666666674</v>
      </c>
      <c r="G4" s="17">
        <f t="shared" si="0"/>
        <v>88.516235330546522</v>
      </c>
      <c r="H4">
        <f t="shared" si="1"/>
        <v>29.164152837529034</v>
      </c>
      <c r="I4" s="81">
        <f t="shared" si="6"/>
        <v>28.252800000000004</v>
      </c>
      <c r="J4" s="81">
        <f t="shared" si="7"/>
        <v>0.91135283752903007</v>
      </c>
      <c r="K4" s="523">
        <f t="shared" si="2"/>
        <v>1030.6635056069806</v>
      </c>
      <c r="L4" s="78">
        <f t="shared" si="8"/>
        <v>95</v>
      </c>
      <c r="M4" s="79">
        <f t="shared" si="9"/>
        <v>27.468</v>
      </c>
      <c r="N4" s="79">
        <f t="shared" si="10"/>
        <v>1.6961528375290342</v>
      </c>
      <c r="O4" s="524">
        <f t="shared" si="3"/>
        <v>1918.2063824069851</v>
      </c>
      <c r="P4" s="76">
        <f t="shared" si="11"/>
        <v>26.944800000000001</v>
      </c>
      <c r="Q4" s="76">
        <f t="shared" si="12"/>
        <v>2.2193528375290335</v>
      </c>
      <c r="R4" s="525">
        <f t="shared" si="4"/>
        <v>2509.901633606984</v>
      </c>
      <c r="T4" s="51">
        <v>57.031999999999996</v>
      </c>
      <c r="U4" s="51">
        <v>5.0309999999999997</v>
      </c>
      <c r="V4" s="51">
        <v>349.6</v>
      </c>
      <c r="W4" s="51">
        <f t="shared" ref="W4:W14" si="14">U4*T4</f>
        <v>286.92799199999996</v>
      </c>
      <c r="X4" s="65">
        <f t="shared" si="13"/>
        <v>82.073224256292889</v>
      </c>
    </row>
    <row r="5" spans="1:24">
      <c r="A5" s="5" t="str">
        <f>'Plant loading'!A7</f>
        <v>Acton</v>
      </c>
      <c r="B5" s="5" t="str">
        <f>'Plant loading'!B7</f>
        <v>PEFAN</v>
      </c>
      <c r="C5" s="5">
        <f>'Plant loading'!E7</f>
        <v>697</v>
      </c>
      <c r="D5" s="10">
        <f>'Plant loading'!H7</f>
        <v>36</v>
      </c>
      <c r="E5" s="5">
        <f>C5/D5</f>
        <v>19.361111111111111</v>
      </c>
      <c r="F5" s="5">
        <f t="shared" si="5"/>
        <v>1055.1805555555554</v>
      </c>
      <c r="G5" s="17">
        <f t="shared" si="0"/>
        <v>90.745146605757995</v>
      </c>
      <c r="H5">
        <f t="shared" si="1"/>
        <v>41.502094884603736</v>
      </c>
      <c r="I5" s="81">
        <f t="shared" si="6"/>
        <v>41.025420000000004</v>
      </c>
      <c r="J5" s="81">
        <f t="shared" si="7"/>
        <v>0.47667488460373164</v>
      </c>
      <c r="K5" s="523">
        <f t="shared" si="2"/>
        <v>539.07925379651374</v>
      </c>
      <c r="L5" s="78">
        <f t="shared" si="8"/>
        <v>96</v>
      </c>
      <c r="M5" s="79">
        <f t="shared" si="9"/>
        <v>39.505960000000002</v>
      </c>
      <c r="N5" s="79">
        <f t="shared" si="10"/>
        <v>1.9961348846037339</v>
      </c>
      <c r="O5" s="524">
        <f t="shared" si="3"/>
        <v>2257.4608791565165</v>
      </c>
      <c r="P5" s="76">
        <f t="shared" si="11"/>
        <v>39.126094999999999</v>
      </c>
      <c r="Q5" s="76">
        <f t="shared" si="12"/>
        <v>2.3759998846037362</v>
      </c>
      <c r="R5" s="525">
        <f t="shared" si="4"/>
        <v>2687.0562854965187</v>
      </c>
      <c r="T5" s="51">
        <v>57.012999999999998</v>
      </c>
      <c r="U5" s="51">
        <v>10.028</v>
      </c>
      <c r="V5" s="51">
        <v>645.9</v>
      </c>
      <c r="W5" s="51">
        <f t="shared" si="14"/>
        <v>571.72636399999999</v>
      </c>
      <c r="X5" s="65">
        <f t="shared" si="13"/>
        <v>88.516235330546522</v>
      </c>
    </row>
    <row r="6" spans="1:24">
      <c r="A6" s="5" t="str">
        <f>'Plant loading'!A8</f>
        <v>Acton</v>
      </c>
      <c r="B6" s="5" t="str">
        <f>'Plant loading'!B8</f>
        <v>PEGAN</v>
      </c>
      <c r="C6" s="5">
        <f>'Plant loading'!E8</f>
        <v>741</v>
      </c>
      <c r="D6" s="10">
        <f>'Plant loading'!H8</f>
        <v>36</v>
      </c>
      <c r="E6" s="5">
        <f>C6/D6</f>
        <v>20.583333333333332</v>
      </c>
      <c r="F6" s="5">
        <f t="shared" si="5"/>
        <v>1121.7916666666665</v>
      </c>
      <c r="G6" s="17">
        <f t="shared" si="0"/>
        <v>90.745146605757995</v>
      </c>
      <c r="H6">
        <f t="shared" si="1"/>
        <v>44.122026268997658</v>
      </c>
      <c r="I6" s="81">
        <f t="shared" si="6"/>
        <v>43.615259999999999</v>
      </c>
      <c r="J6" s="81">
        <f t="shared" si="7"/>
        <v>0.50676626899765864</v>
      </c>
      <c r="K6" s="523">
        <f t="shared" si="2"/>
        <v>573.11008186975607</v>
      </c>
      <c r="L6" s="78">
        <f t="shared" si="8"/>
        <v>96</v>
      </c>
      <c r="M6" s="79">
        <v>0</v>
      </c>
      <c r="N6" s="79">
        <v>0</v>
      </c>
      <c r="O6" s="524">
        <f t="shared" si="3"/>
        <v>0</v>
      </c>
      <c r="P6" s="76">
        <f t="shared" si="11"/>
        <v>41.596035000000001</v>
      </c>
      <c r="Q6" s="76">
        <f t="shared" si="12"/>
        <v>2.5259912689976574</v>
      </c>
      <c r="R6" s="525">
        <f t="shared" si="4"/>
        <v>2856.6839419697544</v>
      </c>
      <c r="T6" s="51">
        <v>56.994999999999997</v>
      </c>
      <c r="U6" s="51">
        <v>14.987</v>
      </c>
      <c r="V6" s="51">
        <v>941.3</v>
      </c>
      <c r="W6" s="51">
        <f t="shared" si="14"/>
        <v>854.18406499999992</v>
      </c>
      <c r="X6" s="65">
        <f t="shared" si="13"/>
        <v>90.745146605757995</v>
      </c>
    </row>
    <row r="7" spans="1:24">
      <c r="A7" s="5" t="str">
        <f>'Plant loading'!A17</f>
        <v>Crawley</v>
      </c>
      <c r="B7" s="5" t="str">
        <f>'Plant loading'!B17</f>
        <v>PEACY</v>
      </c>
      <c r="C7" s="5">
        <f>'Plant loading'!E17</f>
        <v>393</v>
      </c>
      <c r="D7" s="10">
        <f>'Plant loading'!H17</f>
        <v>36</v>
      </c>
      <c r="E7" s="5">
        <f t="shared" ref="E7:E44" si="15">C7/D7</f>
        <v>10.916666666666666</v>
      </c>
      <c r="F7" s="5">
        <f t="shared" si="5"/>
        <v>594.95833333333326</v>
      </c>
      <c r="G7" s="17">
        <f t="shared" si="0"/>
        <v>88.516235330546522</v>
      </c>
      <c r="H7">
        <f t="shared" si="1"/>
        <v>23.878150135726898</v>
      </c>
      <c r="I7" s="81">
        <f t="shared" si="6"/>
        <v>23.131980000000002</v>
      </c>
      <c r="J7" s="81">
        <f t="shared" si="7"/>
        <v>0.74617013572689572</v>
      </c>
      <c r="K7" s="523">
        <f t="shared" si="2"/>
        <v>843.85574521571789</v>
      </c>
      <c r="L7" s="78">
        <f t="shared" si="8"/>
        <v>93</v>
      </c>
      <c r="M7" s="79">
        <f t="shared" si="9"/>
        <v>22.917794999999998</v>
      </c>
      <c r="N7" s="79">
        <f t="shared" si="10"/>
        <v>0.96035513572689979</v>
      </c>
      <c r="O7" s="524">
        <f t="shared" si="3"/>
        <v>1086.0809886757227</v>
      </c>
      <c r="P7" s="76">
        <f t="shared" si="11"/>
        <v>22.061055</v>
      </c>
      <c r="Q7" s="76">
        <f t="shared" si="12"/>
        <v>1.8170951357268983</v>
      </c>
      <c r="R7" s="525">
        <f t="shared" si="4"/>
        <v>2054.9819625157206</v>
      </c>
      <c r="T7" s="51">
        <v>56.975999999999999</v>
      </c>
      <c r="U7" s="51">
        <v>20</v>
      </c>
      <c r="V7" s="51">
        <v>1242.0999999999999</v>
      </c>
      <c r="W7" s="51">
        <f t="shared" si="14"/>
        <v>1139.52</v>
      </c>
      <c r="X7" s="65">
        <f t="shared" si="13"/>
        <v>91.741405683922395</v>
      </c>
    </row>
    <row r="8" spans="1:24">
      <c r="A8" s="5" t="str">
        <f>'Plant loading'!A18</f>
        <v>Crawley</v>
      </c>
      <c r="B8" s="5" t="str">
        <f>'Plant loading'!B18</f>
        <v>PEBCY</v>
      </c>
      <c r="C8" s="5">
        <f>'Plant loading'!E18</f>
        <v>501</v>
      </c>
      <c r="D8" s="10">
        <f>'Plant loading'!H18</f>
        <v>36</v>
      </c>
      <c r="E8" s="5">
        <f t="shared" si="15"/>
        <v>13.916666666666666</v>
      </c>
      <c r="F8" s="5">
        <f t="shared" si="5"/>
        <v>758.45833333333326</v>
      </c>
      <c r="G8" s="17">
        <f t="shared" si="0"/>
        <v>88.516235330546522</v>
      </c>
      <c r="H8">
        <f t="shared" si="1"/>
        <v>30.440084524170928</v>
      </c>
      <c r="I8" s="81">
        <f t="shared" si="6"/>
        <v>29.488859999999999</v>
      </c>
      <c r="J8" s="81">
        <f t="shared" si="7"/>
        <v>0.95122452417092873</v>
      </c>
      <c r="K8" s="523">
        <f t="shared" si="2"/>
        <v>1075.7550339772902</v>
      </c>
      <c r="L8" s="78">
        <f t="shared" si="8"/>
        <v>95</v>
      </c>
      <c r="M8" s="79">
        <f t="shared" si="9"/>
        <v>28.669725000000003</v>
      </c>
      <c r="N8" s="79">
        <f t="shared" si="10"/>
        <v>1.7703595241709245</v>
      </c>
      <c r="O8" s="524">
        <f t="shared" si="3"/>
        <v>2002.1279116372853</v>
      </c>
      <c r="P8" s="76">
        <f t="shared" si="11"/>
        <v>28.123635000000004</v>
      </c>
      <c r="Q8" s="76">
        <f t="shared" si="12"/>
        <v>2.316449524170924</v>
      </c>
      <c r="R8" s="525">
        <f t="shared" si="4"/>
        <v>2619.7098300772846</v>
      </c>
      <c r="T8" s="51">
        <v>56.945999999999998</v>
      </c>
      <c r="U8" s="51">
        <v>25.006</v>
      </c>
      <c r="V8" s="51">
        <v>1541</v>
      </c>
      <c r="W8" s="51">
        <f t="shared" si="14"/>
        <v>1423.9916759999999</v>
      </c>
      <c r="X8" s="65">
        <f t="shared" si="13"/>
        <v>92.406987410772217</v>
      </c>
    </row>
    <row r="9" spans="1:24">
      <c r="A9" s="5" t="str">
        <f>'Plant loading'!A19</f>
        <v>Crawley</v>
      </c>
      <c r="B9" s="5" t="str">
        <f>'Plant loading'!B19</f>
        <v>PECCY</v>
      </c>
      <c r="C9" s="5">
        <f>'Plant loading'!E19</f>
        <v>610</v>
      </c>
      <c r="D9" s="10">
        <f>'Plant loading'!H19</f>
        <v>36</v>
      </c>
      <c r="E9" s="5">
        <f t="shared" si="15"/>
        <v>16.944444444444443</v>
      </c>
      <c r="F9" s="5">
        <f t="shared" si="5"/>
        <v>923.47222222222217</v>
      </c>
      <c r="G9" s="17">
        <f t="shared" si="0"/>
        <v>90.745146605757995</v>
      </c>
      <c r="H9">
        <f t="shared" si="1"/>
        <v>36.321776010915755</v>
      </c>
      <c r="I9" s="81">
        <f t="shared" si="6"/>
        <v>35.904600000000009</v>
      </c>
      <c r="J9" s="81">
        <f t="shared" si="7"/>
        <v>0.41717601091574608</v>
      </c>
      <c r="K9" s="523">
        <f t="shared" si="2"/>
        <v>471.79102556079187</v>
      </c>
      <c r="L9" s="78">
        <f t="shared" si="8"/>
        <v>95.5</v>
      </c>
      <c r="M9" s="79">
        <f t="shared" si="9"/>
        <v>34.741024999999993</v>
      </c>
      <c r="N9" s="79">
        <f t="shared" si="10"/>
        <v>1.5807510109157619</v>
      </c>
      <c r="O9" s="524">
        <f t="shared" si="3"/>
        <v>1787.6966102608096</v>
      </c>
      <c r="P9" s="76">
        <f t="shared" si="11"/>
        <v>34.242350000000002</v>
      </c>
      <c r="Q9" s="76">
        <f t="shared" si="12"/>
        <v>2.0794260109157534</v>
      </c>
      <c r="R9" s="525">
        <f t="shared" si="4"/>
        <v>2351.6561465607997</v>
      </c>
      <c r="T9" s="51">
        <v>56.929000000000002</v>
      </c>
      <c r="U9" s="51">
        <v>30.01</v>
      </c>
      <c r="V9" s="51">
        <v>1852.4</v>
      </c>
      <c r="W9" s="51">
        <f t="shared" si="14"/>
        <v>1708.4392900000003</v>
      </c>
      <c r="X9" s="65">
        <f t="shared" si="13"/>
        <v>92.228422047074076</v>
      </c>
    </row>
    <row r="10" spans="1:24">
      <c r="A10" s="5" t="str">
        <f>'Plant loading'!A20</f>
        <v>Crawley</v>
      </c>
      <c r="B10" s="5" t="str">
        <f>'Plant loading'!B20</f>
        <v>PEDCY</v>
      </c>
      <c r="C10" s="5">
        <f>'Plant loading'!E20</f>
        <v>475</v>
      </c>
      <c r="D10" s="10">
        <f>'Plant loading'!H20</f>
        <v>36</v>
      </c>
      <c r="E10" s="5">
        <f t="shared" si="15"/>
        <v>13.194444444444445</v>
      </c>
      <c r="F10" s="5">
        <f t="shared" si="5"/>
        <v>719.09722222222229</v>
      </c>
      <c r="G10" s="17">
        <f t="shared" si="0"/>
        <v>88.516235330546522</v>
      </c>
      <c r="H10">
        <f t="shared" si="1"/>
        <v>28.860359578804772</v>
      </c>
      <c r="I10" s="81">
        <f t="shared" si="6"/>
        <v>27.958500000000004</v>
      </c>
      <c r="J10" s="81">
        <f t="shared" si="7"/>
        <v>0.90185957880476764</v>
      </c>
      <c r="K10" s="523">
        <f t="shared" si="2"/>
        <v>1019.9274274235725</v>
      </c>
      <c r="L10" s="78">
        <f t="shared" si="8"/>
        <v>95</v>
      </c>
      <c r="M10" s="79">
        <f t="shared" si="9"/>
        <v>27.181875000000002</v>
      </c>
      <c r="N10" s="79">
        <f t="shared" si="10"/>
        <v>1.6784845788047704</v>
      </c>
      <c r="O10" s="524">
        <f t="shared" si="3"/>
        <v>1898.2250659235756</v>
      </c>
      <c r="P10" s="76">
        <f t="shared" si="11"/>
        <v>26.664124999999999</v>
      </c>
      <c r="Q10" s="76">
        <f t="shared" si="12"/>
        <v>2.1962345788047735</v>
      </c>
      <c r="R10" s="525">
        <f t="shared" si="4"/>
        <v>2483.7568249235792</v>
      </c>
      <c r="T10" s="51">
        <v>56.917000000000002</v>
      </c>
      <c r="U10" s="51">
        <v>35.073999999999998</v>
      </c>
      <c r="V10" s="51">
        <v>2166</v>
      </c>
      <c r="W10" s="51">
        <f t="shared" si="14"/>
        <v>1996.3068579999999</v>
      </c>
      <c r="X10" s="65">
        <f t="shared" si="13"/>
        <v>92.165598245614021</v>
      </c>
    </row>
    <row r="11" spans="1:24">
      <c r="A11" s="5" t="str">
        <f>'Plant loading'!A21</f>
        <v>Crawley</v>
      </c>
      <c r="B11" s="5" t="str">
        <f>'Plant loading'!B21</f>
        <v>PEECY</v>
      </c>
      <c r="C11" s="5">
        <f>'Plant loading'!E21</f>
        <v>355</v>
      </c>
      <c r="D11" s="10">
        <f>'Plant loading'!H21</f>
        <v>36</v>
      </c>
      <c r="E11" s="5">
        <f t="shared" si="15"/>
        <v>9.8611111111111107</v>
      </c>
      <c r="F11" s="5">
        <f t="shared" si="5"/>
        <v>537.43055555555554</v>
      </c>
      <c r="G11" s="17">
        <f t="shared" si="0"/>
        <v>82.073224256292889</v>
      </c>
      <c r="H11">
        <f t="shared" si="1"/>
        <v>22.815882937013733</v>
      </c>
      <c r="I11" s="81">
        <f t="shared" si="6"/>
        <v>20.895300000000002</v>
      </c>
      <c r="J11" s="81">
        <f t="shared" si="7"/>
        <v>1.9205829370137302</v>
      </c>
      <c r="K11" s="523">
        <f t="shared" si="2"/>
        <v>2172.0179727958193</v>
      </c>
      <c r="L11" s="78">
        <f t="shared" si="8"/>
        <v>93</v>
      </c>
      <c r="M11" s="79">
        <f t="shared" si="9"/>
        <v>20.701824999999996</v>
      </c>
      <c r="N11" s="79">
        <f t="shared" si="10"/>
        <v>2.1140579370137367</v>
      </c>
      <c r="O11" s="524">
        <f t="shared" si="3"/>
        <v>2390.821945895827</v>
      </c>
      <c r="P11" s="76">
        <f t="shared" si="11"/>
        <v>19.927924999999998</v>
      </c>
      <c r="Q11" s="76">
        <f t="shared" si="12"/>
        <v>2.8879579370137343</v>
      </c>
      <c r="R11" s="525">
        <f t="shared" si="4"/>
        <v>3266.0378382958243</v>
      </c>
      <c r="T11" s="51">
        <v>56.9</v>
      </c>
      <c r="U11" s="51">
        <v>40.103000000000002</v>
      </c>
      <c r="V11" s="51">
        <v>2477</v>
      </c>
      <c r="W11" s="51">
        <f t="shared" si="14"/>
        <v>2281.8607000000002</v>
      </c>
      <c r="X11" s="65">
        <f t="shared" si="13"/>
        <v>92.121949939442871</v>
      </c>
    </row>
    <row r="12" spans="1:24">
      <c r="A12" s="5" t="str">
        <f>'Plant loading'!A22</f>
        <v>Edinburgh</v>
      </c>
      <c r="B12" s="5" t="str">
        <f>'Plant loading'!B22</f>
        <v>PECEH</v>
      </c>
      <c r="C12" s="5">
        <f>'Plant loading'!E22</f>
        <v>852</v>
      </c>
      <c r="D12" s="10">
        <f>'Plant loading'!H22</f>
        <v>36</v>
      </c>
      <c r="E12" s="5">
        <f t="shared" si="15"/>
        <v>23.666666666666668</v>
      </c>
      <c r="F12" s="5">
        <f t="shared" si="5"/>
        <v>1289.8333333333335</v>
      </c>
      <c r="G12" s="17">
        <f t="shared" si="0"/>
        <v>91.741405683922395</v>
      </c>
      <c r="H12">
        <f t="shared" si="1"/>
        <v>50.268795684727479</v>
      </c>
      <c r="I12" s="81">
        <f t="shared" si="6"/>
        <v>50.148720000000004</v>
      </c>
      <c r="J12" s="81">
        <f t="shared" si="7"/>
        <v>0.12007568472747465</v>
      </c>
      <c r="K12" s="523">
        <f t="shared" si="2"/>
        <v>135.79551306925671</v>
      </c>
      <c r="L12" s="78">
        <f t="shared" si="8"/>
        <v>96</v>
      </c>
      <c r="M12" s="79">
        <f t="shared" si="9"/>
        <v>48.291359999999997</v>
      </c>
      <c r="N12" s="79">
        <f t="shared" si="10"/>
        <v>1.9774356847274817</v>
      </c>
      <c r="O12" s="524">
        <f t="shared" si="3"/>
        <v>2236.3136548292646</v>
      </c>
      <c r="P12" s="76">
        <f t="shared" si="11"/>
        <v>47.827020000000005</v>
      </c>
      <c r="Q12" s="76">
        <f t="shared" si="12"/>
        <v>2.4417756847274745</v>
      </c>
      <c r="R12" s="525">
        <f t="shared" si="4"/>
        <v>2761.4431902692563</v>
      </c>
      <c r="T12" s="51">
        <v>56.881</v>
      </c>
      <c r="U12" s="51">
        <v>45.073</v>
      </c>
      <c r="V12" s="51">
        <v>2788</v>
      </c>
      <c r="W12" s="51">
        <f t="shared" si="14"/>
        <v>2563.797313</v>
      </c>
      <c r="X12" s="65">
        <f t="shared" si="13"/>
        <v>91.958296736011476</v>
      </c>
    </row>
    <row r="13" spans="1:24">
      <c r="A13" s="5" t="str">
        <f>'Plant loading'!A23</f>
        <v>Edinburgh</v>
      </c>
      <c r="B13" s="5" t="str">
        <f>'Plant loading'!B23</f>
        <v>PEDEH</v>
      </c>
      <c r="C13" s="5">
        <f>'Plant loading'!E23</f>
        <v>912</v>
      </c>
      <c r="D13" s="10">
        <f>'Plant loading'!H23</f>
        <v>36</v>
      </c>
      <c r="E13" s="5">
        <f t="shared" si="15"/>
        <v>25.333333333333332</v>
      </c>
      <c r="F13" s="5">
        <f t="shared" si="5"/>
        <v>1380.6666666666665</v>
      </c>
      <c r="G13" s="17">
        <f t="shared" si="0"/>
        <v>91.741405683922395</v>
      </c>
      <c r="H13">
        <f t="shared" si="1"/>
        <v>53.80885171886321</v>
      </c>
      <c r="I13" s="81">
        <f t="shared" si="6"/>
        <v>53.680320000000009</v>
      </c>
      <c r="J13" s="81">
        <f t="shared" si="7"/>
        <v>0.12853171886320069</v>
      </c>
      <c r="K13" s="523">
        <f t="shared" si="2"/>
        <v>145.35857736989547</v>
      </c>
      <c r="L13" s="78">
        <f t="shared" si="8"/>
        <v>96</v>
      </c>
      <c r="M13" s="79">
        <f t="shared" si="9"/>
        <v>51.692160000000001</v>
      </c>
      <c r="N13" s="79">
        <f t="shared" si="10"/>
        <v>2.1166917188632084</v>
      </c>
      <c r="O13" s="524">
        <f t="shared" si="3"/>
        <v>2393.8005319299041</v>
      </c>
      <c r="P13" s="76">
        <f t="shared" si="11"/>
        <v>51.195120000000003</v>
      </c>
      <c r="Q13" s="76">
        <f t="shared" si="12"/>
        <v>2.6137317188632068</v>
      </c>
      <c r="R13" s="525">
        <f t="shared" si="4"/>
        <v>2955.9110205699021</v>
      </c>
      <c r="T13" s="51">
        <v>56.860999999999997</v>
      </c>
      <c r="U13" s="51">
        <v>50.098999999999997</v>
      </c>
      <c r="V13" s="51">
        <v>3105</v>
      </c>
      <c r="W13" s="51">
        <f t="shared" si="14"/>
        <v>2848.6792389999996</v>
      </c>
      <c r="X13" s="65">
        <f t="shared" si="13"/>
        <v>91.744903027375187</v>
      </c>
    </row>
    <row r="14" spans="1:24">
      <c r="A14" s="5" t="str">
        <f>'Plant loading'!A24</f>
        <v>Edinburgh</v>
      </c>
      <c r="B14" s="5" t="str">
        <f>'Plant loading'!B24</f>
        <v>PEEEH</v>
      </c>
      <c r="C14" s="5">
        <f>'Plant loading'!E24</f>
        <v>881</v>
      </c>
      <c r="D14" s="10">
        <f>'Plant loading'!H24</f>
        <v>36</v>
      </c>
      <c r="E14" s="5">
        <f t="shared" si="15"/>
        <v>24.472222222222221</v>
      </c>
      <c r="F14" s="5">
        <f t="shared" si="5"/>
        <v>1333.7361111111111</v>
      </c>
      <c r="G14" s="17">
        <f t="shared" si="0"/>
        <v>91.741405683922395</v>
      </c>
      <c r="H14">
        <f t="shared" si="1"/>
        <v>51.979822767893083</v>
      </c>
      <c r="I14" s="81">
        <f t="shared" si="6"/>
        <v>51.85566</v>
      </c>
      <c r="J14" s="81">
        <f t="shared" si="7"/>
        <v>0.12416276789308256</v>
      </c>
      <c r="K14" s="523">
        <f t="shared" si="2"/>
        <v>140.41766081457334</v>
      </c>
      <c r="L14" s="78">
        <f t="shared" si="8"/>
        <v>96</v>
      </c>
      <c r="M14" s="79">
        <f t="shared" si="9"/>
        <v>49.935079999999999</v>
      </c>
      <c r="N14" s="79">
        <f t="shared" si="10"/>
        <v>2.0447427678930836</v>
      </c>
      <c r="O14" s="524">
        <f t="shared" si="3"/>
        <v>2312.4323120945746</v>
      </c>
      <c r="P14" s="76">
        <f t="shared" si="11"/>
        <v>49.454934999999999</v>
      </c>
      <c r="Q14" s="76">
        <f t="shared" si="12"/>
        <v>2.5248877678930839</v>
      </c>
      <c r="R14" s="525">
        <f t="shared" si="4"/>
        <v>2855.4359749145747</v>
      </c>
      <c r="T14" s="51">
        <v>56.83</v>
      </c>
      <c r="U14" s="51">
        <v>56.155999999999999</v>
      </c>
      <c r="V14" s="51">
        <v>3496</v>
      </c>
      <c r="W14" s="51">
        <f t="shared" si="14"/>
        <v>3191.34548</v>
      </c>
      <c r="X14" s="65">
        <f t="shared" si="13"/>
        <v>91.285625858123566</v>
      </c>
    </row>
    <row r="15" spans="1:24">
      <c r="A15" s="5" t="str">
        <f>'Plant loading'!A25</f>
        <v>Edinburgh</v>
      </c>
      <c r="B15" s="5" t="str">
        <f>'Plant loading'!B25</f>
        <v>PEFEH</v>
      </c>
      <c r="C15" s="5">
        <f>'Plant loading'!E25</f>
        <v>830</v>
      </c>
      <c r="D15" s="10">
        <f>'Plant loading'!H25</f>
        <v>36</v>
      </c>
      <c r="E15" s="5">
        <f t="shared" si="15"/>
        <v>23.055555555555557</v>
      </c>
      <c r="F15" s="5">
        <f t="shared" si="5"/>
        <v>1256.5277777777778</v>
      </c>
      <c r="G15" s="17">
        <f t="shared" si="0"/>
        <v>91.741405683922395</v>
      </c>
      <c r="H15">
        <f t="shared" si="1"/>
        <v>48.970775138877706</v>
      </c>
      <c r="I15" s="81">
        <f t="shared" si="6"/>
        <v>48.8538</v>
      </c>
      <c r="J15" s="81">
        <f t="shared" si="7"/>
        <v>0.11697513887770583</v>
      </c>
      <c r="K15" s="523">
        <f t="shared" si="2"/>
        <v>132.28905615901957</v>
      </c>
      <c r="L15" s="78">
        <f t="shared" si="8"/>
        <v>96</v>
      </c>
      <c r="M15" s="79">
        <f t="shared" si="9"/>
        <v>47.044400000000003</v>
      </c>
      <c r="N15" s="79">
        <f t="shared" si="10"/>
        <v>1.9263751388777024</v>
      </c>
      <c r="O15" s="524">
        <f t="shared" si="3"/>
        <v>2178.5684665590156</v>
      </c>
      <c r="P15" s="76">
        <f t="shared" si="11"/>
        <v>46.59205</v>
      </c>
      <c r="Q15" s="76">
        <f t="shared" si="12"/>
        <v>2.3787251388777051</v>
      </c>
      <c r="R15" s="525">
        <f t="shared" si="4"/>
        <v>2690.1383191590189</v>
      </c>
    </row>
    <row r="16" spans="1:24">
      <c r="A16" s="66" t="str">
        <f>'Plant loading'!A26</f>
        <v>Edinburgh</v>
      </c>
      <c r="B16" s="66" t="str">
        <f>'Plant loading'!B26</f>
        <v>PEGEH</v>
      </c>
      <c r="C16" s="66">
        <f>'Plant loading'!E26</f>
        <v>965</v>
      </c>
      <c r="D16" s="67">
        <f>'Plant loading'!H26</f>
        <v>36</v>
      </c>
      <c r="E16" s="66">
        <f t="shared" si="15"/>
        <v>26.805555555555557</v>
      </c>
      <c r="F16" s="66">
        <f t="shared" si="5"/>
        <v>1460.9027777777778</v>
      </c>
      <c r="G16" s="68">
        <f t="shared" si="0"/>
        <v>92.406987410772217</v>
      </c>
      <c r="H16" s="69">
        <v>0</v>
      </c>
      <c r="I16" s="81">
        <v>0</v>
      </c>
      <c r="J16" s="81">
        <f t="shared" si="7"/>
        <v>0</v>
      </c>
      <c r="K16" s="523">
        <f t="shared" si="2"/>
        <v>0</v>
      </c>
      <c r="L16" s="78">
        <f t="shared" si="8"/>
        <v>97</v>
      </c>
      <c r="M16" s="79">
        <v>0</v>
      </c>
      <c r="N16" s="79">
        <f t="shared" si="10"/>
        <v>0</v>
      </c>
      <c r="O16" s="524">
        <f t="shared" si="3"/>
        <v>0</v>
      </c>
      <c r="P16" s="76">
        <v>0</v>
      </c>
      <c r="Q16" s="76">
        <f t="shared" si="12"/>
        <v>0</v>
      </c>
      <c r="R16" s="525">
        <f t="shared" si="4"/>
        <v>0</v>
      </c>
    </row>
    <row r="17" spans="1:24">
      <c r="A17" s="5" t="str">
        <f>'Plant loading'!A28</f>
        <v>Esher</v>
      </c>
      <c r="B17" s="5" t="str">
        <f>'Plant loading'!B28</f>
        <v>PEDER</v>
      </c>
      <c r="C17" s="5">
        <f>'Plant loading'!E28</f>
        <v>420</v>
      </c>
      <c r="D17" s="10">
        <f>'Plant loading'!H28</f>
        <v>36</v>
      </c>
      <c r="E17" s="5">
        <f t="shared" si="15"/>
        <v>11.666666666666666</v>
      </c>
      <c r="F17" s="5">
        <f t="shared" si="5"/>
        <v>635.83333333333326</v>
      </c>
      <c r="G17" s="17">
        <f t="shared" si="0"/>
        <v>88.516235330546522</v>
      </c>
      <c r="H17">
        <f t="shared" ref="H17:H23" si="16">((($D17*$E17)*54.5)*(1+(1-(G17/100)))/1000)</f>
        <v>25.518633732837905</v>
      </c>
      <c r="I17" s="81">
        <f t="shared" si="6"/>
        <v>24.7212</v>
      </c>
      <c r="J17" s="81">
        <f t="shared" si="7"/>
        <v>0.79743373283790575</v>
      </c>
      <c r="K17" s="523">
        <f t="shared" si="2"/>
        <v>901.83056740611289</v>
      </c>
      <c r="L17" s="78">
        <f t="shared" si="8"/>
        <v>93</v>
      </c>
      <c r="M17" s="79">
        <f t="shared" si="9"/>
        <v>24.492299999999997</v>
      </c>
      <c r="N17" s="79">
        <f t="shared" si="10"/>
        <v>1.0263337328379087</v>
      </c>
      <c r="O17" s="524">
        <f t="shared" si="3"/>
        <v>1160.6972398061164</v>
      </c>
      <c r="P17" s="76">
        <f t="shared" si="11"/>
        <v>23.576700000000002</v>
      </c>
      <c r="Q17" s="76">
        <f t="shared" si="12"/>
        <v>1.9419337328379029</v>
      </c>
      <c r="R17" s="525">
        <f t="shared" si="4"/>
        <v>2196.1639294061097</v>
      </c>
    </row>
    <row r="18" spans="1:24">
      <c r="A18" s="5" t="str">
        <f>'Plant loading'!A29</f>
        <v>Esher</v>
      </c>
      <c r="B18" s="5" t="str">
        <f>'Plant loading'!B29</f>
        <v>PEEER</v>
      </c>
      <c r="C18" s="5">
        <f>'Plant loading'!E29</f>
        <v>347</v>
      </c>
      <c r="D18" s="10">
        <f>'Plant loading'!H29</f>
        <v>36</v>
      </c>
      <c r="E18" s="5">
        <f t="shared" si="15"/>
        <v>9.6388888888888893</v>
      </c>
      <c r="F18" s="5">
        <f t="shared" si="5"/>
        <v>525.31944444444446</v>
      </c>
      <c r="G18" s="17">
        <f t="shared" si="0"/>
        <v>82.073224256292889</v>
      </c>
      <c r="H18">
        <f t="shared" si="16"/>
        <v>22.30172219477117</v>
      </c>
      <c r="I18" s="81">
        <f t="shared" si="6"/>
        <v>20.424420000000001</v>
      </c>
      <c r="J18" s="81">
        <f t="shared" si="7"/>
        <v>1.8773021947711683</v>
      </c>
      <c r="K18" s="523">
        <f t="shared" si="2"/>
        <v>2123.0710889018305</v>
      </c>
      <c r="L18" s="78">
        <f t="shared" si="8"/>
        <v>93</v>
      </c>
      <c r="M18" s="79">
        <f t="shared" si="9"/>
        <v>20.235304999999997</v>
      </c>
      <c r="N18" s="79">
        <f t="shared" si="10"/>
        <v>2.0664171947711729</v>
      </c>
      <c r="O18" s="524">
        <f t="shared" si="3"/>
        <v>2336.9442682418357</v>
      </c>
      <c r="P18" s="76">
        <f t="shared" si="11"/>
        <v>19.478845</v>
      </c>
      <c r="Q18" s="76">
        <f t="shared" si="12"/>
        <v>2.8228771947711699</v>
      </c>
      <c r="R18" s="525">
        <f t="shared" si="4"/>
        <v>3192.4369856018325</v>
      </c>
      <c r="U18" s="347" t="s">
        <v>1507</v>
      </c>
      <c r="V18" s="113">
        <v>0.12909999999999999</v>
      </c>
    </row>
    <row r="19" spans="1:24">
      <c r="A19" s="5" t="str">
        <f>'Plant loading'!A30</f>
        <v>Esher</v>
      </c>
      <c r="B19" s="5" t="str">
        <f>'Plant loading'!B30</f>
        <v>PEFER</v>
      </c>
      <c r="C19" s="5">
        <f>'Plant loading'!E30</f>
        <v>436</v>
      </c>
      <c r="D19" s="10">
        <f>'Plant loading'!H30</f>
        <v>36</v>
      </c>
      <c r="E19" s="5">
        <f t="shared" si="15"/>
        <v>12.111111111111111</v>
      </c>
      <c r="F19" s="5">
        <f t="shared" si="5"/>
        <v>660.05555555555554</v>
      </c>
      <c r="G19" s="17">
        <f t="shared" si="0"/>
        <v>88.516235330546522</v>
      </c>
      <c r="H19">
        <f t="shared" si="16"/>
        <v>26.49077216075554</v>
      </c>
      <c r="I19" s="81">
        <f t="shared" si="6"/>
        <v>25.662960000000002</v>
      </c>
      <c r="J19" s="81">
        <f t="shared" si="7"/>
        <v>0.82781216075553843</v>
      </c>
      <c r="K19" s="523">
        <f t="shared" si="2"/>
        <v>936.18601759301043</v>
      </c>
      <c r="L19" s="78">
        <f t="shared" si="8"/>
        <v>93</v>
      </c>
      <c r="M19" s="79">
        <f t="shared" si="9"/>
        <v>25.425339999999995</v>
      </c>
      <c r="N19" s="79">
        <f t="shared" si="10"/>
        <v>1.0654321607555453</v>
      </c>
      <c r="O19" s="524">
        <f t="shared" si="3"/>
        <v>1204.9142775130181</v>
      </c>
      <c r="P19" s="76">
        <f t="shared" si="11"/>
        <v>24.47486</v>
      </c>
      <c r="Q19" s="76">
        <f t="shared" si="12"/>
        <v>2.0159121607555406</v>
      </c>
      <c r="R19" s="525">
        <f t="shared" si="4"/>
        <v>2279.8273171930132</v>
      </c>
    </row>
    <row r="20" spans="1:24">
      <c r="A20" s="5" t="str">
        <f>'Plant loading'!A31</f>
        <v>Esher</v>
      </c>
      <c r="B20" s="5" t="str">
        <f>'Plant loading'!B31</f>
        <v>PEGER</v>
      </c>
      <c r="C20" s="5">
        <f>'Plant loading'!E31</f>
        <v>312</v>
      </c>
      <c r="D20" s="10">
        <f>'Plant loading'!H31</f>
        <v>36</v>
      </c>
      <c r="E20" s="5">
        <f t="shared" si="15"/>
        <v>8.6666666666666661</v>
      </c>
      <c r="F20" s="5">
        <f t="shared" si="5"/>
        <v>472.33333333333331</v>
      </c>
      <c r="G20" s="17">
        <f t="shared" si="0"/>
        <v>82.073224256292889</v>
      </c>
      <c r="H20">
        <f t="shared" si="16"/>
        <v>20.052268947459957</v>
      </c>
      <c r="I20" s="81">
        <f t="shared" si="6"/>
        <v>18.364319999999999</v>
      </c>
      <c r="J20" s="81">
        <f t="shared" si="7"/>
        <v>1.687948947459958</v>
      </c>
      <c r="K20" s="523">
        <f t="shared" si="2"/>
        <v>1908.9284718656259</v>
      </c>
      <c r="L20" s="78">
        <f t="shared" si="8"/>
        <v>91</v>
      </c>
      <c r="M20" s="79">
        <f t="shared" si="9"/>
        <v>18.534359999999996</v>
      </c>
      <c r="N20" s="79">
        <f t="shared" si="10"/>
        <v>1.5179089474599614</v>
      </c>
      <c r="O20" s="524">
        <f t="shared" si="3"/>
        <v>1716.6275152256296</v>
      </c>
      <c r="P20" s="76">
        <f t="shared" si="11"/>
        <v>17.514119999999998</v>
      </c>
      <c r="Q20" s="76">
        <f t="shared" si="12"/>
        <v>2.538148947459959</v>
      </c>
      <c r="R20" s="525">
        <f t="shared" si="4"/>
        <v>2870.4332550656268</v>
      </c>
    </row>
    <row r="21" spans="1:24">
      <c r="A21" s="5" t="str">
        <f>'Plant loading'!A32</f>
        <v>Gloucester</v>
      </c>
      <c r="B21" s="5" t="str">
        <f>'Plant loading'!B32</f>
        <v>PEAGR</v>
      </c>
      <c r="C21" s="5">
        <f>'Plant loading'!E32</f>
        <v>646</v>
      </c>
      <c r="D21" s="10">
        <f>'Plant loading'!H32</f>
        <v>36</v>
      </c>
      <c r="E21" s="5">
        <f t="shared" si="15"/>
        <v>17.944444444444443</v>
      </c>
      <c r="F21" s="5">
        <f t="shared" si="5"/>
        <v>977.97222222222217</v>
      </c>
      <c r="G21" s="17">
        <f t="shared" si="0"/>
        <v>90.745146605757995</v>
      </c>
      <c r="H21">
        <f t="shared" si="16"/>
        <v>38.465356234510779</v>
      </c>
      <c r="I21" s="81">
        <f t="shared" si="6"/>
        <v>38.023560000000003</v>
      </c>
      <c r="J21" s="81">
        <f t="shared" si="7"/>
        <v>0.44179623451077532</v>
      </c>
      <c r="K21" s="523">
        <f t="shared" si="2"/>
        <v>499.63443034798797</v>
      </c>
      <c r="L21" s="78">
        <f t="shared" si="8"/>
        <v>95.5</v>
      </c>
      <c r="M21" s="79">
        <f t="shared" si="9"/>
        <v>36.791314999999997</v>
      </c>
      <c r="N21" s="79">
        <f t="shared" si="10"/>
        <v>1.6740412345107814</v>
      </c>
      <c r="O21" s="524">
        <f t="shared" si="3"/>
        <v>1893.2000167679948</v>
      </c>
      <c r="P21" s="76">
        <f t="shared" si="11"/>
        <v>36.263210000000001</v>
      </c>
      <c r="Q21" s="76">
        <f t="shared" si="12"/>
        <v>2.2021462345107778</v>
      </c>
      <c r="R21" s="525">
        <f t="shared" si="4"/>
        <v>2490.4424109479905</v>
      </c>
    </row>
    <row r="22" spans="1:24">
      <c r="A22" s="5" t="str">
        <f>'Plant loading'!A33</f>
        <v>Gloucester</v>
      </c>
      <c r="B22" s="5" t="str">
        <f>'Plant loading'!B33</f>
        <v>PEBGR</v>
      </c>
      <c r="C22" s="5">
        <f>'Plant loading'!E33</f>
        <v>765</v>
      </c>
      <c r="D22" s="10">
        <f>'Plant loading'!H33</f>
        <v>36</v>
      </c>
      <c r="E22" s="5">
        <f t="shared" si="15"/>
        <v>21.25</v>
      </c>
      <c r="F22" s="5">
        <f t="shared" si="5"/>
        <v>1158.125</v>
      </c>
      <c r="G22" s="17">
        <f t="shared" si="0"/>
        <v>91.741405683922395</v>
      </c>
      <c r="H22">
        <f t="shared" si="16"/>
        <v>45.135714435230653</v>
      </c>
      <c r="I22" s="81">
        <f t="shared" si="6"/>
        <v>45.027900000000002</v>
      </c>
      <c r="J22" s="81">
        <f t="shared" si="7"/>
        <v>0.10781443523065093</v>
      </c>
      <c r="K22" s="523">
        <f t="shared" si="2"/>
        <v>121.92906983330681</v>
      </c>
      <c r="L22" s="78">
        <f t="shared" si="8"/>
        <v>96</v>
      </c>
      <c r="M22" s="79">
        <f t="shared" si="9"/>
        <v>43.360200000000006</v>
      </c>
      <c r="N22" s="79">
        <f t="shared" si="10"/>
        <v>1.7755144352306473</v>
      </c>
      <c r="O22" s="524">
        <f t="shared" si="3"/>
        <v>2007.9576830333028</v>
      </c>
      <c r="P22" s="76">
        <f t="shared" si="11"/>
        <v>42.943275</v>
      </c>
      <c r="Q22" s="76">
        <f t="shared" si="12"/>
        <v>2.1924394352306535</v>
      </c>
      <c r="R22" s="525">
        <f t="shared" si="4"/>
        <v>2479.4648363333094</v>
      </c>
    </row>
    <row r="23" spans="1:24">
      <c r="A23" s="5" t="str">
        <f>'Plant loading'!A34</f>
        <v>Gloucester</v>
      </c>
      <c r="B23" s="5" t="str">
        <f>'Plant loading'!B34</f>
        <v>PECGR</v>
      </c>
      <c r="C23" s="5">
        <f>'Plant loading'!E34</f>
        <v>716</v>
      </c>
      <c r="D23" s="10">
        <f>'Plant loading'!H34</f>
        <v>36</v>
      </c>
      <c r="E23" s="5">
        <f t="shared" si="15"/>
        <v>19.888888888888889</v>
      </c>
      <c r="F23" s="5">
        <f t="shared" si="5"/>
        <v>1083.9444444444446</v>
      </c>
      <c r="G23" s="17">
        <f t="shared" si="0"/>
        <v>90.745146605757995</v>
      </c>
      <c r="H23">
        <f t="shared" si="16"/>
        <v>42.633428891501111</v>
      </c>
      <c r="I23" s="81">
        <f t="shared" si="6"/>
        <v>42.14376</v>
      </c>
      <c r="J23" s="81">
        <f t="shared" si="7"/>
        <v>0.48966889150111115</v>
      </c>
      <c r="K23" s="523">
        <f t="shared" si="2"/>
        <v>553.77438410087063</v>
      </c>
      <c r="L23" s="78">
        <f t="shared" si="8"/>
        <v>96</v>
      </c>
      <c r="M23" s="79">
        <f t="shared" si="9"/>
        <v>40.582880000000003</v>
      </c>
      <c r="N23" s="79">
        <f t="shared" si="10"/>
        <v>2.0505488915011085</v>
      </c>
      <c r="O23" s="524">
        <f t="shared" si="3"/>
        <v>2318.9985501808674</v>
      </c>
      <c r="P23" s="76">
        <f t="shared" si="11"/>
        <v>40.192660000000004</v>
      </c>
      <c r="Q23" s="76">
        <f t="shared" si="12"/>
        <v>2.4407688915011079</v>
      </c>
      <c r="R23" s="525">
        <f t="shared" si="4"/>
        <v>2760.3045917008667</v>
      </c>
    </row>
    <row r="24" spans="1:24">
      <c r="A24" s="66" t="str">
        <f>'Plant loading'!A35</f>
        <v>Gloucester</v>
      </c>
      <c r="B24" s="66" t="str">
        <f>'Plant loading'!B35</f>
        <v>PEDGR</v>
      </c>
      <c r="C24" s="66">
        <f>'Plant loading'!E35</f>
        <v>711</v>
      </c>
      <c r="D24" s="67">
        <f>'Plant loading'!H35</f>
        <v>36</v>
      </c>
      <c r="E24" s="66">
        <f t="shared" si="15"/>
        <v>19.75</v>
      </c>
      <c r="F24" s="66">
        <f t="shared" si="5"/>
        <v>1076.375</v>
      </c>
      <c r="G24" s="68">
        <f t="shared" si="0"/>
        <v>90.745146605757995</v>
      </c>
      <c r="H24" s="69">
        <v>0</v>
      </c>
      <c r="I24" s="81">
        <v>0</v>
      </c>
      <c r="J24" s="81">
        <f t="shared" si="7"/>
        <v>0</v>
      </c>
      <c r="K24" s="523">
        <f t="shared" si="2"/>
        <v>0</v>
      </c>
      <c r="L24" s="78">
        <f t="shared" si="8"/>
        <v>96</v>
      </c>
      <c r="M24" s="79">
        <v>0</v>
      </c>
      <c r="N24" s="79">
        <f t="shared" si="10"/>
        <v>0</v>
      </c>
      <c r="O24" s="524">
        <f t="shared" si="3"/>
        <v>0</v>
      </c>
      <c r="P24" s="76">
        <v>0</v>
      </c>
      <c r="Q24" s="76">
        <f t="shared" si="12"/>
        <v>0</v>
      </c>
      <c r="R24" s="525">
        <f t="shared" si="4"/>
        <v>0</v>
      </c>
    </row>
    <row r="25" spans="1:24">
      <c r="A25" s="5" t="str">
        <f>'Plant loading'!A36</f>
        <v>Gloucester</v>
      </c>
      <c r="B25" s="5" t="str">
        <f>'Plant loading'!B36</f>
        <v>PEEGR</v>
      </c>
      <c r="C25" s="5">
        <f>'Plant loading'!E36</f>
        <v>707</v>
      </c>
      <c r="D25" s="10">
        <f>'Plant loading'!H36</f>
        <v>36</v>
      </c>
      <c r="E25" s="5">
        <f t="shared" si="15"/>
        <v>19.638888888888889</v>
      </c>
      <c r="F25" s="5">
        <f t="shared" si="5"/>
        <v>1070.3194444444446</v>
      </c>
      <c r="G25" s="17">
        <f t="shared" si="0"/>
        <v>90.745146605757995</v>
      </c>
      <c r="H25">
        <f t="shared" ref="H25:H35" si="17">((($D25*$E25)*54.5)*(1+(1-(G25/100)))/1000)</f>
        <v>42.097533835602349</v>
      </c>
      <c r="I25" s="81">
        <f t="shared" si="6"/>
        <v>41.614020000000004</v>
      </c>
      <c r="J25" s="81">
        <f t="shared" si="7"/>
        <v>0.48351383560234495</v>
      </c>
      <c r="K25" s="523">
        <f t="shared" si="2"/>
        <v>546.8135329040615</v>
      </c>
      <c r="L25" s="78">
        <f t="shared" si="8"/>
        <v>96</v>
      </c>
      <c r="M25" s="79">
        <f t="shared" si="9"/>
        <v>40.072760000000002</v>
      </c>
      <c r="N25" s="79">
        <f t="shared" si="10"/>
        <v>2.0247738356023461</v>
      </c>
      <c r="O25" s="524">
        <f t="shared" si="3"/>
        <v>2289.8491270640625</v>
      </c>
      <c r="P25" s="76">
        <f t="shared" si="11"/>
        <v>39.687444999999997</v>
      </c>
      <c r="Q25" s="76">
        <f t="shared" si="12"/>
        <v>2.4100888356023518</v>
      </c>
      <c r="R25" s="525">
        <f t="shared" si="4"/>
        <v>2725.6080256040691</v>
      </c>
    </row>
    <row r="26" spans="1:24">
      <c r="A26" s="5" t="str">
        <f>'Plant loading'!A47</f>
        <v>Kings Cross</v>
      </c>
      <c r="B26" s="5" t="str">
        <f>'Plant loading'!B47</f>
        <v>PEAKS</v>
      </c>
      <c r="C26" s="5">
        <f>'Plant loading'!E47</f>
        <v>243</v>
      </c>
      <c r="D26" s="10">
        <f>'Plant loading'!H47</f>
        <v>24</v>
      </c>
      <c r="E26" s="5">
        <f t="shared" si="15"/>
        <v>10.125</v>
      </c>
      <c r="F26" s="5">
        <f t="shared" si="5"/>
        <v>551.8125</v>
      </c>
      <c r="G26" s="17">
        <f t="shared" si="0"/>
        <v>82.073224256292889</v>
      </c>
      <c r="H26">
        <f t="shared" si="17"/>
        <v>15.617632545617852</v>
      </c>
      <c r="I26" s="81">
        <f t="shared" si="6"/>
        <v>14.302980000000002</v>
      </c>
      <c r="J26" s="81">
        <f t="shared" si="7"/>
        <v>1.3146525456178502</v>
      </c>
      <c r="K26" s="523">
        <f t="shared" si="2"/>
        <v>1486.7615982799566</v>
      </c>
      <c r="L26" s="78">
        <f t="shared" si="8"/>
        <v>93</v>
      </c>
      <c r="M26" s="79">
        <f t="shared" si="9"/>
        <v>14.170544999999999</v>
      </c>
      <c r="N26" s="79">
        <f t="shared" si="10"/>
        <v>1.4470875456178529</v>
      </c>
      <c r="O26" s="524">
        <f t="shared" si="3"/>
        <v>1636.5344587399597</v>
      </c>
      <c r="P26" s="76">
        <f t="shared" si="11"/>
        <v>13.640805</v>
      </c>
      <c r="Q26" s="76">
        <f t="shared" si="12"/>
        <v>1.9768275456178515</v>
      </c>
      <c r="R26" s="525">
        <f t="shared" si="4"/>
        <v>2235.6259005799579</v>
      </c>
    </row>
    <row r="27" spans="1:24">
      <c r="A27" s="5" t="str">
        <f>'Plant loading'!A48</f>
        <v>Kings Cross</v>
      </c>
      <c r="B27" s="5" t="str">
        <f>'Plant loading'!B48</f>
        <v>PEBKS</v>
      </c>
      <c r="C27" s="5">
        <f>'Plant loading'!E48</f>
        <v>328</v>
      </c>
      <c r="D27" s="10">
        <f>'Plant loading'!H48</f>
        <v>30</v>
      </c>
      <c r="E27" s="5">
        <f t="shared" si="15"/>
        <v>10.933333333333334</v>
      </c>
      <c r="F27" s="5">
        <f t="shared" si="5"/>
        <v>595.86666666666667</v>
      </c>
      <c r="G27" s="17">
        <f t="shared" si="0"/>
        <v>88.516235330546522</v>
      </c>
      <c r="H27">
        <f t="shared" si="17"/>
        <v>19.928837772311503</v>
      </c>
      <c r="I27" s="81">
        <f t="shared" si="6"/>
        <v>19.306080000000001</v>
      </c>
      <c r="J27" s="81">
        <f t="shared" si="7"/>
        <v>0.62275777231150187</v>
      </c>
      <c r="K27" s="523">
        <f t="shared" si="2"/>
        <v>704.2867288314344</v>
      </c>
      <c r="L27" s="78">
        <f t="shared" si="8"/>
        <v>93</v>
      </c>
      <c r="M27" s="79">
        <f t="shared" si="9"/>
        <v>19.127319999999997</v>
      </c>
      <c r="N27" s="79">
        <f t="shared" si="10"/>
        <v>0.80151777231150589</v>
      </c>
      <c r="O27" s="524">
        <f t="shared" si="3"/>
        <v>906.44927299143899</v>
      </c>
      <c r="P27" s="76">
        <f t="shared" si="11"/>
        <v>18.412279999999999</v>
      </c>
      <c r="Q27" s="76">
        <f t="shared" si="12"/>
        <v>1.5165577723115042</v>
      </c>
      <c r="R27" s="525">
        <f t="shared" si="4"/>
        <v>1715.099449631437</v>
      </c>
      <c r="U27" s="14" t="s">
        <v>1508</v>
      </c>
    </row>
    <row r="28" spans="1:24">
      <c r="A28" s="5" t="e">
        <f>'Plant loading'!#REF!</f>
        <v>#REF!</v>
      </c>
      <c r="B28" s="5" t="e">
        <f>'Plant loading'!#REF!</f>
        <v>#REF!</v>
      </c>
      <c r="C28" s="5" t="e">
        <f>'Plant loading'!#REF!</f>
        <v>#REF!</v>
      </c>
      <c r="D28" s="10" t="e">
        <f>'Plant loading'!#REF!</f>
        <v>#REF!</v>
      </c>
      <c r="E28" s="5" t="e">
        <f t="shared" si="15"/>
        <v>#REF!</v>
      </c>
      <c r="F28" s="5" t="e">
        <f t="shared" si="5"/>
        <v>#REF!</v>
      </c>
      <c r="G28" s="17" t="e">
        <f t="shared" si="0"/>
        <v>#REF!</v>
      </c>
      <c r="H28" t="e">
        <f t="shared" si="17"/>
        <v>#REF!</v>
      </c>
      <c r="I28" s="81" t="e">
        <f t="shared" si="6"/>
        <v>#REF!</v>
      </c>
      <c r="J28" s="81" t="e">
        <f t="shared" si="7"/>
        <v>#REF!</v>
      </c>
      <c r="K28" s="523" t="e">
        <f t="shared" si="2"/>
        <v>#REF!</v>
      </c>
      <c r="L28" s="78" t="e">
        <f t="shared" si="8"/>
        <v>#REF!</v>
      </c>
      <c r="M28" s="79" t="e">
        <f t="shared" si="9"/>
        <v>#REF!</v>
      </c>
      <c r="N28" s="79" t="e">
        <f t="shared" si="10"/>
        <v>#REF!</v>
      </c>
      <c r="O28" s="524" t="e">
        <f t="shared" si="3"/>
        <v>#REF!</v>
      </c>
      <c r="P28" s="76" t="e">
        <f t="shared" si="11"/>
        <v>#REF!</v>
      </c>
      <c r="Q28" s="76" t="e">
        <f t="shared" si="12"/>
        <v>#REF!</v>
      </c>
      <c r="R28" s="525" t="e">
        <f t="shared" si="4"/>
        <v>#REF!</v>
      </c>
      <c r="U28" s="347" t="s">
        <v>1491</v>
      </c>
      <c r="V28" s="347" t="s">
        <v>1509</v>
      </c>
      <c r="W28" s="347" t="s">
        <v>1510</v>
      </c>
      <c r="X28" s="347" t="s">
        <v>1511</v>
      </c>
    </row>
    <row r="29" spans="1:24">
      <c r="A29" s="5" t="e">
        <f>'Plant loading'!#REF!</f>
        <v>#REF!</v>
      </c>
      <c r="B29" s="5" t="e">
        <f>'Plant loading'!#REF!</f>
        <v>#REF!</v>
      </c>
      <c r="C29" s="5" t="e">
        <f>'Plant loading'!#REF!</f>
        <v>#REF!</v>
      </c>
      <c r="D29" s="10" t="e">
        <f>'Plant loading'!#REF!</f>
        <v>#REF!</v>
      </c>
      <c r="E29" s="5" t="e">
        <f t="shared" si="15"/>
        <v>#REF!</v>
      </c>
      <c r="F29" s="5" t="e">
        <f t="shared" si="5"/>
        <v>#REF!</v>
      </c>
      <c r="G29" s="17" t="e">
        <f t="shared" si="0"/>
        <v>#REF!</v>
      </c>
      <c r="H29" t="e">
        <f t="shared" si="17"/>
        <v>#REF!</v>
      </c>
      <c r="I29" s="81" t="e">
        <f t="shared" si="6"/>
        <v>#REF!</v>
      </c>
      <c r="J29" s="81" t="e">
        <f t="shared" si="7"/>
        <v>#REF!</v>
      </c>
      <c r="K29" s="523" t="e">
        <f t="shared" si="2"/>
        <v>#REF!</v>
      </c>
      <c r="L29" s="78" t="e">
        <f t="shared" si="8"/>
        <v>#REF!</v>
      </c>
      <c r="M29" s="79" t="e">
        <f t="shared" si="9"/>
        <v>#REF!</v>
      </c>
      <c r="N29" s="79" t="e">
        <f t="shared" si="10"/>
        <v>#REF!</v>
      </c>
      <c r="O29" s="524" t="e">
        <f t="shared" si="3"/>
        <v>#REF!</v>
      </c>
      <c r="P29" s="76" t="e">
        <f t="shared" si="11"/>
        <v>#REF!</v>
      </c>
      <c r="Q29" s="76" t="e">
        <f t="shared" si="12"/>
        <v>#REF!</v>
      </c>
      <c r="R29" s="525" t="e">
        <f t="shared" si="4"/>
        <v>#REF!</v>
      </c>
      <c r="U29" s="14" t="e">
        <f>SUM(H2:H56)</f>
        <v>#REF!</v>
      </c>
      <c r="V29" s="14" t="e">
        <f>SUM(I2:I56)</f>
        <v>#REF!</v>
      </c>
      <c r="W29" s="14" t="e">
        <f>SUM(J2:J56)</f>
        <v>#REF!</v>
      </c>
      <c r="X29" s="71" t="e">
        <f>SUM(K2:K56)</f>
        <v>#REF!</v>
      </c>
    </row>
    <row r="30" spans="1:24">
      <c r="A30" s="5" t="str">
        <f>'Plant loading'!A49</f>
        <v>Kings Cross</v>
      </c>
      <c r="B30" s="5" t="str">
        <f>'Plant loading'!B49</f>
        <v>PEEKS</v>
      </c>
      <c r="C30" s="5">
        <f>'Plant loading'!E49</f>
        <v>100</v>
      </c>
      <c r="D30" s="10">
        <f>'Plant loading'!H49</f>
        <v>12</v>
      </c>
      <c r="E30" s="5">
        <f t="shared" si="15"/>
        <v>8.3333333333333339</v>
      </c>
      <c r="F30" s="5">
        <f t="shared" si="5"/>
        <v>454.16666666666669</v>
      </c>
      <c r="G30" s="17">
        <f t="shared" si="0"/>
        <v>82.073224256292889</v>
      </c>
      <c r="H30">
        <f t="shared" si="17"/>
        <v>6.4270092780320374</v>
      </c>
      <c r="I30" s="81">
        <f t="shared" si="6"/>
        <v>5.8860000000000001</v>
      </c>
      <c r="J30" s="81">
        <f t="shared" si="7"/>
        <v>0.54100927803203724</v>
      </c>
      <c r="K30" s="523">
        <f t="shared" si="2"/>
        <v>611.83604867487941</v>
      </c>
      <c r="L30" s="78">
        <f t="shared" si="8"/>
        <v>91</v>
      </c>
      <c r="M30" s="79">
        <f t="shared" si="9"/>
        <v>5.9404999999999992</v>
      </c>
      <c r="N30" s="79">
        <f t="shared" si="10"/>
        <v>0.48650927803203814</v>
      </c>
      <c r="O30" s="524">
        <f t="shared" si="3"/>
        <v>550.20112667488036</v>
      </c>
      <c r="P30" s="76">
        <f t="shared" si="11"/>
        <v>5.6135000000000002</v>
      </c>
      <c r="Q30" s="76">
        <f t="shared" si="12"/>
        <v>0.81350927803203721</v>
      </c>
      <c r="R30" s="525">
        <f t="shared" si="4"/>
        <v>920.01065867487932</v>
      </c>
    </row>
    <row r="31" spans="1:24">
      <c r="A31" s="5" t="str">
        <f>'Plant loading'!A50</f>
        <v>Kings Cross</v>
      </c>
      <c r="B31" s="5" t="str">
        <f>'Plant loading'!B50</f>
        <v>PEIKS</v>
      </c>
      <c r="C31" s="5">
        <f>'Plant loading'!E50</f>
        <v>539</v>
      </c>
      <c r="D31" s="10">
        <f>'Plant loading'!H50</f>
        <v>36</v>
      </c>
      <c r="E31" s="5">
        <f t="shared" si="15"/>
        <v>14.972222222222221</v>
      </c>
      <c r="F31" s="5">
        <f t="shared" si="5"/>
        <v>815.98611111111109</v>
      </c>
      <c r="G31" s="17">
        <f t="shared" si="0"/>
        <v>88.516235330546522</v>
      </c>
      <c r="H31">
        <f t="shared" si="17"/>
        <v>32.748913290475308</v>
      </c>
      <c r="I31" s="81">
        <f t="shared" si="6"/>
        <v>31.725540000000002</v>
      </c>
      <c r="J31" s="81">
        <f t="shared" si="7"/>
        <v>1.0233732904753055</v>
      </c>
      <c r="K31" s="523">
        <f t="shared" si="2"/>
        <v>1157.3492281711706</v>
      </c>
      <c r="L31" s="78">
        <f t="shared" si="8"/>
        <v>95</v>
      </c>
      <c r="M31" s="79">
        <f t="shared" si="9"/>
        <v>30.844275000000003</v>
      </c>
      <c r="N31" s="79">
        <f t="shared" si="10"/>
        <v>1.9046382904753045</v>
      </c>
      <c r="O31" s="524">
        <f t="shared" si="3"/>
        <v>2153.9859169111692</v>
      </c>
      <c r="P31" s="76">
        <f t="shared" si="11"/>
        <v>30.256764999999998</v>
      </c>
      <c r="Q31" s="76">
        <f t="shared" si="12"/>
        <v>2.4921482904753098</v>
      </c>
      <c r="R31" s="525">
        <f t="shared" si="4"/>
        <v>2818.4103760711755</v>
      </c>
      <c r="U31" s="14" t="s">
        <v>1512</v>
      </c>
    </row>
    <row r="32" spans="1:24">
      <c r="A32" s="5" t="str">
        <f>'Plant loading'!A51</f>
        <v>Kings Cross</v>
      </c>
      <c r="B32" s="5" t="str">
        <f>'Plant loading'!B51</f>
        <v>PEJKS</v>
      </c>
      <c r="C32" s="5">
        <f>'Plant loading'!E51</f>
        <v>252</v>
      </c>
      <c r="D32" s="10">
        <f>'Plant loading'!H51</f>
        <v>36</v>
      </c>
      <c r="E32" s="5">
        <f t="shared" si="15"/>
        <v>7</v>
      </c>
      <c r="F32" s="5">
        <f t="shared" si="5"/>
        <v>381.5</v>
      </c>
      <c r="G32" s="17">
        <f t="shared" si="0"/>
        <v>82.073224256292889</v>
      </c>
      <c r="H32">
        <f t="shared" si="17"/>
        <v>16.196063380640734</v>
      </c>
      <c r="I32" s="81">
        <f t="shared" si="6"/>
        <v>14.832720000000002</v>
      </c>
      <c r="J32" s="81">
        <f t="shared" si="7"/>
        <v>1.3633433806407318</v>
      </c>
      <c r="K32" s="523">
        <f t="shared" si="2"/>
        <v>1541.8268426606937</v>
      </c>
      <c r="L32" s="78">
        <f t="shared" si="8"/>
        <v>91</v>
      </c>
      <c r="M32" s="79">
        <f t="shared" si="9"/>
        <v>14.970059999999998</v>
      </c>
      <c r="N32" s="79">
        <f t="shared" si="10"/>
        <v>1.2260033806407353</v>
      </c>
      <c r="O32" s="524">
        <f t="shared" si="3"/>
        <v>1386.5068392206977</v>
      </c>
      <c r="P32" s="76">
        <f t="shared" si="11"/>
        <v>14.14602</v>
      </c>
      <c r="Q32" s="76">
        <f t="shared" si="12"/>
        <v>2.0500433806407337</v>
      </c>
      <c r="R32" s="525">
        <f t="shared" si="4"/>
        <v>2318.4268598606955</v>
      </c>
      <c r="U32" s="347" t="s">
        <v>1491</v>
      </c>
      <c r="V32" s="347" t="s">
        <v>1509</v>
      </c>
      <c r="W32" s="347" t="s">
        <v>1510</v>
      </c>
      <c r="X32" s="347" t="s">
        <v>1511</v>
      </c>
    </row>
    <row r="33" spans="1:28">
      <c r="A33" s="5" t="str">
        <f>'Plant loading'!A52</f>
        <v>Kings Cross</v>
      </c>
      <c r="B33" s="5" t="str">
        <f>'Plant loading'!B52</f>
        <v>PEKKS</v>
      </c>
      <c r="C33" s="5">
        <f>'Plant loading'!E52</f>
        <v>460</v>
      </c>
      <c r="D33" s="10">
        <f>'Plant loading'!H52</f>
        <v>30</v>
      </c>
      <c r="E33" s="5">
        <f t="shared" si="15"/>
        <v>15.333333333333334</v>
      </c>
      <c r="F33" s="5">
        <f t="shared" si="5"/>
        <v>835.66666666666674</v>
      </c>
      <c r="G33" s="17">
        <f t="shared" si="0"/>
        <v>88.516235330546522</v>
      </c>
      <c r="H33">
        <f t="shared" si="17"/>
        <v>27.948979802631992</v>
      </c>
      <c r="I33" s="81">
        <f t="shared" si="6"/>
        <v>27.075600000000001</v>
      </c>
      <c r="J33" s="81">
        <f t="shared" si="7"/>
        <v>0.873379802631991</v>
      </c>
      <c r="K33" s="523">
        <f t="shared" si="2"/>
        <v>987.71919287336073</v>
      </c>
      <c r="L33" s="78">
        <f t="shared" si="8"/>
        <v>95</v>
      </c>
      <c r="M33" s="79">
        <f t="shared" si="9"/>
        <v>26.323499999999999</v>
      </c>
      <c r="N33" s="79">
        <f t="shared" si="10"/>
        <v>1.6254798026319932</v>
      </c>
      <c r="O33" s="524">
        <f t="shared" si="3"/>
        <v>1838.2811164733632</v>
      </c>
      <c r="P33" s="76">
        <f t="shared" si="11"/>
        <v>25.822100000000002</v>
      </c>
      <c r="Q33" s="76">
        <f t="shared" si="12"/>
        <v>2.1268798026319899</v>
      </c>
      <c r="R33" s="525">
        <f t="shared" si="4"/>
        <v>2405.3223988733594</v>
      </c>
      <c r="U33" s="14"/>
      <c r="V33" s="14"/>
      <c r="W33" s="14" t="e">
        <f>SUM(Q2:Q56)</f>
        <v>#REF!</v>
      </c>
      <c r="X33" s="71" t="e">
        <f>SUM(R2:R56)</f>
        <v>#REF!</v>
      </c>
    </row>
    <row r="34" spans="1:28">
      <c r="A34" s="5" t="str">
        <f>'Plant loading'!A53</f>
        <v>Kings Cross</v>
      </c>
      <c r="B34" s="5" t="str">
        <f>'Plant loading'!B53</f>
        <v>PELKS</v>
      </c>
      <c r="C34" s="5">
        <f>'Plant loading'!E53</f>
        <v>161</v>
      </c>
      <c r="D34" s="10">
        <f>'Plant loading'!H53</f>
        <v>24</v>
      </c>
      <c r="E34" s="5">
        <f t="shared" si="15"/>
        <v>6.708333333333333</v>
      </c>
      <c r="F34" s="5">
        <f t="shared" si="5"/>
        <v>365.60416666666663</v>
      </c>
      <c r="G34" s="17">
        <f t="shared" ref="G34:G65" si="18">CHOOSE(MATCH(F34,W$3:W$14,1),X$3,X$4,X$5,X$6,X$7,X$8,X$9,X$10,X$11,X$12,X$13,X$14)</f>
        <v>82.073224256292889</v>
      </c>
      <c r="H34">
        <f t="shared" si="17"/>
        <v>10.347484937631581</v>
      </c>
      <c r="I34" s="81">
        <f t="shared" si="6"/>
        <v>9.4764600000000012</v>
      </c>
      <c r="J34" s="81">
        <f t="shared" si="7"/>
        <v>0.87102493763157973</v>
      </c>
      <c r="K34" s="523">
        <f t="shared" ref="K34:K65" si="19">(J34*24*365)*$V$18</f>
        <v>985.05603836655553</v>
      </c>
      <c r="L34" s="78">
        <f t="shared" si="8"/>
        <v>91</v>
      </c>
      <c r="M34" s="79">
        <f t="shared" si="9"/>
        <v>9.5642049999999976</v>
      </c>
      <c r="N34" s="79">
        <f t="shared" si="10"/>
        <v>0.78327993763158332</v>
      </c>
      <c r="O34" s="524">
        <f t="shared" ref="O34:O56" si="20">(N34*24*365)*$V$18</f>
        <v>885.82381394655965</v>
      </c>
      <c r="P34" s="76">
        <f t="shared" si="11"/>
        <v>9.0377350000000014</v>
      </c>
      <c r="Q34" s="76">
        <f t="shared" si="12"/>
        <v>1.3097499376315795</v>
      </c>
      <c r="R34" s="525">
        <f t="shared" ref="R34:R65" si="21">(Q34*24*365)*$V$18</f>
        <v>1481.2171604665555</v>
      </c>
    </row>
    <row r="35" spans="1:28">
      <c r="A35" s="5" t="str">
        <f>'Plant loading'!A54</f>
        <v>Kings Cross</v>
      </c>
      <c r="B35" s="5" t="str">
        <f>'Plant loading'!B54</f>
        <v>PEMKS</v>
      </c>
      <c r="C35" s="5">
        <f>'Plant loading'!E54</f>
        <v>145</v>
      </c>
      <c r="D35" s="10">
        <f>'Plant loading'!H54</f>
        <v>24</v>
      </c>
      <c r="E35" s="5">
        <f t="shared" si="15"/>
        <v>6.041666666666667</v>
      </c>
      <c r="F35" s="5">
        <f t="shared" si="5"/>
        <v>329.27083333333337</v>
      </c>
      <c r="G35" s="17">
        <f t="shared" si="18"/>
        <v>82.073224256292889</v>
      </c>
      <c r="H35">
        <f t="shared" si="17"/>
        <v>9.3191634531464551</v>
      </c>
      <c r="I35" s="81">
        <f t="shared" si="6"/>
        <v>8.5347000000000008</v>
      </c>
      <c r="J35" s="81">
        <f t="shared" si="7"/>
        <v>0.78446345314645427</v>
      </c>
      <c r="K35" s="523">
        <f t="shared" si="19"/>
        <v>887.16227057857543</v>
      </c>
      <c r="L35" s="78" t="e">
        <f t="shared" si="8"/>
        <v>#N/A</v>
      </c>
      <c r="M35" s="79" t="e">
        <f t="shared" si="9"/>
        <v>#N/A</v>
      </c>
      <c r="N35" s="79" t="e">
        <f t="shared" si="10"/>
        <v>#N/A</v>
      </c>
      <c r="O35" s="524" t="e">
        <f t="shared" si="20"/>
        <v>#N/A</v>
      </c>
      <c r="P35" s="76">
        <f t="shared" si="11"/>
        <v>8.1395750000000007</v>
      </c>
      <c r="Q35" s="76">
        <f t="shared" si="12"/>
        <v>1.1795884531464544</v>
      </c>
      <c r="R35" s="525">
        <f t="shared" si="21"/>
        <v>1334.0154550785755</v>
      </c>
      <c r="U35" s="14" t="s">
        <v>1513</v>
      </c>
    </row>
    <row r="36" spans="1:28">
      <c r="A36" s="66" t="str">
        <f>'Plant loading'!A55</f>
        <v>Kings Cross</v>
      </c>
      <c r="B36" s="66" t="str">
        <f>'Plant loading'!B55</f>
        <v>PENKS</v>
      </c>
      <c r="C36" s="66">
        <f>'Plant loading'!E55</f>
        <v>102</v>
      </c>
      <c r="D36" s="67">
        <f>'Plant loading'!H55</f>
        <v>12</v>
      </c>
      <c r="E36" s="66">
        <f t="shared" si="15"/>
        <v>8.5</v>
      </c>
      <c r="F36" s="66">
        <f t="shared" si="5"/>
        <v>463.25</v>
      </c>
      <c r="G36" s="68">
        <f t="shared" si="18"/>
        <v>82.073224256292889</v>
      </c>
      <c r="H36" s="69">
        <v>0</v>
      </c>
      <c r="I36" s="81">
        <v>0</v>
      </c>
      <c r="J36" s="81">
        <f t="shared" si="7"/>
        <v>0</v>
      </c>
      <c r="K36" s="523">
        <f t="shared" si="19"/>
        <v>0</v>
      </c>
      <c r="L36" s="78">
        <f t="shared" si="8"/>
        <v>91</v>
      </c>
      <c r="M36" s="79">
        <v>0</v>
      </c>
      <c r="N36" s="79">
        <f t="shared" si="10"/>
        <v>0</v>
      </c>
      <c r="O36" s="524">
        <f t="shared" si="20"/>
        <v>0</v>
      </c>
      <c r="P36" s="76">
        <v>0</v>
      </c>
      <c r="Q36" s="76">
        <f t="shared" si="12"/>
        <v>0</v>
      </c>
      <c r="R36" s="525">
        <f t="shared" si="21"/>
        <v>0</v>
      </c>
      <c r="U36" s="347" t="s">
        <v>1491</v>
      </c>
      <c r="V36" s="347"/>
      <c r="W36" s="347" t="s">
        <v>1510</v>
      </c>
      <c r="X36" s="347" t="s">
        <v>1511</v>
      </c>
    </row>
    <row r="37" spans="1:28">
      <c r="A37" s="5" t="str">
        <f>'Plant loading'!A72</f>
        <v>Oldham</v>
      </c>
      <c r="B37" s="5" t="str">
        <f>'Plant loading'!B72</f>
        <v>OLDMTX-DCSYS01</v>
      </c>
      <c r="C37" s="5">
        <f>'Plant loading'!E72</f>
        <v>891</v>
      </c>
      <c r="D37" s="10">
        <f>'Plant loading'!H72</f>
        <v>44</v>
      </c>
      <c r="E37" s="5">
        <f t="shared" si="15"/>
        <v>20.25</v>
      </c>
      <c r="F37" s="5">
        <f t="shared" si="5"/>
        <v>1103.625</v>
      </c>
      <c r="G37" s="17">
        <f t="shared" si="18"/>
        <v>90.745146605757995</v>
      </c>
      <c r="H37">
        <f t="shared" ref="H37:H67" si="22">((($D37*$E37)*54.5)*(1+(1-(G37/100)))/1000)</f>
        <v>53.053610533976943</v>
      </c>
      <c r="I37" s="81">
        <f t="shared" si="6"/>
        <v>52.44426</v>
      </c>
      <c r="J37" s="81">
        <f t="shared" si="7"/>
        <v>0.60935053397694361</v>
      </c>
      <c r="K37" s="523">
        <f t="shared" si="19"/>
        <v>689.12426848306905</v>
      </c>
      <c r="L37" s="78">
        <f t="shared" si="8"/>
        <v>96</v>
      </c>
      <c r="M37" s="79">
        <f t="shared" si="9"/>
        <v>50.501880000000007</v>
      </c>
      <c r="N37" s="79">
        <f t="shared" si="10"/>
        <v>2.5517305339769365</v>
      </c>
      <c r="O37" s="524">
        <f t="shared" si="20"/>
        <v>2885.7928885630608</v>
      </c>
      <c r="P37" s="76">
        <f t="shared" si="11"/>
        <v>50.016285000000003</v>
      </c>
      <c r="Q37" s="76">
        <f t="shared" si="12"/>
        <v>3.0373255339769401</v>
      </c>
      <c r="R37" s="525">
        <f t="shared" si="21"/>
        <v>3434.9600435830648</v>
      </c>
      <c r="U37" s="14" t="e">
        <f>SUM(M2:M56)</f>
        <v>#REF!</v>
      </c>
      <c r="V37" s="14"/>
      <c r="W37" s="14" t="e">
        <f>SUM(N2:N56)</f>
        <v>#REF!</v>
      </c>
      <c r="X37" s="71" t="e">
        <f>SUM(O2:O56)</f>
        <v>#REF!</v>
      </c>
    </row>
    <row r="38" spans="1:28">
      <c r="A38" s="5" t="str">
        <f>'Plant loading'!A73</f>
        <v>Oldham</v>
      </c>
      <c r="B38" s="5" t="str">
        <f>'Plant loading'!B73</f>
        <v>OLDMTX-DCSYS02</v>
      </c>
      <c r="C38" s="5">
        <f>'Plant loading'!E73</f>
        <v>825</v>
      </c>
      <c r="D38" s="10">
        <f>'Plant loading'!H73</f>
        <v>44</v>
      </c>
      <c r="E38" s="5">
        <f t="shared" si="15"/>
        <v>18.75</v>
      </c>
      <c r="F38" s="5">
        <f t="shared" si="5"/>
        <v>1021.875</v>
      </c>
      <c r="G38" s="17">
        <f t="shared" si="18"/>
        <v>90.745146605757995</v>
      </c>
      <c r="H38">
        <f t="shared" si="22"/>
        <v>49.123713457386053</v>
      </c>
      <c r="I38" s="81">
        <f t="shared" si="6"/>
        <v>48.5595</v>
      </c>
      <c r="J38" s="81">
        <f t="shared" si="7"/>
        <v>0.56421345738605311</v>
      </c>
      <c r="K38" s="523">
        <f t="shared" si="19"/>
        <v>638.0780263732056</v>
      </c>
      <c r="L38" s="78">
        <f t="shared" si="8"/>
        <v>95.5</v>
      </c>
      <c r="M38" s="79">
        <f t="shared" si="9"/>
        <v>46.985812500000002</v>
      </c>
      <c r="N38" s="79">
        <f t="shared" si="10"/>
        <v>2.1379009573860515</v>
      </c>
      <c r="O38" s="524">
        <f t="shared" si="20"/>
        <v>2417.7863991232039</v>
      </c>
      <c r="P38" s="76">
        <f t="shared" si="11"/>
        <v>46.311374999999998</v>
      </c>
      <c r="Q38" s="76">
        <f t="shared" si="12"/>
        <v>2.8123384573860548</v>
      </c>
      <c r="R38" s="525">
        <f t="shared" si="21"/>
        <v>3180.5185588732074</v>
      </c>
    </row>
    <row r="39" spans="1:28">
      <c r="A39" s="5" t="str">
        <f>'Plant loading'!A74</f>
        <v>Oldham</v>
      </c>
      <c r="B39" s="5" t="str">
        <f>'Plant loading'!B74</f>
        <v>OLDMTX-DCSYS03</v>
      </c>
      <c r="C39" s="5">
        <f>'Plant loading'!E74</f>
        <v>817</v>
      </c>
      <c r="D39" s="10">
        <f>'Plant loading'!H74</f>
        <v>44</v>
      </c>
      <c r="E39" s="5">
        <f t="shared" si="15"/>
        <v>18.568181818181817</v>
      </c>
      <c r="F39" s="5">
        <f t="shared" si="5"/>
        <v>1011.965909090909</v>
      </c>
      <c r="G39" s="17">
        <f t="shared" si="18"/>
        <v>90.745146605757995</v>
      </c>
      <c r="H39">
        <f t="shared" si="22"/>
        <v>48.647362296587154</v>
      </c>
      <c r="I39" s="81">
        <f t="shared" si="6"/>
        <v>48.088619999999999</v>
      </c>
      <c r="J39" s="81">
        <f t="shared" si="7"/>
        <v>0.55874229658715535</v>
      </c>
      <c r="K39" s="523">
        <f t="shared" si="19"/>
        <v>631.89060308715932</v>
      </c>
      <c r="L39" s="78">
        <f t="shared" si="8"/>
        <v>95.5</v>
      </c>
      <c r="M39" s="79">
        <f t="shared" si="9"/>
        <v>46.530192499999991</v>
      </c>
      <c r="N39" s="79">
        <f t="shared" si="10"/>
        <v>2.117169796587163</v>
      </c>
      <c r="O39" s="524">
        <f t="shared" si="20"/>
        <v>2394.3411976771677</v>
      </c>
      <c r="P39" s="76">
        <f t="shared" si="11"/>
        <v>45.862294999999989</v>
      </c>
      <c r="Q39" s="76">
        <f t="shared" si="12"/>
        <v>2.7850672965871652</v>
      </c>
      <c r="R39" s="525">
        <f t="shared" si="21"/>
        <v>3149.6771667871703</v>
      </c>
    </row>
    <row r="40" spans="1:28">
      <c r="A40" s="5" t="str">
        <f>'Plant loading'!A75</f>
        <v>Oldham</v>
      </c>
      <c r="B40" s="5" t="str">
        <f>'Plant loading'!B75</f>
        <v>OLDMTX-DCSYS04</v>
      </c>
      <c r="C40" s="5">
        <f>'Plant loading'!E75</f>
        <v>622</v>
      </c>
      <c r="D40" s="10">
        <f>'Plant loading'!H75</f>
        <v>34</v>
      </c>
      <c r="E40" s="5">
        <f t="shared" si="15"/>
        <v>18.294117647058822</v>
      </c>
      <c r="F40" s="5">
        <f t="shared" si="5"/>
        <v>997.02941176470586</v>
      </c>
      <c r="G40" s="17">
        <f t="shared" si="18"/>
        <v>90.745146605757995</v>
      </c>
      <c r="H40">
        <f t="shared" si="22"/>
        <v>37.036302752114089</v>
      </c>
      <c r="I40" s="81">
        <f t="shared" si="6"/>
        <v>36.610920000000007</v>
      </c>
      <c r="J40" s="81">
        <f t="shared" si="7"/>
        <v>0.42538275211408205</v>
      </c>
      <c r="K40" s="523">
        <f t="shared" si="19"/>
        <v>481.07216048984918</v>
      </c>
      <c r="L40" s="78">
        <f t="shared" si="8"/>
        <v>95.5</v>
      </c>
      <c r="M40" s="79">
        <f t="shared" si="9"/>
        <v>35.424454999999995</v>
      </c>
      <c r="N40" s="79">
        <f t="shared" si="10"/>
        <v>1.6118477521140946</v>
      </c>
      <c r="O40" s="524">
        <f t="shared" si="20"/>
        <v>1822.8644124298635</v>
      </c>
      <c r="P40" s="76">
        <f t="shared" si="11"/>
        <v>34.915970000000002</v>
      </c>
      <c r="Q40" s="76">
        <f t="shared" si="12"/>
        <v>2.1203327521140878</v>
      </c>
      <c r="R40" s="525">
        <f t="shared" si="21"/>
        <v>2397.9182346898556</v>
      </c>
    </row>
    <row r="41" spans="1:28">
      <c r="A41" s="5" t="str">
        <f>'Plant loading'!A76</f>
        <v>Oldham</v>
      </c>
      <c r="B41" s="5" t="str">
        <f>'Plant loading'!B76</f>
        <v>OLDMTX-DCSYS05</v>
      </c>
      <c r="C41" s="5">
        <f>'Plant loading'!E76</f>
        <v>648</v>
      </c>
      <c r="D41" s="10">
        <f>'Plant loading'!H76</f>
        <v>44</v>
      </c>
      <c r="E41" s="5">
        <f t="shared" si="15"/>
        <v>14.727272727272727</v>
      </c>
      <c r="F41" s="5">
        <f t="shared" ref="F41:F86" si="23">E41*54.5</f>
        <v>802.63636363636363</v>
      </c>
      <c r="G41" s="17">
        <f t="shared" si="18"/>
        <v>88.516235330546522</v>
      </c>
      <c r="H41">
        <f t="shared" si="22"/>
        <v>39.371606330664193</v>
      </c>
      <c r="I41" s="81">
        <f t="shared" ref="I41:I86" si="24">((($D41*$E41)*54.5)*(1+(1-0.92))/1000)</f>
        <v>38.141280000000009</v>
      </c>
      <c r="J41" s="81">
        <f t="shared" ref="J41:J86" si="25">H41-I41</f>
        <v>1.2303263306641838</v>
      </c>
      <c r="K41" s="523">
        <f t="shared" si="19"/>
        <v>1391.3957325694159</v>
      </c>
      <c r="L41" s="78">
        <f t="shared" si="8"/>
        <v>95</v>
      </c>
      <c r="M41" s="79">
        <f t="shared" si="9"/>
        <v>37.081800000000001</v>
      </c>
      <c r="N41" s="79">
        <f t="shared" si="10"/>
        <v>2.2898063306641916</v>
      </c>
      <c r="O41" s="524">
        <f t="shared" si="20"/>
        <v>2589.5786162494246</v>
      </c>
      <c r="P41" s="76">
        <f t="shared" si="11"/>
        <v>36.375480000000003</v>
      </c>
      <c r="Q41" s="76">
        <f t="shared" si="12"/>
        <v>2.9961263306641897</v>
      </c>
      <c r="R41" s="525">
        <f t="shared" si="21"/>
        <v>3388.3672053694227</v>
      </c>
    </row>
    <row r="42" spans="1:28" ht="40.9">
      <c r="A42" s="5" t="str">
        <f>'Plant loading'!A77</f>
        <v>Oldham</v>
      </c>
      <c r="B42" s="5" t="str">
        <f>'Plant loading'!B77</f>
        <v>OLDMTX-DCSYS06</v>
      </c>
      <c r="C42" s="5">
        <f>'Plant loading'!E77</f>
        <v>645</v>
      </c>
      <c r="D42" s="10">
        <f>'Plant loading'!H77</f>
        <v>44</v>
      </c>
      <c r="E42" s="5">
        <f t="shared" si="15"/>
        <v>14.659090909090908</v>
      </c>
      <c r="F42" s="5">
        <f t="shared" si="23"/>
        <v>798.9204545454545</v>
      </c>
      <c r="G42" s="17">
        <f t="shared" si="18"/>
        <v>88.516235330546522</v>
      </c>
      <c r="H42">
        <f t="shared" si="22"/>
        <v>39.189330375429634</v>
      </c>
      <c r="I42" s="81">
        <f t="shared" si="24"/>
        <v>37.964700000000008</v>
      </c>
      <c r="J42" s="81">
        <f t="shared" si="25"/>
        <v>1.2246303754296264</v>
      </c>
      <c r="K42" s="523">
        <f t="shared" si="19"/>
        <v>1384.9540856593712</v>
      </c>
      <c r="L42" s="78">
        <f t="shared" si="8"/>
        <v>95</v>
      </c>
      <c r="M42" s="79">
        <f t="shared" si="9"/>
        <v>36.910125000000001</v>
      </c>
      <c r="N42" s="79">
        <f t="shared" si="10"/>
        <v>2.2792053754296333</v>
      </c>
      <c r="O42" s="524">
        <f t="shared" si="20"/>
        <v>2577.589826359379</v>
      </c>
      <c r="P42" s="76">
        <f t="shared" si="11"/>
        <v>36.207075000000003</v>
      </c>
      <c r="Q42" s="76">
        <f t="shared" si="12"/>
        <v>2.9822553754296308</v>
      </c>
      <c r="R42" s="525">
        <f t="shared" si="21"/>
        <v>3372.6803201593762</v>
      </c>
      <c r="U42" s="326" t="s">
        <v>515</v>
      </c>
      <c r="V42" s="92" t="s">
        <v>586</v>
      </c>
      <c r="W42" s="88" t="s">
        <v>1514</v>
      </c>
      <c r="X42" s="88" t="s">
        <v>1494</v>
      </c>
      <c r="Y42" s="89" t="s">
        <v>1514</v>
      </c>
      <c r="Z42" s="89" t="s">
        <v>1498</v>
      </c>
      <c r="AA42" s="90" t="s">
        <v>1514</v>
      </c>
      <c r="AB42" s="90" t="s">
        <v>1501</v>
      </c>
    </row>
    <row r="43" spans="1:28">
      <c r="A43" s="5" t="str">
        <f>'Plant loading'!A80</f>
        <v>Rotherham</v>
      </c>
      <c r="B43" s="5" t="str">
        <f>'Plant loading'!B80</f>
        <v>PEARM</v>
      </c>
      <c r="C43" s="5">
        <f>'Plant loading'!E80</f>
        <v>396</v>
      </c>
      <c r="D43" s="10">
        <f>'Plant loading'!H80</f>
        <v>36</v>
      </c>
      <c r="E43" s="5">
        <f t="shared" si="15"/>
        <v>11</v>
      </c>
      <c r="F43" s="5">
        <f t="shared" si="23"/>
        <v>599.5</v>
      </c>
      <c r="G43" s="17">
        <f t="shared" si="18"/>
        <v>88.516235330546522</v>
      </c>
      <c r="H43">
        <f t="shared" si="22"/>
        <v>24.060426090961453</v>
      </c>
      <c r="I43" s="81">
        <f t="shared" si="24"/>
        <v>23.30856</v>
      </c>
      <c r="J43" s="81">
        <f t="shared" si="25"/>
        <v>0.75186609096145318</v>
      </c>
      <c r="K43" s="523">
        <f t="shared" si="19"/>
        <v>850.29739212576271</v>
      </c>
      <c r="L43" s="78">
        <f t="shared" si="8"/>
        <v>93</v>
      </c>
      <c r="M43" s="79">
        <f t="shared" si="9"/>
        <v>23.092739999999999</v>
      </c>
      <c r="N43" s="79">
        <f t="shared" si="10"/>
        <v>0.96768609096145397</v>
      </c>
      <c r="O43" s="524">
        <f t="shared" si="20"/>
        <v>1094.3716832457635</v>
      </c>
      <c r="P43" s="76">
        <f t="shared" si="11"/>
        <v>22.22946</v>
      </c>
      <c r="Q43" s="76">
        <f t="shared" si="12"/>
        <v>1.8309660909614536</v>
      </c>
      <c r="R43" s="525">
        <f t="shared" si="21"/>
        <v>2070.668847725763</v>
      </c>
      <c r="U43" s="51" t="s">
        <v>36</v>
      </c>
      <c r="V43" s="93">
        <f>SUM(D2:D6)</f>
        <v>180</v>
      </c>
      <c r="W43" s="111">
        <f>SUM(J2:J6)</f>
        <v>2.7462433904584671</v>
      </c>
      <c r="X43" s="91">
        <f>SUM(K2:K6)</f>
        <v>3105.7705901637273</v>
      </c>
      <c r="Y43" s="111">
        <f>SUM(N2:N6)</f>
        <v>6.9185746214608201</v>
      </c>
      <c r="Z43" s="91">
        <f>SUM(O2:O6)</f>
        <v>7824.3267366039854</v>
      </c>
      <c r="AA43" s="111">
        <f>SUM(Q2:Q6)</f>
        <v>11.365418390458476</v>
      </c>
      <c r="AB43" s="91">
        <f>SUM(R2:R6)</f>
        <v>12853.333504463739</v>
      </c>
    </row>
    <row r="44" spans="1:28">
      <c r="A44" s="5" t="str">
        <f>'Plant loading'!A81</f>
        <v>Rotherham</v>
      </c>
      <c r="B44" s="5" t="str">
        <f>'Plant loading'!B81</f>
        <v>PEBRM</v>
      </c>
      <c r="C44" s="5">
        <f>'Plant loading'!E81</f>
        <v>433</v>
      </c>
      <c r="D44" s="10">
        <f>'Plant loading'!H81</f>
        <v>36</v>
      </c>
      <c r="E44" s="5">
        <f t="shared" si="15"/>
        <v>12.027777777777779</v>
      </c>
      <c r="F44" s="5">
        <f t="shared" si="23"/>
        <v>655.51388888888891</v>
      </c>
      <c r="G44" s="17">
        <f t="shared" si="18"/>
        <v>88.516235330546522</v>
      </c>
      <c r="H44">
        <f t="shared" si="22"/>
        <v>26.308496205520981</v>
      </c>
      <c r="I44" s="81">
        <f t="shared" si="24"/>
        <v>25.48638</v>
      </c>
      <c r="J44" s="81">
        <f t="shared" si="25"/>
        <v>0.82211620552098097</v>
      </c>
      <c r="K44" s="523">
        <f t="shared" si="19"/>
        <v>929.74437068296572</v>
      </c>
      <c r="L44" s="78">
        <f t="shared" si="8"/>
        <v>93</v>
      </c>
      <c r="M44" s="79">
        <f t="shared" si="9"/>
        <v>25.250394999999997</v>
      </c>
      <c r="N44" s="79">
        <f t="shared" si="10"/>
        <v>1.058101205520984</v>
      </c>
      <c r="O44" s="524">
        <f t="shared" si="20"/>
        <v>1196.6235829429691</v>
      </c>
      <c r="P44" s="76">
        <f t="shared" si="11"/>
        <v>24.306455000000003</v>
      </c>
      <c r="Q44" s="76">
        <f t="shared" si="12"/>
        <v>2.0020412055209782</v>
      </c>
      <c r="R44" s="525">
        <f t="shared" si="21"/>
        <v>2264.1404319829621</v>
      </c>
      <c r="U44" s="51" t="s">
        <v>67</v>
      </c>
      <c r="V44" s="93">
        <f>SUM(D7:D11)</f>
        <v>180</v>
      </c>
      <c r="W44" s="111">
        <f>SUM(J7:J11)</f>
        <v>4.9370131866320683</v>
      </c>
      <c r="X44" s="91">
        <f>SUM(K7:K11)</f>
        <v>5583.3472049731918</v>
      </c>
      <c r="Y44" s="111">
        <f>SUM(N7:N11)</f>
        <v>8.1040081866320932</v>
      </c>
      <c r="Z44" s="91">
        <f>SUM(O7:O11)</f>
        <v>9164.9525223932196</v>
      </c>
      <c r="AA44" s="111">
        <f>SUM(Q7:Q11)</f>
        <v>11.297163186632083</v>
      </c>
      <c r="AB44" s="91">
        <f>SUM(R7:R11)</f>
        <v>12776.142602373207</v>
      </c>
    </row>
    <row r="45" spans="1:28">
      <c r="A45" s="5" t="str">
        <f>'Plant loading'!A82</f>
        <v>Rotherham</v>
      </c>
      <c r="B45" s="5" t="str">
        <f>'Plant loading'!B82</f>
        <v>PECRM</v>
      </c>
      <c r="C45" s="5">
        <f>'Plant loading'!E82</f>
        <v>527</v>
      </c>
      <c r="D45" s="10">
        <f>'Plant loading'!H82</f>
        <v>36</v>
      </c>
      <c r="E45" s="5">
        <f t="shared" ref="E45:E56" si="26">C45/D45</f>
        <v>14.638888888888889</v>
      </c>
      <c r="F45" s="5">
        <f t="shared" si="23"/>
        <v>797.81944444444446</v>
      </c>
      <c r="G45" s="17">
        <f t="shared" si="18"/>
        <v>88.516235330546522</v>
      </c>
      <c r="H45">
        <f t="shared" si="22"/>
        <v>32.019809469537087</v>
      </c>
      <c r="I45" s="81">
        <f t="shared" si="24"/>
        <v>31.019220000000001</v>
      </c>
      <c r="J45" s="81">
        <f t="shared" si="25"/>
        <v>1.0005894695370863</v>
      </c>
      <c r="K45" s="523">
        <f t="shared" si="19"/>
        <v>1131.5826405310033</v>
      </c>
      <c r="L45" s="78">
        <f t="shared" si="8"/>
        <v>95</v>
      </c>
      <c r="M45" s="79">
        <f t="shared" si="9"/>
        <v>30.157575000000001</v>
      </c>
      <c r="N45" s="79">
        <f t="shared" si="10"/>
        <v>1.8622344695370856</v>
      </c>
      <c r="O45" s="524">
        <f t="shared" si="20"/>
        <v>2106.0307573510026</v>
      </c>
      <c r="P45" s="76">
        <f t="shared" si="11"/>
        <v>29.583145000000002</v>
      </c>
      <c r="Q45" s="76">
        <f t="shared" si="12"/>
        <v>2.4366644695370852</v>
      </c>
      <c r="R45" s="525">
        <f t="shared" si="21"/>
        <v>2755.6628352310017</v>
      </c>
      <c r="U45" s="51" t="s">
        <v>75</v>
      </c>
      <c r="V45" s="93">
        <f>SUM(D12:D16)</f>
        <v>180</v>
      </c>
      <c r="W45" s="111">
        <f>SUM(J12:J16)</f>
        <v>0.48974531036146374</v>
      </c>
      <c r="X45" s="91">
        <f>SUM(K12:K16)</f>
        <v>553.86080741274509</v>
      </c>
      <c r="Y45" s="111">
        <f>SUM(N12:N16)</f>
        <v>8.0652453103614761</v>
      </c>
      <c r="Z45" s="91">
        <f>SUM(O12:O16)</f>
        <v>9121.1149654127585</v>
      </c>
      <c r="AA45" s="111">
        <f>SUM(Q12:Q16)</f>
        <v>9.9591203103614703</v>
      </c>
      <c r="AB45" s="91">
        <f>SUM(R12:R16)</f>
        <v>11262.928504912752</v>
      </c>
    </row>
    <row r="46" spans="1:28">
      <c r="A46" s="5" t="str">
        <f>'Plant loading'!A83</f>
        <v>Rotherham</v>
      </c>
      <c r="B46" s="5" t="str">
        <f>'Plant loading'!B83</f>
        <v>PEDRM</v>
      </c>
      <c r="C46" s="5">
        <f>'Plant loading'!E83</f>
        <v>256</v>
      </c>
      <c r="D46" s="10">
        <f>'Plant loading'!H83</f>
        <v>36</v>
      </c>
      <c r="E46" s="5">
        <f t="shared" si="26"/>
        <v>7.1111111111111107</v>
      </c>
      <c r="F46" s="5">
        <f t="shared" si="23"/>
        <v>387.55555555555554</v>
      </c>
      <c r="G46" s="17">
        <f t="shared" si="18"/>
        <v>82.073224256292889</v>
      </c>
      <c r="H46">
        <f t="shared" si="22"/>
        <v>16.453143751762017</v>
      </c>
      <c r="I46" s="81">
        <f t="shared" si="24"/>
        <v>15.068160000000002</v>
      </c>
      <c r="J46" s="81">
        <f t="shared" si="25"/>
        <v>1.3849837517620145</v>
      </c>
      <c r="K46" s="523">
        <f t="shared" si="19"/>
        <v>1566.3002846076904</v>
      </c>
      <c r="L46" s="78">
        <f t="shared" si="8"/>
        <v>91</v>
      </c>
      <c r="M46" s="79">
        <f t="shared" si="9"/>
        <v>15.207679999999998</v>
      </c>
      <c r="N46" s="79">
        <f t="shared" si="10"/>
        <v>1.2454637517620188</v>
      </c>
      <c r="O46" s="524">
        <f t="shared" si="20"/>
        <v>1408.5148842876954</v>
      </c>
      <c r="P46" s="76">
        <f t="shared" si="11"/>
        <v>14.370559999999999</v>
      </c>
      <c r="Q46" s="76">
        <f t="shared" si="12"/>
        <v>2.0825837517620176</v>
      </c>
      <c r="R46" s="525">
        <f t="shared" si="21"/>
        <v>2355.2272862076939</v>
      </c>
      <c r="U46" s="51" t="s">
        <v>86</v>
      </c>
      <c r="V46" s="93">
        <f>SUM(D17:D20)</f>
        <v>144</v>
      </c>
      <c r="W46" s="111">
        <f>SUM(J17:J20)</f>
        <v>5.1904970358245706</v>
      </c>
      <c r="X46" s="91">
        <f>SUM(K17:K20)</f>
        <v>5870.0161457665799</v>
      </c>
      <c r="Y46" s="111">
        <f>SUM(N17:N20)</f>
        <v>5.6760920358245883</v>
      </c>
      <c r="Z46" s="91">
        <f>SUM(O17:O20)</f>
        <v>6419.1833007865989</v>
      </c>
      <c r="AA46" s="111">
        <f>SUM(Q17:Q20)</f>
        <v>9.3188720358245725</v>
      </c>
      <c r="AB46" s="91">
        <f>SUM(R17:R20)</f>
        <v>10538.861487266582</v>
      </c>
    </row>
    <row r="47" spans="1:28">
      <c r="A47" s="5" t="str">
        <f>'Plant loading'!A84</f>
        <v>Rotherham</v>
      </c>
      <c r="B47" s="5" t="str">
        <f>'Plant loading'!B84</f>
        <v>PEERM</v>
      </c>
      <c r="C47" s="5">
        <f>'Plant loading'!E84</f>
        <v>213</v>
      </c>
      <c r="D47" s="10">
        <f>'Plant loading'!H84</f>
        <v>36</v>
      </c>
      <c r="E47" s="5">
        <f t="shared" si="26"/>
        <v>5.916666666666667</v>
      </c>
      <c r="F47" s="5">
        <f t="shared" si="23"/>
        <v>322.45833333333337</v>
      </c>
      <c r="G47" s="17">
        <f t="shared" si="18"/>
        <v>82.073224256292889</v>
      </c>
      <c r="H47">
        <f t="shared" si="22"/>
        <v>13.68952976220824</v>
      </c>
      <c r="I47" s="81">
        <f t="shared" si="24"/>
        <v>12.537180000000001</v>
      </c>
      <c r="J47" s="81">
        <f t="shared" si="25"/>
        <v>1.1523497622082388</v>
      </c>
      <c r="K47" s="523">
        <f t="shared" si="19"/>
        <v>1303.2107836774924</v>
      </c>
      <c r="L47" s="78" t="e">
        <f t="shared" si="8"/>
        <v>#N/A</v>
      </c>
      <c r="M47" s="79" t="e">
        <f t="shared" si="9"/>
        <v>#N/A</v>
      </c>
      <c r="N47" s="79" t="e">
        <f t="shared" si="10"/>
        <v>#N/A</v>
      </c>
      <c r="O47" s="524" t="e">
        <f t="shared" si="20"/>
        <v>#N/A</v>
      </c>
      <c r="P47" s="76">
        <f t="shared" si="11"/>
        <v>11.956755000000001</v>
      </c>
      <c r="Q47" s="76">
        <f t="shared" si="12"/>
        <v>1.7327747622082388</v>
      </c>
      <c r="R47" s="525">
        <f t="shared" si="21"/>
        <v>1959.6227029774925</v>
      </c>
      <c r="U47" s="51" t="s">
        <v>91</v>
      </c>
      <c r="V47" s="93">
        <f>SUM(D21:D25)</f>
        <v>180</v>
      </c>
      <c r="W47" s="111">
        <f>SUM(J21:J25)</f>
        <v>1.5227933968448824</v>
      </c>
      <c r="X47" s="91">
        <f>SUM(K21:K25)</f>
        <v>1722.1514171862268</v>
      </c>
      <c r="Y47" s="111">
        <f>SUM(N21:N25)</f>
        <v>7.5248783968448834</v>
      </c>
      <c r="Z47" s="91">
        <f>SUM(O21:O25)</f>
        <v>8510.0053770462273</v>
      </c>
      <c r="AA47" s="111">
        <f>SUM(Q21:Q25)</f>
        <v>9.245443396844891</v>
      </c>
      <c r="AB47" s="91">
        <f>SUM(R21:R25)</f>
        <v>10455.819864586236</v>
      </c>
    </row>
    <row r="48" spans="1:28">
      <c r="A48" s="5" t="str">
        <f>'Plant loading'!A85</f>
        <v>Southampton</v>
      </c>
      <c r="B48" s="5" t="str">
        <f>'Plant loading'!B85</f>
        <v>PEASN</v>
      </c>
      <c r="C48" s="5">
        <f>'Plant loading'!E85</f>
        <v>360</v>
      </c>
      <c r="D48" s="10">
        <f>'Plant loading'!H85</f>
        <v>36</v>
      </c>
      <c r="E48" s="5">
        <f t="shared" si="26"/>
        <v>10</v>
      </c>
      <c r="F48" s="5">
        <f t="shared" si="23"/>
        <v>545</v>
      </c>
      <c r="G48" s="17">
        <f t="shared" si="18"/>
        <v>82.073224256292889</v>
      </c>
      <c r="H48">
        <f t="shared" si="22"/>
        <v>23.137233400915335</v>
      </c>
      <c r="I48" s="81">
        <f t="shared" si="24"/>
        <v>21.189600000000002</v>
      </c>
      <c r="J48" s="81">
        <f t="shared" si="25"/>
        <v>1.9476334009153327</v>
      </c>
      <c r="K48" s="523">
        <f t="shared" si="19"/>
        <v>2202.6097752295641</v>
      </c>
      <c r="L48" s="78">
        <f t="shared" si="8"/>
        <v>93</v>
      </c>
      <c r="M48" s="79">
        <f t="shared" si="9"/>
        <v>20.993399999999998</v>
      </c>
      <c r="N48" s="79">
        <f t="shared" si="10"/>
        <v>2.1438334009153373</v>
      </c>
      <c r="O48" s="524">
        <f t="shared" si="20"/>
        <v>2424.4954944295691</v>
      </c>
      <c r="P48" s="76">
        <f t="shared" si="11"/>
        <v>20.208600000000001</v>
      </c>
      <c r="Q48" s="76">
        <f t="shared" si="12"/>
        <v>2.9286334009153343</v>
      </c>
      <c r="R48" s="525">
        <f t="shared" si="21"/>
        <v>3312.0383712295661</v>
      </c>
      <c r="U48" s="51" t="s">
        <v>121</v>
      </c>
      <c r="V48" s="93" t="e">
        <f>SUM(D26:D36)</f>
        <v>#REF!</v>
      </c>
      <c r="W48" s="111" t="e">
        <f>SUM(J26:J36)</f>
        <v>#REF!</v>
      </c>
      <c r="X48" s="91" t="e">
        <f>SUM(K26:K36)</f>
        <v>#REF!</v>
      </c>
      <c r="Y48" s="111" t="e">
        <f>SUM(N26:N36)</f>
        <v>#REF!</v>
      </c>
      <c r="Z48" s="91" t="e">
        <f>SUM(O26:O36)</f>
        <v>#REF!</v>
      </c>
      <c r="AA48" s="111" t="e">
        <f>SUM(Q26:Q36)</f>
        <v>#REF!</v>
      </c>
      <c r="AB48" s="91" t="e">
        <f>SUM(R26:R36)</f>
        <v>#REF!</v>
      </c>
    </row>
    <row r="49" spans="1:28">
      <c r="A49" s="5" t="str">
        <f>'Plant loading'!A86</f>
        <v>Southampton</v>
      </c>
      <c r="B49" s="5" t="str">
        <f>'Plant loading'!B86</f>
        <v>PEBSN</v>
      </c>
      <c r="C49" s="5">
        <f>'Plant loading'!E86</f>
        <v>521</v>
      </c>
      <c r="D49" s="10">
        <f>'Plant loading'!H86</f>
        <v>36</v>
      </c>
      <c r="E49" s="5">
        <f t="shared" si="26"/>
        <v>14.472222222222221</v>
      </c>
      <c r="F49" s="5">
        <f t="shared" si="23"/>
        <v>788.73611111111109</v>
      </c>
      <c r="G49" s="17">
        <f t="shared" si="18"/>
        <v>88.516235330546522</v>
      </c>
      <c r="H49">
        <f t="shared" si="22"/>
        <v>31.655257559067969</v>
      </c>
      <c r="I49" s="81">
        <f t="shared" si="24"/>
        <v>30.666060000000002</v>
      </c>
      <c r="J49" s="81">
        <f t="shared" si="25"/>
        <v>0.9891975590679678</v>
      </c>
      <c r="K49" s="523">
        <f t="shared" si="19"/>
        <v>1118.6993467109098</v>
      </c>
      <c r="L49" s="78">
        <f t="shared" si="8"/>
        <v>95</v>
      </c>
      <c r="M49" s="79">
        <f t="shared" si="9"/>
        <v>29.814225</v>
      </c>
      <c r="N49" s="79">
        <f t="shared" si="10"/>
        <v>1.841032559067969</v>
      </c>
      <c r="O49" s="524">
        <f t="shared" si="20"/>
        <v>2082.053177570911</v>
      </c>
      <c r="P49" s="76">
        <f t="shared" si="11"/>
        <v>29.246334999999998</v>
      </c>
      <c r="Q49" s="76">
        <f t="shared" si="12"/>
        <v>2.408922559067971</v>
      </c>
      <c r="R49" s="525">
        <f t="shared" si="21"/>
        <v>2724.2890648109137</v>
      </c>
      <c r="U49" s="51" t="s">
        <v>171</v>
      </c>
      <c r="V49" s="93">
        <f>SUM(D48:D51)</f>
        <v>144</v>
      </c>
      <c r="W49" s="111">
        <f>SUM(J48:J51)</f>
        <v>5.7016611069631367</v>
      </c>
      <c r="X49" s="91">
        <f>SUM(K48:K51)</f>
        <v>6448.0997724423223</v>
      </c>
      <c r="Y49" s="111">
        <f>SUM(N48:N51)</f>
        <v>7.3404761069631448</v>
      </c>
      <c r="Z49" s="91">
        <f>SUM(O48:O51)</f>
        <v>8301.4618769823301</v>
      </c>
      <c r="AA49" s="111">
        <f>SUM(Q48:Q51)</f>
        <v>10.336886106963139</v>
      </c>
      <c r="AB49" s="91">
        <f>SUM(R48:R51)</f>
        <v>11690.149888542324</v>
      </c>
    </row>
    <row r="50" spans="1:28">
      <c r="A50" s="5" t="str">
        <f>'Plant loading'!A87</f>
        <v>Southampton</v>
      </c>
      <c r="B50" s="5" t="str">
        <f>'Plant loading'!B87</f>
        <v>PECSN</v>
      </c>
      <c r="C50" s="5">
        <f>'Plant loading'!E87</f>
        <v>476</v>
      </c>
      <c r="D50" s="10">
        <f>'Plant loading'!H87</f>
        <v>36</v>
      </c>
      <c r="E50" s="5">
        <f t="shared" si="26"/>
        <v>13.222222222222221</v>
      </c>
      <c r="F50" s="5">
        <f t="shared" si="23"/>
        <v>720.61111111111109</v>
      </c>
      <c r="G50" s="17">
        <f t="shared" si="18"/>
        <v>88.516235330546522</v>
      </c>
      <c r="H50">
        <f t="shared" si="22"/>
        <v>28.921118230549627</v>
      </c>
      <c r="I50" s="81">
        <f t="shared" si="24"/>
        <v>28.01736</v>
      </c>
      <c r="J50" s="81">
        <f t="shared" si="25"/>
        <v>0.90375823054962723</v>
      </c>
      <c r="K50" s="523">
        <f t="shared" si="19"/>
        <v>1022.0746430602621</v>
      </c>
      <c r="L50" s="78">
        <f t="shared" si="8"/>
        <v>95</v>
      </c>
      <c r="M50" s="79">
        <f t="shared" si="9"/>
        <v>27.239100000000001</v>
      </c>
      <c r="N50" s="79">
        <f t="shared" si="10"/>
        <v>1.6820182305496267</v>
      </c>
      <c r="O50" s="524">
        <f t="shared" si="20"/>
        <v>1902.2213292202616</v>
      </c>
      <c r="P50" s="76">
        <f t="shared" si="11"/>
        <v>26.720260000000003</v>
      </c>
      <c r="Q50" s="76">
        <f t="shared" si="12"/>
        <v>2.200858230549624</v>
      </c>
      <c r="R50" s="525">
        <f t="shared" si="21"/>
        <v>2488.9857866602583</v>
      </c>
      <c r="U50" s="51" t="s">
        <v>179</v>
      </c>
      <c r="V50" s="93">
        <f>SUM(D52:D56)+6</f>
        <v>180</v>
      </c>
      <c r="W50" s="111">
        <f>SUM(J52:J56)</f>
        <v>4.814396848588494</v>
      </c>
      <c r="X50" s="91">
        <f>SUM(K52:K56)</f>
        <v>5444.6784264183052</v>
      </c>
      <c r="Y50" s="111">
        <f>SUM(N52:N56)</f>
        <v>6.7153568485885131</v>
      </c>
      <c r="Z50" s="91">
        <f>SUM(O52:O56)</f>
        <v>7594.5045057783263</v>
      </c>
      <c r="AA50" s="111">
        <f>SUM(Q52:Q56)</f>
        <v>10.307996848588505</v>
      </c>
      <c r="AB50" s="91">
        <f>SUM(R52:R56)</f>
        <v>11657.478564018318</v>
      </c>
    </row>
    <row r="51" spans="1:28">
      <c r="A51" s="5" t="str">
        <f>'Plant loading'!A88</f>
        <v>Southampton</v>
      </c>
      <c r="B51" s="5" t="str">
        <f>'Plant loading'!B88</f>
        <v>PEESN</v>
      </c>
      <c r="C51" s="5">
        <f>'Plant loading'!E88</f>
        <v>344</v>
      </c>
      <c r="D51" s="10">
        <f>'Plant loading'!H88</f>
        <v>36</v>
      </c>
      <c r="E51" s="5">
        <f t="shared" si="26"/>
        <v>9.5555555555555554</v>
      </c>
      <c r="F51" s="5">
        <f t="shared" si="23"/>
        <v>520.77777777777771</v>
      </c>
      <c r="G51" s="17">
        <f t="shared" si="18"/>
        <v>82.073224256292889</v>
      </c>
      <c r="H51">
        <f t="shared" si="22"/>
        <v>22.108911916430209</v>
      </c>
      <c r="I51" s="81">
        <f t="shared" si="24"/>
        <v>20.24784</v>
      </c>
      <c r="J51" s="81">
        <f t="shared" si="25"/>
        <v>1.861071916430209</v>
      </c>
      <c r="K51" s="523">
        <f t="shared" si="19"/>
        <v>2104.716007441586</v>
      </c>
      <c r="L51" s="78">
        <f t="shared" si="8"/>
        <v>91</v>
      </c>
      <c r="M51" s="79">
        <f t="shared" si="9"/>
        <v>20.435319999999997</v>
      </c>
      <c r="N51" s="79">
        <f t="shared" si="10"/>
        <v>1.6735919164302118</v>
      </c>
      <c r="O51" s="524">
        <f t="shared" si="20"/>
        <v>1892.6918757615892</v>
      </c>
      <c r="P51" s="76">
        <f t="shared" si="11"/>
        <v>19.31044</v>
      </c>
      <c r="Q51" s="76">
        <f t="shared" si="12"/>
        <v>2.7984719164302092</v>
      </c>
      <c r="R51" s="525">
        <f t="shared" si="21"/>
        <v>3164.8366658415862</v>
      </c>
      <c r="U51" s="42" t="s">
        <v>1515</v>
      </c>
      <c r="V51" s="94" t="e">
        <f>SUM(V43:V50)</f>
        <v>#REF!</v>
      </c>
      <c r="W51" s="94" t="e">
        <f>SUM(W43:W50)</f>
        <v>#REF!</v>
      </c>
      <c r="X51" s="71" t="e">
        <f>ROUNDDOWN(SUM(X43:X50),-3)</f>
        <v>#REF!</v>
      </c>
      <c r="Y51" s="112" t="e">
        <f>SUM(Y43:Y50)</f>
        <v>#REF!</v>
      </c>
      <c r="Z51" s="71" t="e">
        <f>ROUNDDOWN(SUM(Z43:Z50),-3)</f>
        <v>#REF!</v>
      </c>
      <c r="AA51" s="112" t="e">
        <f>SUM(AA43:AA50)</f>
        <v>#REF!</v>
      </c>
      <c r="AB51" s="71" t="e">
        <f>ROUNDDOWN(SUM(AB43:AB50),-3)</f>
        <v>#REF!</v>
      </c>
    </row>
    <row r="52" spans="1:28">
      <c r="A52" s="5" t="str">
        <f>'Plant loading'!A89</f>
        <v>Swanley</v>
      </c>
      <c r="B52" s="5" t="str">
        <f>'Plant loading'!B89</f>
        <v>PEASY</v>
      </c>
      <c r="C52" s="5">
        <f>'Plant loading'!E89</f>
        <v>547</v>
      </c>
      <c r="D52" s="10">
        <f>'Plant loading'!H89</f>
        <v>36</v>
      </c>
      <c r="E52" s="5">
        <f t="shared" si="26"/>
        <v>15.194444444444445</v>
      </c>
      <c r="F52" s="5">
        <f t="shared" si="23"/>
        <v>828.09722222222229</v>
      </c>
      <c r="G52" s="17">
        <f t="shared" si="18"/>
        <v>88.516235330546522</v>
      </c>
      <c r="H52">
        <f t="shared" si="22"/>
        <v>33.234982504434129</v>
      </c>
      <c r="I52" s="81">
        <f t="shared" si="24"/>
        <v>32.196420000000003</v>
      </c>
      <c r="J52" s="81">
        <f t="shared" si="25"/>
        <v>1.0385625044341253</v>
      </c>
      <c r="K52" s="523">
        <f t="shared" si="19"/>
        <v>1174.5269532646234</v>
      </c>
      <c r="L52" s="78">
        <f t="shared" si="8"/>
        <v>95</v>
      </c>
      <c r="M52" s="79">
        <f t="shared" si="9"/>
        <v>31.302075000000002</v>
      </c>
      <c r="N52" s="79">
        <f t="shared" si="10"/>
        <v>1.9329075044341266</v>
      </c>
      <c r="O52" s="524">
        <f t="shared" si="20"/>
        <v>2185.9560232846243</v>
      </c>
      <c r="P52" s="76">
        <f t="shared" si="11"/>
        <v>30.705845</v>
      </c>
      <c r="Q52" s="76">
        <f t="shared" si="12"/>
        <v>2.5291375044341287</v>
      </c>
      <c r="R52" s="525">
        <f t="shared" si="21"/>
        <v>2860.2420699646268</v>
      </c>
    </row>
    <row r="53" spans="1:28">
      <c r="A53" s="5" t="str">
        <f>'Plant loading'!A90</f>
        <v>Swanley</v>
      </c>
      <c r="B53" s="5" t="str">
        <f>'Plant loading'!B90</f>
        <v>PEBSY</v>
      </c>
      <c r="C53" s="5">
        <f>'Plant loading'!E90</f>
        <v>470</v>
      </c>
      <c r="D53" s="10">
        <f>'Plant loading'!H90</f>
        <v>36</v>
      </c>
      <c r="E53" s="5">
        <f t="shared" si="26"/>
        <v>13.055555555555555</v>
      </c>
      <c r="F53" s="5">
        <f t="shared" si="23"/>
        <v>711.52777777777771</v>
      </c>
      <c r="G53" s="17">
        <f t="shared" si="18"/>
        <v>88.516235330546522</v>
      </c>
      <c r="H53">
        <f t="shared" si="22"/>
        <v>28.55656632008051</v>
      </c>
      <c r="I53" s="81">
        <f t="shared" si="24"/>
        <v>27.664200000000001</v>
      </c>
      <c r="J53" s="81">
        <f t="shared" si="25"/>
        <v>0.89236632008050876</v>
      </c>
      <c r="K53" s="523">
        <f t="shared" si="19"/>
        <v>1009.1913492401686</v>
      </c>
      <c r="L53" s="78">
        <f t="shared" si="8"/>
        <v>95</v>
      </c>
      <c r="M53" s="79">
        <f t="shared" si="9"/>
        <v>26.89575</v>
      </c>
      <c r="N53" s="79">
        <f t="shared" si="10"/>
        <v>1.6608163200805102</v>
      </c>
      <c r="O53" s="524">
        <f t="shared" si="20"/>
        <v>1878.2437494401702</v>
      </c>
      <c r="P53" s="76">
        <f t="shared" si="11"/>
        <v>26.38345</v>
      </c>
      <c r="Q53" s="76">
        <f t="shared" si="12"/>
        <v>2.1731163200805099</v>
      </c>
      <c r="R53" s="525">
        <f t="shared" si="21"/>
        <v>2457.6120162401699</v>
      </c>
    </row>
    <row r="54" spans="1:28">
      <c r="A54" s="5" t="str">
        <f>'Plant loading'!A91</f>
        <v>Swanley</v>
      </c>
      <c r="B54" s="5" t="str">
        <f>'Plant loading'!B91</f>
        <v>PECSY</v>
      </c>
      <c r="C54" s="5">
        <f>'Plant loading'!E91</f>
        <v>402</v>
      </c>
      <c r="D54" s="10">
        <f>'Plant loading'!H91</f>
        <v>36</v>
      </c>
      <c r="E54" s="5">
        <f t="shared" si="26"/>
        <v>11.166666666666666</v>
      </c>
      <c r="F54" s="5">
        <f t="shared" si="23"/>
        <v>608.58333333333326</v>
      </c>
      <c r="G54" s="17">
        <f t="shared" si="18"/>
        <v>88.516235330546522</v>
      </c>
      <c r="H54">
        <f t="shared" si="22"/>
        <v>24.424978001430564</v>
      </c>
      <c r="I54" s="81">
        <f t="shared" si="24"/>
        <v>23.661720000000003</v>
      </c>
      <c r="J54" s="81">
        <f t="shared" si="25"/>
        <v>0.763258001430561</v>
      </c>
      <c r="K54" s="523">
        <f t="shared" si="19"/>
        <v>863.18068594584417</v>
      </c>
      <c r="L54" s="78">
        <f t="shared" si="8"/>
        <v>93</v>
      </c>
      <c r="M54" s="79">
        <f t="shared" si="9"/>
        <v>23.442629999999998</v>
      </c>
      <c r="N54" s="79">
        <f t="shared" si="10"/>
        <v>0.98234800143056589</v>
      </c>
      <c r="O54" s="524">
        <f t="shared" si="20"/>
        <v>1110.9530723858497</v>
      </c>
      <c r="P54" s="76">
        <f t="shared" si="11"/>
        <v>22.566269999999999</v>
      </c>
      <c r="Q54" s="76">
        <f t="shared" si="12"/>
        <v>1.8587080014305641</v>
      </c>
      <c r="R54" s="525">
        <f t="shared" si="21"/>
        <v>2102.0426181458474</v>
      </c>
    </row>
    <row r="55" spans="1:28">
      <c r="A55" s="5" t="str">
        <f>'Plant loading'!A92</f>
        <v>Swanley</v>
      </c>
      <c r="B55" s="5" t="str">
        <f>'Plant loading'!B92</f>
        <v>PEDSY</v>
      </c>
      <c r="C55" s="5">
        <f>'Plant loading'!E92</f>
        <v>281</v>
      </c>
      <c r="D55" s="10">
        <f>'Plant loading'!H92</f>
        <v>36</v>
      </c>
      <c r="E55" s="5">
        <f t="shared" si="26"/>
        <v>7.8055555555555554</v>
      </c>
      <c r="F55" s="5">
        <f t="shared" si="23"/>
        <v>425.40277777777777</v>
      </c>
      <c r="G55" s="17">
        <f t="shared" si="18"/>
        <v>82.073224256292889</v>
      </c>
      <c r="H55">
        <f t="shared" si="22"/>
        <v>18.059896071270025</v>
      </c>
      <c r="I55" s="81">
        <f t="shared" si="24"/>
        <v>16.539660000000001</v>
      </c>
      <c r="J55" s="81">
        <f t="shared" si="25"/>
        <v>1.5202360712700234</v>
      </c>
      <c r="K55" s="523">
        <f t="shared" si="19"/>
        <v>1719.2592967764097</v>
      </c>
      <c r="L55" s="78">
        <f t="shared" si="8"/>
        <v>91</v>
      </c>
      <c r="M55" s="79">
        <f t="shared" si="9"/>
        <v>16.692804999999996</v>
      </c>
      <c r="N55" s="79">
        <f t="shared" si="10"/>
        <v>1.3670910712700284</v>
      </c>
      <c r="O55" s="524">
        <f t="shared" si="20"/>
        <v>1546.0651659564153</v>
      </c>
      <c r="P55" s="76">
        <f t="shared" si="11"/>
        <v>15.773935000000002</v>
      </c>
      <c r="Q55" s="76">
        <f t="shared" si="12"/>
        <v>2.2859610712700231</v>
      </c>
      <c r="R55" s="525">
        <f t="shared" si="21"/>
        <v>2585.229950876409</v>
      </c>
      <c r="U55" s="14" t="s">
        <v>1516</v>
      </c>
    </row>
    <row r="56" spans="1:28">
      <c r="A56" s="5" t="str">
        <f>'Plant loading'!A93</f>
        <v>Swanley</v>
      </c>
      <c r="B56" s="5" t="str">
        <f>'Plant loading'!B93</f>
        <v>PEESY</v>
      </c>
      <c r="C56" s="5">
        <f>'Plant loading'!E93</f>
        <v>316</v>
      </c>
      <c r="D56" s="10">
        <f>'Plant loading'!H93</f>
        <v>30</v>
      </c>
      <c r="E56" s="5">
        <f t="shared" si="26"/>
        <v>10.533333333333333</v>
      </c>
      <c r="F56" s="5">
        <f t="shared" si="23"/>
        <v>574.06666666666661</v>
      </c>
      <c r="G56" s="17">
        <f t="shared" si="18"/>
        <v>88.516235330546522</v>
      </c>
      <c r="H56">
        <f t="shared" si="22"/>
        <v>19.199733951373279</v>
      </c>
      <c r="I56" s="81">
        <f t="shared" si="24"/>
        <v>18.599760000000003</v>
      </c>
      <c r="J56" s="81">
        <f t="shared" si="25"/>
        <v>0.59997395137327558</v>
      </c>
      <c r="K56" s="523">
        <f t="shared" si="19"/>
        <v>678.52014119125931</v>
      </c>
      <c r="L56" s="78">
        <f t="shared" si="8"/>
        <v>93</v>
      </c>
      <c r="M56" s="79">
        <f t="shared" si="9"/>
        <v>18.427539999999997</v>
      </c>
      <c r="N56" s="79">
        <f t="shared" si="10"/>
        <v>0.77219395137328206</v>
      </c>
      <c r="O56" s="524">
        <f t="shared" si="20"/>
        <v>873.28649471126653</v>
      </c>
      <c r="P56" s="76">
        <f t="shared" si="11"/>
        <v>17.738659999999999</v>
      </c>
      <c r="Q56" s="76">
        <f t="shared" si="12"/>
        <v>1.4610739513732796</v>
      </c>
      <c r="R56" s="525">
        <f t="shared" si="21"/>
        <v>1652.3519087912637</v>
      </c>
    </row>
    <row r="57" spans="1:28" ht="40.9">
      <c r="A57" s="5" t="str">
        <f>'Plant loading'!A94</f>
        <v>Bristol</v>
      </c>
      <c r="B57" s="5" t="str">
        <f>'Plant loading'!B94</f>
        <v>PEFBL</v>
      </c>
      <c r="C57" s="5">
        <f>'Plant loading'!E94</f>
        <v>471</v>
      </c>
      <c r="D57" s="10">
        <f>'Plant loading'!H94</f>
        <v>36</v>
      </c>
      <c r="E57" s="5">
        <f t="shared" ref="E57:E86" si="27">C57/D57</f>
        <v>13.083333333333334</v>
      </c>
      <c r="F57" s="5">
        <f t="shared" si="23"/>
        <v>713.04166666666674</v>
      </c>
      <c r="G57" s="17">
        <f t="shared" si="18"/>
        <v>88.516235330546522</v>
      </c>
      <c r="H57">
        <f t="shared" si="22"/>
        <v>28.617324971825365</v>
      </c>
      <c r="I57" s="81">
        <f t="shared" si="24"/>
        <v>27.72306</v>
      </c>
      <c r="J57" s="81">
        <f t="shared" si="25"/>
        <v>0.8942649718253648</v>
      </c>
      <c r="K57" s="523">
        <f t="shared" si="19"/>
        <v>1011.3385648768542</v>
      </c>
      <c r="L57" s="70"/>
      <c r="M57" s="70"/>
      <c r="N57" s="70"/>
      <c r="O57" s="70"/>
      <c r="P57" s="76">
        <f t="shared" si="11"/>
        <v>26.439584999999997</v>
      </c>
      <c r="Q57" s="76">
        <f t="shared" si="12"/>
        <v>2.1777399718253676</v>
      </c>
      <c r="R57" s="525">
        <f t="shared" si="21"/>
        <v>2462.8409779768572</v>
      </c>
      <c r="U57" s="326" t="s">
        <v>515</v>
      </c>
      <c r="V57" s="92" t="s">
        <v>586</v>
      </c>
      <c r="W57" s="88" t="s">
        <v>1494</v>
      </c>
      <c r="X57" s="89" t="s">
        <v>1498</v>
      </c>
      <c r="Y57" s="90" t="s">
        <v>1501</v>
      </c>
      <c r="Z57" s="114" t="s">
        <v>1517</v>
      </c>
    </row>
    <row r="58" spans="1:28">
      <c r="A58" s="5" t="str">
        <f>'Plant loading'!A95</f>
        <v>Bristol</v>
      </c>
      <c r="B58" s="5" t="str">
        <f>'Plant loading'!B95</f>
        <v>PEHBL</v>
      </c>
      <c r="C58" s="5">
        <f>'Plant loading'!E95</f>
        <v>333</v>
      </c>
      <c r="D58" s="10">
        <f>'Plant loading'!H95</f>
        <v>36</v>
      </c>
      <c r="E58" s="5">
        <f t="shared" si="27"/>
        <v>9.25</v>
      </c>
      <c r="F58" s="5">
        <f t="shared" si="23"/>
        <v>504.125</v>
      </c>
      <c r="G58" s="17">
        <f t="shared" si="18"/>
        <v>82.073224256292889</v>
      </c>
      <c r="H58">
        <f t="shared" si="22"/>
        <v>21.401940895846685</v>
      </c>
      <c r="I58" s="81">
        <f t="shared" si="24"/>
        <v>19.600380000000001</v>
      </c>
      <c r="J58" s="81">
        <f t="shared" si="25"/>
        <v>1.8015608958466842</v>
      </c>
      <c r="K58" s="523">
        <f t="shared" si="19"/>
        <v>2037.4140420873484</v>
      </c>
      <c r="L58" s="70"/>
      <c r="M58" s="70"/>
      <c r="N58" s="70"/>
      <c r="O58" s="70"/>
      <c r="P58" s="76">
        <f t="shared" si="11"/>
        <v>18.692955000000001</v>
      </c>
      <c r="Q58" s="76">
        <f t="shared" si="12"/>
        <v>2.7089858958466841</v>
      </c>
      <c r="R58" s="525">
        <f t="shared" si="21"/>
        <v>3063.6354933873486</v>
      </c>
      <c r="U58" s="51" t="s">
        <v>153</v>
      </c>
      <c r="V58" s="93">
        <f>SUM(D37:D42)</f>
        <v>254</v>
      </c>
      <c r="W58" s="91">
        <f>SUM(K37:K42)</f>
        <v>5216.5148766620696</v>
      </c>
      <c r="X58" s="91">
        <f>SUM(O37:O42)</f>
        <v>14687.953340402099</v>
      </c>
      <c r="Y58" s="91">
        <f>SUM(R37:R42)</f>
        <v>18924.1215294621</v>
      </c>
      <c r="Z58" s="91">
        <f>Y58-X58</f>
        <v>4236.1681890600012</v>
      </c>
    </row>
    <row r="59" spans="1:28">
      <c r="A59" s="5" t="str">
        <f>'Plant loading'!A96</f>
        <v>Cardiff</v>
      </c>
      <c r="B59" s="5" t="str">
        <f>'Plant loading'!B96</f>
        <v>PECCF</v>
      </c>
      <c r="C59" s="5">
        <f>'Plant loading'!E96</f>
        <v>357</v>
      </c>
      <c r="D59" s="10">
        <f>'Plant loading'!H96</f>
        <v>36</v>
      </c>
      <c r="E59" s="5">
        <f t="shared" si="27"/>
        <v>9.9166666666666661</v>
      </c>
      <c r="F59" s="5">
        <f t="shared" si="23"/>
        <v>540.45833333333326</v>
      </c>
      <c r="G59" s="17">
        <f t="shared" si="18"/>
        <v>82.073224256292889</v>
      </c>
      <c r="H59">
        <f t="shared" si="22"/>
        <v>22.944423122574374</v>
      </c>
      <c r="I59" s="81">
        <f t="shared" si="24"/>
        <v>21.013020000000001</v>
      </c>
      <c r="J59" s="81">
        <f t="shared" si="25"/>
        <v>1.9314031225743733</v>
      </c>
      <c r="K59" s="523">
        <f t="shared" si="19"/>
        <v>2184.2546937693201</v>
      </c>
      <c r="L59" s="70"/>
      <c r="M59" s="70"/>
      <c r="N59" s="70"/>
      <c r="O59" s="70"/>
      <c r="P59" s="76">
        <f t="shared" si="11"/>
        <v>20.040195000000001</v>
      </c>
      <c r="Q59" s="76">
        <f t="shared" si="12"/>
        <v>2.9042281225743736</v>
      </c>
      <c r="R59" s="525">
        <f t="shared" si="21"/>
        <v>3284.4380514693198</v>
      </c>
      <c r="U59" s="51" t="s">
        <v>163</v>
      </c>
      <c r="V59" s="93">
        <f>SUM(D43:D47)</f>
        <v>180</v>
      </c>
      <c r="W59" s="91">
        <f>SUM(K43:K47)</f>
        <v>5781.1354716249143</v>
      </c>
      <c r="X59" s="91" t="e">
        <f>SUM(O43:O47)</f>
        <v>#N/A</v>
      </c>
      <c r="Y59" s="91">
        <f>SUM(R43:R47)</f>
        <v>11405.322104124913</v>
      </c>
      <c r="Z59" s="91" t="e">
        <f>Y59-X59</f>
        <v>#N/A</v>
      </c>
    </row>
    <row r="60" spans="1:28">
      <c r="A60" s="5" t="str">
        <f>'Plant loading'!A97</f>
        <v>Cardiff</v>
      </c>
      <c r="B60" s="5" t="str">
        <f>'Plant loading'!B97</f>
        <v>PEDCF</v>
      </c>
      <c r="C60" s="5">
        <f>'Plant loading'!E97</f>
        <v>166</v>
      </c>
      <c r="D60" s="10">
        <f>'Plant loading'!H97</f>
        <v>18</v>
      </c>
      <c r="E60" s="5">
        <f t="shared" si="27"/>
        <v>9.2222222222222214</v>
      </c>
      <c r="F60" s="5">
        <f t="shared" si="23"/>
        <v>502.61111111111109</v>
      </c>
      <c r="G60" s="17">
        <f t="shared" si="18"/>
        <v>82.073224256292889</v>
      </c>
      <c r="H60">
        <f t="shared" si="22"/>
        <v>10.668835401533183</v>
      </c>
      <c r="I60" s="81">
        <f t="shared" si="24"/>
        <v>9.770760000000001</v>
      </c>
      <c r="J60" s="81">
        <f t="shared" si="25"/>
        <v>0.89807540153318222</v>
      </c>
      <c r="K60" s="523">
        <f t="shared" si="19"/>
        <v>1015.6478408003003</v>
      </c>
      <c r="L60" s="70"/>
      <c r="M60" s="70"/>
      <c r="N60" s="70"/>
      <c r="O60" s="70"/>
      <c r="P60" s="76">
        <f t="shared" si="11"/>
        <v>9.3184100000000001</v>
      </c>
      <c r="Q60" s="76">
        <f t="shared" si="12"/>
        <v>1.3504254015331831</v>
      </c>
      <c r="R60" s="525">
        <f t="shared" si="21"/>
        <v>1527.2176934003014</v>
      </c>
      <c r="V60" s="42" t="s">
        <v>1515</v>
      </c>
      <c r="W60" s="71">
        <f>SUM(W58:W59)</f>
        <v>10997.650348286985</v>
      </c>
      <c r="X60" s="71" t="e">
        <f>SUM(X58:X59)</f>
        <v>#N/A</v>
      </c>
      <c r="Y60" s="71">
        <f>SUM(Y58:Y59)</f>
        <v>30329.443633587012</v>
      </c>
      <c r="Z60" s="71" t="e">
        <f>SUM(Z58:Z59)</f>
        <v>#N/A</v>
      </c>
    </row>
    <row r="61" spans="1:28">
      <c r="A61" s="5" t="str">
        <f>'Plant loading'!A98</f>
        <v>Cardiff</v>
      </c>
      <c r="B61" s="5" t="str">
        <f>'Plant loading'!B98</f>
        <v>PEECF</v>
      </c>
      <c r="C61" s="5">
        <f>'Plant loading'!E98</f>
        <v>209</v>
      </c>
      <c r="D61" s="10">
        <f>'Plant loading'!H98</f>
        <v>18</v>
      </c>
      <c r="E61" s="5">
        <f t="shared" si="27"/>
        <v>11.611111111111111</v>
      </c>
      <c r="F61" s="5">
        <f t="shared" si="23"/>
        <v>632.80555555555554</v>
      </c>
      <c r="G61" s="17">
        <f t="shared" si="18"/>
        <v>88.516235330546522</v>
      </c>
      <c r="H61">
        <f t="shared" si="22"/>
        <v>12.698558214674099</v>
      </c>
      <c r="I61" s="81">
        <f t="shared" si="24"/>
        <v>12.301740000000002</v>
      </c>
      <c r="J61" s="81">
        <f t="shared" si="25"/>
        <v>0.39681821467409684</v>
      </c>
      <c r="K61" s="523">
        <f t="shared" si="19"/>
        <v>448.76806806637086</v>
      </c>
      <c r="L61" s="70"/>
      <c r="M61" s="70"/>
      <c r="N61" s="70"/>
      <c r="O61" s="70"/>
      <c r="P61" s="76">
        <f t="shared" si="11"/>
        <v>11.732215</v>
      </c>
      <c r="Q61" s="76">
        <f t="shared" si="12"/>
        <v>0.96634321467409912</v>
      </c>
      <c r="R61" s="525">
        <f t="shared" si="21"/>
        <v>1092.8530029663734</v>
      </c>
    </row>
    <row r="62" spans="1:28">
      <c r="A62" s="5" t="str">
        <f>'Plant loading'!A99</f>
        <v>Carlisle</v>
      </c>
      <c r="B62" s="5" t="str">
        <f>'Plant loading'!B99</f>
        <v>PEACE</v>
      </c>
      <c r="C62" s="5">
        <f>'Plant loading'!E99</f>
        <v>399</v>
      </c>
      <c r="D62" s="10">
        <f>'Plant loading'!H99</f>
        <v>36</v>
      </c>
      <c r="E62" s="5">
        <f t="shared" si="27"/>
        <v>11.083333333333334</v>
      </c>
      <c r="F62" s="5">
        <f t="shared" si="23"/>
        <v>604.04166666666674</v>
      </c>
      <c r="G62" s="17">
        <f t="shared" si="18"/>
        <v>88.516235330546522</v>
      </c>
      <c r="H62">
        <f t="shared" si="22"/>
        <v>24.242702046196008</v>
      </c>
      <c r="I62" s="81">
        <f t="shared" si="24"/>
        <v>23.485140000000005</v>
      </c>
      <c r="J62" s="81">
        <f t="shared" si="25"/>
        <v>0.75756204619600354</v>
      </c>
      <c r="K62" s="523">
        <f t="shared" si="19"/>
        <v>856.73903903579946</v>
      </c>
      <c r="L62" s="70"/>
      <c r="M62" s="70"/>
      <c r="N62" s="70"/>
      <c r="O62" s="70"/>
      <c r="P62" s="76">
        <f t="shared" si="11"/>
        <v>22.397865000000003</v>
      </c>
      <c r="Q62" s="76">
        <f t="shared" si="12"/>
        <v>1.8448370461960053</v>
      </c>
      <c r="R62" s="525">
        <f t="shared" si="21"/>
        <v>2086.3557329358014</v>
      </c>
    </row>
    <row r="63" spans="1:28">
      <c r="A63" s="5" t="str">
        <f>'Plant loading'!A100</f>
        <v>Carlisle</v>
      </c>
      <c r="B63" s="5" t="str">
        <f>'Plant loading'!B100</f>
        <v>PEBCE</v>
      </c>
      <c r="C63" s="5">
        <f>'Plant loading'!E100</f>
        <v>449</v>
      </c>
      <c r="D63" s="10">
        <f>'Plant loading'!H100</f>
        <v>36</v>
      </c>
      <c r="E63" s="5">
        <f t="shared" si="27"/>
        <v>12.472222222222221</v>
      </c>
      <c r="F63" s="5">
        <f t="shared" si="23"/>
        <v>679.73611111111109</v>
      </c>
      <c r="G63" s="17">
        <f t="shared" si="18"/>
        <v>88.516235330546522</v>
      </c>
      <c r="H63">
        <f t="shared" si="22"/>
        <v>27.280634633438613</v>
      </c>
      <c r="I63" s="81">
        <f t="shared" si="24"/>
        <v>26.428140000000003</v>
      </c>
      <c r="J63" s="81">
        <f t="shared" si="25"/>
        <v>0.85249463343861009</v>
      </c>
      <c r="K63" s="523">
        <f t="shared" si="19"/>
        <v>964.09982086985917</v>
      </c>
      <c r="L63" s="70"/>
      <c r="M63" s="70"/>
      <c r="N63" s="70"/>
      <c r="O63" s="70"/>
      <c r="P63" s="76">
        <f t="shared" si="11"/>
        <v>25.204615</v>
      </c>
      <c r="Q63" s="76">
        <f t="shared" si="12"/>
        <v>2.0760196334386123</v>
      </c>
      <c r="R63" s="525">
        <f t="shared" si="21"/>
        <v>2347.8038197698615</v>
      </c>
    </row>
    <row r="64" spans="1:28">
      <c r="A64" s="5" t="str">
        <f>'Plant loading'!A101</f>
        <v>Croydon</v>
      </c>
      <c r="B64" s="5" t="str">
        <f>'Plant loading'!B101</f>
        <v>PEFCN</v>
      </c>
      <c r="C64" s="5">
        <f>'Plant loading'!E101</f>
        <v>303</v>
      </c>
      <c r="D64" s="10">
        <f>'Plant loading'!H101</f>
        <v>36</v>
      </c>
      <c r="E64" s="5">
        <f t="shared" si="27"/>
        <v>8.4166666666666661</v>
      </c>
      <c r="F64" s="5">
        <f t="shared" si="23"/>
        <v>458.70833333333331</v>
      </c>
      <c r="G64" s="17">
        <f t="shared" si="18"/>
        <v>82.073224256292889</v>
      </c>
      <c r="H64">
        <f t="shared" si="22"/>
        <v>19.473838112437075</v>
      </c>
      <c r="I64" s="81">
        <f t="shared" si="24"/>
        <v>17.834580000000003</v>
      </c>
      <c r="J64" s="81">
        <f t="shared" si="25"/>
        <v>1.6392581124370729</v>
      </c>
      <c r="K64" s="523">
        <f t="shared" si="19"/>
        <v>1853.8632274848846</v>
      </c>
      <c r="L64" s="70"/>
      <c r="M64" s="70"/>
      <c r="N64" s="70"/>
      <c r="O64" s="70"/>
      <c r="P64" s="76">
        <f t="shared" si="11"/>
        <v>17.008904999999999</v>
      </c>
      <c r="Q64" s="76">
        <f t="shared" si="12"/>
        <v>2.4649331124370768</v>
      </c>
      <c r="R64" s="525">
        <f t="shared" si="21"/>
        <v>2787.6322957848893</v>
      </c>
    </row>
    <row r="65" spans="1:18">
      <c r="A65" s="5" t="str">
        <f>'Plant loading'!A102</f>
        <v>Croydon</v>
      </c>
      <c r="B65" s="5" t="str">
        <f>'Plant loading'!B102</f>
        <v>PEGCN</v>
      </c>
      <c r="C65" s="5">
        <f>'Plant loading'!E102</f>
        <v>395</v>
      </c>
      <c r="D65" s="10">
        <f>'Plant loading'!H102</f>
        <v>36</v>
      </c>
      <c r="E65" s="5">
        <f t="shared" si="27"/>
        <v>10.972222222222221</v>
      </c>
      <c r="F65" s="5">
        <f t="shared" si="23"/>
        <v>597.98611111111109</v>
      </c>
      <c r="G65" s="17">
        <f t="shared" si="18"/>
        <v>88.516235330546522</v>
      </c>
      <c r="H65">
        <f t="shared" si="22"/>
        <v>23.999667439216598</v>
      </c>
      <c r="I65" s="81">
        <f t="shared" si="24"/>
        <v>23.249700000000001</v>
      </c>
      <c r="J65" s="81">
        <f t="shared" si="25"/>
        <v>0.74996743921659714</v>
      </c>
      <c r="K65" s="523">
        <f t="shared" si="19"/>
        <v>848.15017648907713</v>
      </c>
      <c r="L65" s="70"/>
      <c r="M65" s="70"/>
      <c r="N65" s="70"/>
      <c r="O65" s="70"/>
      <c r="P65" s="76">
        <f t="shared" si="11"/>
        <v>22.173325000000002</v>
      </c>
      <c r="Q65" s="76">
        <f t="shared" si="12"/>
        <v>1.8263424392165959</v>
      </c>
      <c r="R65" s="525">
        <f t="shared" si="21"/>
        <v>2065.4398859890757</v>
      </c>
    </row>
    <row r="66" spans="1:18">
      <c r="A66" s="5" t="str">
        <f>'Plant loading'!A103</f>
        <v>Glasgow TXO</v>
      </c>
      <c r="B66" s="5" t="str">
        <f>'Plant loading'!B103</f>
        <v>PEJGW</v>
      </c>
      <c r="C66" s="5">
        <f>'Plant loading'!E103</f>
        <v>90</v>
      </c>
      <c r="D66" s="10">
        <f>'Plant loading'!H103</f>
        <v>9</v>
      </c>
      <c r="E66" s="5">
        <f t="shared" si="27"/>
        <v>10</v>
      </c>
      <c r="F66" s="5">
        <f t="shared" si="23"/>
        <v>545</v>
      </c>
      <c r="G66" s="17">
        <f>CHOOSE(MATCH(F66,N$96:N$107,1),O$96,O$97,O$98,O$99,O$100,O$101,O$102,O$103,O$104,O$105,O$106,O$107)</f>
        <v>93</v>
      </c>
      <c r="H66">
        <f t="shared" si="22"/>
        <v>5.2483499999999994</v>
      </c>
      <c r="I66" s="81">
        <f t="shared" si="24"/>
        <v>5.2974000000000006</v>
      </c>
      <c r="J66" s="81">
        <f t="shared" si="25"/>
        <v>-4.9050000000001148E-2</v>
      </c>
      <c r="K66" s="523">
        <f t="shared" ref="K66:K86" si="28">(J66*24*365)*$V$18</f>
        <v>-55.471429800001296</v>
      </c>
      <c r="L66" s="70"/>
      <c r="M66" s="70"/>
      <c r="N66" s="70"/>
      <c r="O66" s="70"/>
      <c r="P66" s="76">
        <f t="shared" si="11"/>
        <v>5.0521500000000001</v>
      </c>
      <c r="Q66" s="76">
        <f t="shared" si="12"/>
        <v>0.19619999999999926</v>
      </c>
      <c r="R66" s="525">
        <f t="shared" ref="R66:R86" si="29">(Q66*24*365)*$V$18</f>
        <v>221.88571919999916</v>
      </c>
    </row>
    <row r="67" spans="1:18">
      <c r="A67" s="5" t="str">
        <f>'Plant loading'!A104</f>
        <v>Glasgow TXO</v>
      </c>
      <c r="B67" s="5" t="str">
        <f>'Plant loading'!B104</f>
        <v>PEKGW</v>
      </c>
      <c r="C67" s="5">
        <f>'Plant loading'!E104</f>
        <v>85</v>
      </c>
      <c r="D67" s="10">
        <f>'Plant loading'!H104</f>
        <v>9</v>
      </c>
      <c r="E67" s="5">
        <f t="shared" si="27"/>
        <v>9.4444444444444446</v>
      </c>
      <c r="F67" s="5">
        <f t="shared" si="23"/>
        <v>514.72222222222229</v>
      </c>
      <c r="G67" s="17">
        <f>CHOOSE(MATCH(F67,N$96:N$107,1),O$96,O$97,O$98,O$99,O$100,O$101,O$102,O$103,O$104,O$105,O$106,O$107)</f>
        <v>91</v>
      </c>
      <c r="H67">
        <f t="shared" si="22"/>
        <v>5.0494249999999994</v>
      </c>
      <c r="I67" s="81">
        <f t="shared" si="24"/>
        <v>5.0031000000000008</v>
      </c>
      <c r="J67" s="81">
        <f t="shared" si="25"/>
        <v>4.6324999999998617E-2</v>
      </c>
      <c r="K67" s="523">
        <f t="shared" si="28"/>
        <v>52.389683699998436</v>
      </c>
      <c r="L67" s="70"/>
      <c r="M67" s="70"/>
      <c r="N67" s="70"/>
      <c r="O67" s="70"/>
      <c r="P67" s="76">
        <f t="shared" ref="P67:P86" si="30">((($D67*$E67)*54.5)*(1+(1-0.97))/1000)</f>
        <v>4.7714750000000006</v>
      </c>
      <c r="Q67" s="76">
        <f t="shared" ref="Q67:Q86" si="31">H67-P67</f>
        <v>0.27794999999999881</v>
      </c>
      <c r="R67" s="525">
        <f t="shared" si="29"/>
        <v>314.33810219999862</v>
      </c>
    </row>
    <row r="68" spans="1:18">
      <c r="A68" s="5" t="e">
        <f>'Plant loading'!#REF!</f>
        <v>#REF!</v>
      </c>
      <c r="B68" s="5" t="e">
        <f>'Plant loading'!#REF!</f>
        <v>#REF!</v>
      </c>
      <c r="C68" s="5" t="e">
        <f>'Plant loading'!#REF!</f>
        <v>#REF!</v>
      </c>
      <c r="D68" s="10" t="e">
        <f>'Plant loading'!#REF!</f>
        <v>#REF!</v>
      </c>
      <c r="E68" s="5" t="e">
        <f t="shared" si="27"/>
        <v>#REF!</v>
      </c>
      <c r="F68" s="5" t="e">
        <f t="shared" si="23"/>
        <v>#REF!</v>
      </c>
      <c r="G68" s="17" t="e">
        <f t="shared" ref="G68:G86" si="32">CHOOSE(MATCH(F68,W$3:W$14,1),X$3,X$4,X$5,X$6,X$7,X$8,X$9,X$10,X$11,X$12,X$13,X$14)</f>
        <v>#REF!</v>
      </c>
      <c r="H68">
        <v>0</v>
      </c>
      <c r="I68" s="81">
        <v>0</v>
      </c>
      <c r="J68" s="81">
        <f t="shared" si="25"/>
        <v>0</v>
      </c>
      <c r="K68" s="523">
        <f t="shared" si="28"/>
        <v>0</v>
      </c>
      <c r="L68" s="70"/>
      <c r="M68" s="70"/>
      <c r="N68" s="70"/>
      <c r="O68" s="70"/>
      <c r="P68" s="76">
        <v>0</v>
      </c>
      <c r="Q68" s="76">
        <f t="shared" si="31"/>
        <v>0</v>
      </c>
      <c r="R68" s="525">
        <f t="shared" si="29"/>
        <v>0</v>
      </c>
    </row>
    <row r="69" spans="1:18">
      <c r="A69" s="5" t="e">
        <f>'Plant loading'!#REF!</f>
        <v>#REF!</v>
      </c>
      <c r="B69" s="5" t="e">
        <f>'Plant loading'!#REF!</f>
        <v>#REF!</v>
      </c>
      <c r="C69" s="5" t="e">
        <f>'Plant loading'!#REF!</f>
        <v>#REF!</v>
      </c>
      <c r="D69" s="10" t="e">
        <f>'Plant loading'!#REF!</f>
        <v>#REF!</v>
      </c>
      <c r="E69" s="5" t="e">
        <f t="shared" si="27"/>
        <v>#REF!</v>
      </c>
      <c r="F69" s="5" t="e">
        <f t="shared" si="23"/>
        <v>#REF!</v>
      </c>
      <c r="G69" s="17" t="e">
        <f t="shared" si="32"/>
        <v>#REF!</v>
      </c>
      <c r="H69" t="e">
        <f t="shared" ref="H69:H86" si="33">((($D69*$E69)*54.5)*(1+(1-(G69/100)))/1000)</f>
        <v>#REF!</v>
      </c>
      <c r="I69" s="81" t="e">
        <f t="shared" si="24"/>
        <v>#REF!</v>
      </c>
      <c r="J69" s="81" t="e">
        <f t="shared" si="25"/>
        <v>#REF!</v>
      </c>
      <c r="K69" s="523" t="e">
        <f t="shared" si="28"/>
        <v>#REF!</v>
      </c>
      <c r="L69" s="70"/>
      <c r="M69" s="70"/>
      <c r="N69" s="70"/>
      <c r="O69" s="70"/>
      <c r="P69" s="76" t="e">
        <f t="shared" si="30"/>
        <v>#REF!</v>
      </c>
      <c r="Q69" s="76" t="e">
        <f t="shared" si="31"/>
        <v>#REF!</v>
      </c>
      <c r="R69" s="525" t="e">
        <f t="shared" si="29"/>
        <v>#REF!</v>
      </c>
    </row>
    <row r="70" spans="1:18">
      <c r="A70" s="5" t="e">
        <f>'Plant loading'!#REF!</f>
        <v>#REF!</v>
      </c>
      <c r="B70" s="5" t="e">
        <f>'Plant loading'!#REF!</f>
        <v>#REF!</v>
      </c>
      <c r="C70" s="5" t="e">
        <f>'Plant loading'!#REF!</f>
        <v>#REF!</v>
      </c>
      <c r="D70" s="10" t="e">
        <f>'Plant loading'!#REF!</f>
        <v>#REF!</v>
      </c>
      <c r="E70" s="5" t="e">
        <f t="shared" si="27"/>
        <v>#REF!</v>
      </c>
      <c r="F70" s="5" t="e">
        <f t="shared" si="23"/>
        <v>#REF!</v>
      </c>
      <c r="G70" s="17" t="e">
        <f t="shared" si="32"/>
        <v>#REF!</v>
      </c>
      <c r="H70" t="e">
        <f t="shared" si="33"/>
        <v>#REF!</v>
      </c>
      <c r="I70" s="81" t="e">
        <f t="shared" si="24"/>
        <v>#REF!</v>
      </c>
      <c r="J70" s="81" t="e">
        <f t="shared" si="25"/>
        <v>#REF!</v>
      </c>
      <c r="K70" s="523" t="e">
        <f t="shared" si="28"/>
        <v>#REF!</v>
      </c>
      <c r="L70" s="70"/>
      <c r="M70" s="70"/>
      <c r="N70" s="70"/>
      <c r="O70" s="70"/>
      <c r="P70" s="76" t="e">
        <f t="shared" si="30"/>
        <v>#REF!</v>
      </c>
      <c r="Q70" s="76" t="e">
        <f t="shared" si="31"/>
        <v>#REF!</v>
      </c>
      <c r="R70" s="525" t="e">
        <f t="shared" si="29"/>
        <v>#REF!</v>
      </c>
    </row>
    <row r="71" spans="1:18">
      <c r="A71" s="5" t="e">
        <f>'Plant loading'!#REF!</f>
        <v>#REF!</v>
      </c>
      <c r="B71" s="5" t="e">
        <f>'Plant loading'!#REF!</f>
        <v>#REF!</v>
      </c>
      <c r="C71" s="5" t="e">
        <f>'Plant loading'!#REF!</f>
        <v>#REF!</v>
      </c>
      <c r="D71" s="10" t="e">
        <f>'Plant loading'!#REF!</f>
        <v>#REF!</v>
      </c>
      <c r="E71" s="5" t="e">
        <f t="shared" si="27"/>
        <v>#REF!</v>
      </c>
      <c r="F71" s="5" t="e">
        <f t="shared" si="23"/>
        <v>#REF!</v>
      </c>
      <c r="G71" s="17" t="e">
        <f t="shared" si="32"/>
        <v>#REF!</v>
      </c>
      <c r="H71" t="e">
        <f t="shared" si="33"/>
        <v>#REF!</v>
      </c>
      <c r="I71" s="81" t="e">
        <f t="shared" si="24"/>
        <v>#REF!</v>
      </c>
      <c r="J71" s="81" t="e">
        <f t="shared" si="25"/>
        <v>#REF!</v>
      </c>
      <c r="K71" s="523" t="e">
        <f t="shared" si="28"/>
        <v>#REF!</v>
      </c>
      <c r="L71" s="70"/>
      <c r="M71" s="70"/>
      <c r="N71" s="70"/>
      <c r="O71" s="70"/>
      <c r="P71" s="76" t="e">
        <f t="shared" si="30"/>
        <v>#REF!</v>
      </c>
      <c r="Q71" s="76" t="e">
        <f t="shared" si="31"/>
        <v>#REF!</v>
      </c>
      <c r="R71" s="525" t="e">
        <f t="shared" si="29"/>
        <v>#REF!</v>
      </c>
    </row>
    <row r="72" spans="1:18">
      <c r="A72" s="5" t="str">
        <f>'Plant loading'!A105</f>
        <v>Leicester</v>
      </c>
      <c r="B72" s="5" t="str">
        <f>'Plant loading'!B105</f>
        <v>PEFLR</v>
      </c>
      <c r="C72" s="5">
        <f>'Plant loading'!E105</f>
        <v>622</v>
      </c>
      <c r="D72" s="10">
        <f>'Plant loading'!H105</f>
        <v>36</v>
      </c>
      <c r="E72" s="5">
        <f t="shared" si="27"/>
        <v>17.277777777777779</v>
      </c>
      <c r="F72" s="5">
        <f t="shared" si="23"/>
        <v>941.63888888888891</v>
      </c>
      <c r="G72" s="17">
        <f t="shared" si="32"/>
        <v>90.745146605757995</v>
      </c>
      <c r="H72">
        <f t="shared" si="33"/>
        <v>37.036302752114089</v>
      </c>
      <c r="I72" s="81">
        <f t="shared" si="24"/>
        <v>36.610920000000007</v>
      </c>
      <c r="J72" s="81">
        <f t="shared" si="25"/>
        <v>0.42538275211408205</v>
      </c>
      <c r="K72" s="523">
        <f t="shared" si="28"/>
        <v>481.07216048984918</v>
      </c>
      <c r="L72" s="70"/>
      <c r="M72" s="70"/>
      <c r="N72" s="70"/>
      <c r="O72" s="70"/>
      <c r="P72" s="76">
        <f t="shared" si="30"/>
        <v>34.915970000000002</v>
      </c>
      <c r="Q72" s="76">
        <f t="shared" si="31"/>
        <v>2.1203327521140878</v>
      </c>
      <c r="R72" s="525">
        <f t="shared" si="29"/>
        <v>2397.9182346898556</v>
      </c>
    </row>
    <row r="73" spans="1:18">
      <c r="A73" s="5" t="str">
        <f>'Plant loading'!A106</f>
        <v>Leicester</v>
      </c>
      <c r="B73" s="5" t="str">
        <f>'Plant loading'!B106</f>
        <v>PEGLR</v>
      </c>
      <c r="C73" s="5">
        <f>'Plant loading'!E106</f>
        <v>522</v>
      </c>
      <c r="D73" s="10">
        <f>'Plant loading'!H106</f>
        <v>36</v>
      </c>
      <c r="E73" s="5">
        <f t="shared" si="27"/>
        <v>14.5</v>
      </c>
      <c r="F73" s="5">
        <f t="shared" si="23"/>
        <v>790.25</v>
      </c>
      <c r="G73" s="17">
        <f t="shared" si="32"/>
        <v>88.516235330546522</v>
      </c>
      <c r="H73">
        <f t="shared" si="33"/>
        <v>31.716016210812825</v>
      </c>
      <c r="I73" s="81">
        <f t="shared" si="24"/>
        <v>30.724920000000001</v>
      </c>
      <c r="J73" s="81">
        <f t="shared" si="25"/>
        <v>0.99109621081282384</v>
      </c>
      <c r="K73" s="523">
        <f t="shared" si="28"/>
        <v>1120.8465623475954</v>
      </c>
      <c r="L73" s="70"/>
      <c r="M73" s="70"/>
      <c r="N73" s="70"/>
      <c r="O73" s="70"/>
      <c r="P73" s="76">
        <f t="shared" si="30"/>
        <v>29.30247</v>
      </c>
      <c r="Q73" s="76">
        <f t="shared" si="31"/>
        <v>2.4135462108128252</v>
      </c>
      <c r="R73" s="525">
        <f t="shared" si="29"/>
        <v>2729.5180265475969</v>
      </c>
    </row>
    <row r="74" spans="1:18">
      <c r="A74" s="5" t="str">
        <f>'Plant loading'!A107</f>
        <v>Newbury</v>
      </c>
      <c r="B74" s="5" t="str">
        <f>'Plant loading'!B107</f>
        <v>PEGNY</v>
      </c>
      <c r="C74" s="5">
        <f>'Plant loading'!E107</f>
        <v>324</v>
      </c>
      <c r="D74" s="10">
        <f>'Plant loading'!H107</f>
        <v>36</v>
      </c>
      <c r="E74" s="5">
        <f t="shared" si="27"/>
        <v>9</v>
      </c>
      <c r="F74" s="5">
        <f t="shared" si="23"/>
        <v>490.5</v>
      </c>
      <c r="G74" s="17">
        <f t="shared" si="32"/>
        <v>82.073224256292889</v>
      </c>
      <c r="H74">
        <f t="shared" si="33"/>
        <v>20.823510060823804</v>
      </c>
      <c r="I74" s="81">
        <f t="shared" si="24"/>
        <v>19.070640000000004</v>
      </c>
      <c r="J74" s="81">
        <f t="shared" si="25"/>
        <v>1.752870060823799</v>
      </c>
      <c r="K74" s="523">
        <f t="shared" si="28"/>
        <v>1982.3487977066072</v>
      </c>
      <c r="L74" s="70"/>
      <c r="M74" s="70"/>
      <c r="N74" s="70"/>
      <c r="O74" s="70"/>
      <c r="P74" s="76">
        <f t="shared" si="30"/>
        <v>18.187740000000002</v>
      </c>
      <c r="Q74" s="76">
        <f t="shared" si="31"/>
        <v>2.6357700608238019</v>
      </c>
      <c r="R74" s="525">
        <f t="shared" si="29"/>
        <v>2980.8345341066106</v>
      </c>
    </row>
    <row r="75" spans="1:18">
      <c r="A75" s="5" t="str">
        <f>'Plant loading'!A108</f>
        <v>Newbury</v>
      </c>
      <c r="B75" s="5" t="str">
        <f>'Plant loading'!B108</f>
        <v>PEHNY</v>
      </c>
      <c r="C75" s="5">
        <f>'Plant loading'!E108</f>
        <v>295</v>
      </c>
      <c r="D75" s="10">
        <f>'Plant loading'!H108</f>
        <v>36</v>
      </c>
      <c r="E75" s="5">
        <f t="shared" si="27"/>
        <v>8.1944444444444446</v>
      </c>
      <c r="F75" s="5">
        <f t="shared" si="23"/>
        <v>446.59722222222223</v>
      </c>
      <c r="G75" s="17">
        <f t="shared" si="32"/>
        <v>82.073224256292889</v>
      </c>
      <c r="H75">
        <f t="shared" si="33"/>
        <v>18.959677370194509</v>
      </c>
      <c r="I75" s="81">
        <f t="shared" si="24"/>
        <v>17.363700000000001</v>
      </c>
      <c r="J75" s="81">
        <f t="shared" si="25"/>
        <v>1.5959773701945075</v>
      </c>
      <c r="K75" s="523">
        <f t="shared" si="28"/>
        <v>1804.9163435908915</v>
      </c>
      <c r="L75" s="70"/>
      <c r="M75" s="70"/>
      <c r="N75" s="70"/>
      <c r="O75" s="70"/>
      <c r="P75" s="76">
        <f t="shared" si="30"/>
        <v>16.559825</v>
      </c>
      <c r="Q75" s="76">
        <f t="shared" si="31"/>
        <v>2.3998523701945089</v>
      </c>
      <c r="R75" s="525">
        <f t="shared" si="29"/>
        <v>2714.0314430908929</v>
      </c>
    </row>
    <row r="76" spans="1:18">
      <c r="A76" s="5" t="str">
        <f>'Plant loading'!A109</f>
        <v>Newcastle</v>
      </c>
      <c r="B76" s="5" t="str">
        <f>'Plant loading'!B109</f>
        <v>PEENE</v>
      </c>
      <c r="C76" s="5">
        <f>'Plant loading'!E109</f>
        <v>306</v>
      </c>
      <c r="D76" s="10">
        <f>'Plant loading'!H109</f>
        <v>36</v>
      </c>
      <c r="E76" s="5">
        <f t="shared" si="27"/>
        <v>8.5</v>
      </c>
      <c r="F76" s="5">
        <f t="shared" si="23"/>
        <v>463.25</v>
      </c>
      <c r="G76" s="17">
        <f t="shared" si="32"/>
        <v>82.073224256292889</v>
      </c>
      <c r="H76">
        <f t="shared" si="33"/>
        <v>19.666648390778036</v>
      </c>
      <c r="I76" s="81">
        <f t="shared" si="24"/>
        <v>18.01116</v>
      </c>
      <c r="J76" s="81">
        <f t="shared" si="25"/>
        <v>1.6554883907780358</v>
      </c>
      <c r="K76" s="523">
        <f t="shared" si="28"/>
        <v>1872.218308945133</v>
      </c>
      <c r="L76" s="70"/>
      <c r="M76" s="70"/>
      <c r="N76" s="70"/>
      <c r="O76" s="70"/>
      <c r="P76" s="76">
        <f t="shared" si="30"/>
        <v>17.177310000000002</v>
      </c>
      <c r="Q76" s="76">
        <f t="shared" si="31"/>
        <v>2.489338390778034</v>
      </c>
      <c r="R76" s="525">
        <f t="shared" si="29"/>
        <v>2815.232615545131</v>
      </c>
    </row>
    <row r="77" spans="1:18">
      <c r="A77" s="5" t="str">
        <f>'Plant loading'!A110</f>
        <v>Newcastle</v>
      </c>
      <c r="B77" s="5" t="str">
        <f>'Plant loading'!B110</f>
        <v>PEFNE</v>
      </c>
      <c r="C77" s="5">
        <f>'Plant loading'!E110</f>
        <v>360</v>
      </c>
      <c r="D77" s="10">
        <f>'Plant loading'!H110</f>
        <v>36</v>
      </c>
      <c r="E77" s="5">
        <f t="shared" si="27"/>
        <v>10</v>
      </c>
      <c r="F77" s="5">
        <f t="shared" si="23"/>
        <v>545</v>
      </c>
      <c r="G77" s="17">
        <f t="shared" si="32"/>
        <v>82.073224256292889</v>
      </c>
      <c r="H77">
        <f t="shared" si="33"/>
        <v>23.137233400915335</v>
      </c>
      <c r="I77" s="81">
        <f t="shared" si="24"/>
        <v>21.189600000000002</v>
      </c>
      <c r="J77" s="81">
        <f t="shared" si="25"/>
        <v>1.9476334009153327</v>
      </c>
      <c r="K77" s="523">
        <f t="shared" si="28"/>
        <v>2202.6097752295641</v>
      </c>
      <c r="L77" s="70"/>
      <c r="M77" s="70"/>
      <c r="N77" s="70"/>
      <c r="O77" s="70"/>
      <c r="P77" s="76">
        <f t="shared" si="30"/>
        <v>20.208600000000001</v>
      </c>
      <c r="Q77" s="76">
        <f t="shared" si="31"/>
        <v>2.9286334009153343</v>
      </c>
      <c r="R77" s="525">
        <f t="shared" si="29"/>
        <v>3312.0383712295661</v>
      </c>
    </row>
    <row r="78" spans="1:18">
      <c r="A78" s="5" t="str">
        <f>'Plant loading'!A111</f>
        <v>Newcastle</v>
      </c>
      <c r="B78" s="5" t="str">
        <f>'Plant loading'!B111</f>
        <v>PEGNE</v>
      </c>
      <c r="C78" s="5">
        <f>'Plant loading'!E111</f>
        <v>152</v>
      </c>
      <c r="D78" s="10">
        <f>'Plant loading'!H111</f>
        <v>18</v>
      </c>
      <c r="E78" s="5">
        <f t="shared" si="27"/>
        <v>8.4444444444444446</v>
      </c>
      <c r="F78" s="5">
        <f t="shared" si="23"/>
        <v>460.22222222222223</v>
      </c>
      <c r="G78" s="17">
        <f t="shared" si="32"/>
        <v>82.073224256292889</v>
      </c>
      <c r="H78">
        <f t="shared" si="33"/>
        <v>9.7690541026086972</v>
      </c>
      <c r="I78" s="81">
        <f t="shared" si="24"/>
        <v>8.9467200000000009</v>
      </c>
      <c r="J78" s="81">
        <f t="shared" si="25"/>
        <v>0.82233410260869633</v>
      </c>
      <c r="K78" s="523">
        <f t="shared" si="28"/>
        <v>929.99079398581637</v>
      </c>
      <c r="L78" s="70"/>
      <c r="M78" s="70"/>
      <c r="N78" s="70"/>
      <c r="O78" s="70"/>
      <c r="P78" s="76">
        <f t="shared" si="30"/>
        <v>8.5325199999999999</v>
      </c>
      <c r="Q78" s="76">
        <f t="shared" si="31"/>
        <v>1.2365341026086973</v>
      </c>
      <c r="R78" s="525">
        <f t="shared" si="29"/>
        <v>1398.4162011858175</v>
      </c>
    </row>
    <row r="79" spans="1:18">
      <c r="A79" s="5" t="str">
        <f>'Plant loading'!A112</f>
        <v>Oxford</v>
      </c>
      <c r="B79" s="5" t="str">
        <f>'Plant loading'!B112</f>
        <v>PECOD</v>
      </c>
      <c r="C79" s="5">
        <f>'Plant loading'!E112</f>
        <v>214</v>
      </c>
      <c r="D79" s="10">
        <f>'Plant loading'!H112</f>
        <v>36</v>
      </c>
      <c r="E79" s="5">
        <f t="shared" si="27"/>
        <v>5.9444444444444446</v>
      </c>
      <c r="F79" s="5">
        <f t="shared" si="23"/>
        <v>323.97222222222223</v>
      </c>
      <c r="G79" s="17">
        <f t="shared" si="32"/>
        <v>82.073224256292889</v>
      </c>
      <c r="H79">
        <f t="shared" si="33"/>
        <v>13.753799854988559</v>
      </c>
      <c r="I79" s="81">
        <f t="shared" si="24"/>
        <v>12.59604</v>
      </c>
      <c r="J79" s="81">
        <f t="shared" si="25"/>
        <v>1.1577598549885586</v>
      </c>
      <c r="K79" s="523">
        <f t="shared" si="28"/>
        <v>1309.3291441642407</v>
      </c>
      <c r="L79" s="70"/>
      <c r="M79" s="70"/>
      <c r="N79" s="70"/>
      <c r="O79" s="70"/>
      <c r="P79" s="76">
        <f t="shared" si="30"/>
        <v>12.012889999999999</v>
      </c>
      <c r="Q79" s="76">
        <f t="shared" si="31"/>
        <v>1.7409098549885602</v>
      </c>
      <c r="R79" s="525">
        <f t="shared" si="29"/>
        <v>1968.8228095642426</v>
      </c>
    </row>
    <row r="80" spans="1:18">
      <c r="A80" s="5" t="str">
        <f>'Plant loading'!A113</f>
        <v>Oxford</v>
      </c>
      <c r="B80" s="5" t="str">
        <f>'Plant loading'!B113</f>
        <v>PEFOD</v>
      </c>
      <c r="C80" s="5">
        <f>'Plant loading'!E113</f>
        <v>140</v>
      </c>
      <c r="D80" s="10">
        <f>'Plant loading'!H113</f>
        <v>30</v>
      </c>
      <c r="E80" s="5">
        <f t="shared" si="27"/>
        <v>4.666666666666667</v>
      </c>
      <c r="F80" s="5">
        <f t="shared" si="23"/>
        <v>254.33333333333334</v>
      </c>
      <c r="G80" s="17">
        <f t="shared" si="32"/>
        <v>74.913200520833314</v>
      </c>
      <c r="H80">
        <f t="shared" si="33"/>
        <v>9.5441228002604159</v>
      </c>
      <c r="I80" s="81">
        <f t="shared" si="24"/>
        <v>8.2403999999999993</v>
      </c>
      <c r="J80" s="81">
        <f t="shared" si="25"/>
        <v>1.3037228002604166</v>
      </c>
      <c r="K80" s="523">
        <f t="shared" si="28"/>
        <v>1474.4009743793092</v>
      </c>
      <c r="L80" s="70"/>
      <c r="M80" s="70"/>
      <c r="N80" s="70"/>
      <c r="O80" s="70"/>
      <c r="P80" s="76">
        <f t="shared" si="30"/>
        <v>7.8589000000000002</v>
      </c>
      <c r="Q80" s="76">
        <f t="shared" si="31"/>
        <v>1.6852228002604157</v>
      </c>
      <c r="R80" s="525">
        <f t="shared" si="29"/>
        <v>1905.8454283793083</v>
      </c>
    </row>
    <row r="81" spans="1:18">
      <c r="A81" s="5" t="str">
        <f>'Plant loading'!A114</f>
        <v>Stafford</v>
      </c>
      <c r="B81" s="5" t="str">
        <f>'Plant loading'!B114</f>
        <v>PEESD</v>
      </c>
      <c r="C81" s="5">
        <f>'Plant loading'!E114</f>
        <v>393</v>
      </c>
      <c r="D81" s="10">
        <f>'Plant loading'!H114</f>
        <v>36</v>
      </c>
      <c r="E81" s="5">
        <f t="shared" si="27"/>
        <v>10.916666666666666</v>
      </c>
      <c r="F81" s="5">
        <f t="shared" si="23"/>
        <v>594.95833333333326</v>
      </c>
      <c r="G81" s="17">
        <f t="shared" si="32"/>
        <v>88.516235330546522</v>
      </c>
      <c r="H81">
        <f t="shared" si="33"/>
        <v>23.878150135726898</v>
      </c>
      <c r="I81" s="81">
        <f t="shared" si="24"/>
        <v>23.131980000000002</v>
      </c>
      <c r="J81" s="81">
        <f t="shared" si="25"/>
        <v>0.74617013572689572</v>
      </c>
      <c r="K81" s="523">
        <f t="shared" si="28"/>
        <v>843.85574521571789</v>
      </c>
      <c r="L81" s="70"/>
      <c r="M81" s="70"/>
      <c r="N81" s="70"/>
      <c r="O81" s="70"/>
      <c r="P81" s="76">
        <f t="shared" si="30"/>
        <v>22.061055</v>
      </c>
      <c r="Q81" s="76">
        <f t="shared" si="31"/>
        <v>1.8170951357268983</v>
      </c>
      <c r="R81" s="525">
        <f t="shared" si="29"/>
        <v>2054.9819625157206</v>
      </c>
    </row>
    <row r="82" spans="1:18">
      <c r="A82" s="5" t="str">
        <f>'Plant loading'!A115</f>
        <v>Stafford</v>
      </c>
      <c r="B82" s="5" t="str">
        <f>'Plant loading'!B115</f>
        <v>PEGSD</v>
      </c>
      <c r="C82" s="5">
        <f>'Plant loading'!E115</f>
        <v>419</v>
      </c>
      <c r="D82" s="10">
        <f>'Plant loading'!H115</f>
        <v>36</v>
      </c>
      <c r="E82" s="5">
        <f t="shared" si="27"/>
        <v>11.638888888888889</v>
      </c>
      <c r="F82" s="5">
        <f t="shared" si="23"/>
        <v>634.31944444444446</v>
      </c>
      <c r="G82" s="17">
        <f t="shared" si="32"/>
        <v>88.516235330546522</v>
      </c>
      <c r="H82">
        <f t="shared" si="33"/>
        <v>25.45787508109305</v>
      </c>
      <c r="I82" s="81">
        <f t="shared" si="24"/>
        <v>24.66234</v>
      </c>
      <c r="J82" s="81">
        <f t="shared" si="25"/>
        <v>0.79553508109304971</v>
      </c>
      <c r="K82" s="523">
        <f t="shared" si="28"/>
        <v>899.68335176942742</v>
      </c>
      <c r="L82" s="70"/>
      <c r="M82" s="70"/>
      <c r="N82" s="70"/>
      <c r="O82" s="70"/>
      <c r="P82" s="76">
        <f t="shared" si="30"/>
        <v>23.520565000000001</v>
      </c>
      <c r="Q82" s="76">
        <f t="shared" si="31"/>
        <v>1.9373100810930488</v>
      </c>
      <c r="R82" s="525">
        <f t="shared" si="29"/>
        <v>2190.934967669426</v>
      </c>
    </row>
    <row r="83" spans="1:18">
      <c r="A83" s="5" t="str">
        <f>'Plant loading'!A116</f>
        <v>Warrington TXO</v>
      </c>
      <c r="B83" s="5" t="str">
        <f>'Plant loading'!B116</f>
        <v>PELWN</v>
      </c>
      <c r="C83" s="5">
        <f>'Plant loading'!E116</f>
        <v>209</v>
      </c>
      <c r="D83" s="10">
        <f>'Plant loading'!H116</f>
        <v>18</v>
      </c>
      <c r="E83" s="5">
        <f t="shared" si="27"/>
        <v>11.611111111111111</v>
      </c>
      <c r="F83" s="5">
        <f t="shared" si="23"/>
        <v>632.80555555555554</v>
      </c>
      <c r="G83" s="17">
        <f t="shared" si="32"/>
        <v>88.516235330546522</v>
      </c>
      <c r="H83">
        <f t="shared" si="33"/>
        <v>12.698558214674099</v>
      </c>
      <c r="I83" s="81">
        <f t="shared" si="24"/>
        <v>12.301740000000002</v>
      </c>
      <c r="J83" s="81">
        <f t="shared" si="25"/>
        <v>0.39681821467409684</v>
      </c>
      <c r="K83" s="523">
        <f t="shared" si="28"/>
        <v>448.76806806637086</v>
      </c>
      <c r="L83" s="70"/>
      <c r="M83" s="70"/>
      <c r="N83" s="70"/>
      <c r="O83" s="70"/>
      <c r="P83" s="76">
        <f t="shared" si="30"/>
        <v>11.732215</v>
      </c>
      <c r="Q83" s="76">
        <f t="shared" si="31"/>
        <v>0.96634321467409912</v>
      </c>
      <c r="R83" s="525">
        <f t="shared" si="29"/>
        <v>1092.8530029663734</v>
      </c>
    </row>
    <row r="84" spans="1:18">
      <c r="A84" s="5" t="str">
        <f>'Plant loading'!A117</f>
        <v>Warrington TXO</v>
      </c>
      <c r="B84" s="5" t="str">
        <f>'Plant loading'!B117</f>
        <v>PEMWN</v>
      </c>
      <c r="C84" s="5">
        <f>'Plant loading'!E117</f>
        <v>156</v>
      </c>
      <c r="D84" s="10">
        <f>'Plant loading'!H117</f>
        <v>18</v>
      </c>
      <c r="E84" s="5">
        <f t="shared" si="27"/>
        <v>8.6666666666666661</v>
      </c>
      <c r="F84" s="5">
        <f t="shared" si="23"/>
        <v>472.33333333333331</v>
      </c>
      <c r="G84" s="17">
        <f t="shared" si="32"/>
        <v>82.073224256292889</v>
      </c>
      <c r="H84">
        <f t="shared" si="33"/>
        <v>10.026134473729979</v>
      </c>
      <c r="I84" s="81">
        <f t="shared" si="24"/>
        <v>9.1821599999999997</v>
      </c>
      <c r="J84" s="81">
        <f t="shared" si="25"/>
        <v>0.84397447372997902</v>
      </c>
      <c r="K84" s="523">
        <f t="shared" si="28"/>
        <v>954.46423593281293</v>
      </c>
      <c r="L84" s="70"/>
      <c r="M84" s="70"/>
      <c r="N84" s="70"/>
      <c r="O84" s="70"/>
      <c r="P84" s="76">
        <f t="shared" si="30"/>
        <v>8.7570599999999992</v>
      </c>
      <c r="Q84" s="76">
        <f t="shared" si="31"/>
        <v>1.2690744737299795</v>
      </c>
      <c r="R84" s="525">
        <f t="shared" si="29"/>
        <v>1435.2166275328134</v>
      </c>
    </row>
    <row r="85" spans="1:18">
      <c r="A85" s="5" t="str">
        <f>'Plant loading'!A118</f>
        <v>Warrington TXO</v>
      </c>
      <c r="B85" s="5" t="str">
        <f>'Plant loading'!B118</f>
        <v>PENWN</v>
      </c>
      <c r="C85" s="5">
        <f>'Plant loading'!E118</f>
        <v>360</v>
      </c>
      <c r="D85" s="10">
        <f>'Plant loading'!H118</f>
        <v>18</v>
      </c>
      <c r="E85" s="5">
        <f t="shared" si="27"/>
        <v>20</v>
      </c>
      <c r="F85" s="5">
        <f t="shared" si="23"/>
        <v>1090</v>
      </c>
      <c r="G85" s="17">
        <f t="shared" si="32"/>
        <v>90.745146605757995</v>
      </c>
      <c r="H85">
        <f t="shared" si="33"/>
        <v>21.43580223595028</v>
      </c>
      <c r="I85" s="81">
        <f t="shared" si="24"/>
        <v>21.189600000000002</v>
      </c>
      <c r="J85" s="81">
        <f t="shared" si="25"/>
        <v>0.24620223595027824</v>
      </c>
      <c r="K85" s="523">
        <f t="shared" si="28"/>
        <v>278.43404787194487</v>
      </c>
      <c r="L85" s="70"/>
      <c r="M85" s="70"/>
      <c r="N85" s="70"/>
      <c r="O85" s="70"/>
      <c r="P85" s="76">
        <f t="shared" si="30"/>
        <v>20.208600000000001</v>
      </c>
      <c r="Q85" s="76">
        <f t="shared" si="31"/>
        <v>1.2272022359502799</v>
      </c>
      <c r="R85" s="525">
        <f t="shared" si="29"/>
        <v>1387.8626438719466</v>
      </c>
    </row>
    <row r="86" spans="1:18">
      <c r="A86" s="5" t="e">
        <f>'Plant loading'!#REF!</f>
        <v>#REF!</v>
      </c>
      <c r="B86" s="5" t="e">
        <f>'Plant loading'!#REF!</f>
        <v>#REF!</v>
      </c>
      <c r="C86" s="5" t="e">
        <f>'Plant loading'!#REF!</f>
        <v>#REF!</v>
      </c>
      <c r="D86" s="10" t="e">
        <f>'Plant loading'!#REF!</f>
        <v>#REF!</v>
      </c>
      <c r="E86" s="5" t="e">
        <f t="shared" si="27"/>
        <v>#REF!</v>
      </c>
      <c r="F86" s="5" t="e">
        <f t="shared" si="23"/>
        <v>#REF!</v>
      </c>
      <c r="G86" s="17" t="e">
        <f t="shared" si="32"/>
        <v>#REF!</v>
      </c>
      <c r="H86" t="e">
        <f t="shared" si="33"/>
        <v>#REF!</v>
      </c>
      <c r="I86" s="81" t="e">
        <f t="shared" si="24"/>
        <v>#REF!</v>
      </c>
      <c r="J86" s="81" t="e">
        <f t="shared" si="25"/>
        <v>#REF!</v>
      </c>
      <c r="K86" s="523" t="e">
        <f t="shared" si="28"/>
        <v>#REF!</v>
      </c>
      <c r="L86" s="70"/>
      <c r="M86" s="70"/>
      <c r="N86" s="70"/>
      <c r="O86" s="70"/>
      <c r="P86" s="76" t="e">
        <f t="shared" si="30"/>
        <v>#REF!</v>
      </c>
      <c r="Q86" s="76" t="e">
        <f t="shared" si="31"/>
        <v>#REF!</v>
      </c>
      <c r="R86" s="525" t="e">
        <f t="shared" si="29"/>
        <v>#REF!</v>
      </c>
    </row>
    <row r="87" spans="1:18">
      <c r="A87" s="5"/>
      <c r="H87" t="e">
        <f>SUM(H2:H86)</f>
        <v>#REF!</v>
      </c>
      <c r="I87" s="81" t="e">
        <f>SUM(I2:I86)</f>
        <v>#REF!</v>
      </c>
      <c r="J87" s="81" t="e">
        <f>SUM(J2:J86)</f>
        <v>#REF!</v>
      </c>
      <c r="K87" s="82" t="e">
        <f>SUM(K2:K86)</f>
        <v>#REF!</v>
      </c>
      <c r="L87" s="71"/>
      <c r="M87" s="71"/>
      <c r="N87" s="71"/>
      <c r="O87" s="71"/>
      <c r="P87" s="71"/>
      <c r="Q87" s="71"/>
    </row>
    <row r="88" spans="1:18">
      <c r="H88" s="70" t="e">
        <f>(H87*24*365)*0.09</f>
        <v>#REF!</v>
      </c>
      <c r="I88" s="70" t="e">
        <f>(I87*24*365)*0.09</f>
        <v>#REF!</v>
      </c>
      <c r="K88" s="50" t="e">
        <f>K87/H88</f>
        <v>#REF!</v>
      </c>
      <c r="L88" s="50"/>
      <c r="M88" s="50"/>
      <c r="N88" s="50"/>
      <c r="O88" s="50"/>
      <c r="P88" s="50"/>
      <c r="Q88" s="50"/>
    </row>
    <row r="94" spans="1:18" ht="40.9">
      <c r="B94" s="35" t="s">
        <v>583</v>
      </c>
      <c r="C94" s="35" t="s">
        <v>1486</v>
      </c>
      <c r="D94" s="35" t="s">
        <v>1487</v>
      </c>
      <c r="E94" s="35" t="s">
        <v>1488</v>
      </c>
      <c r="F94" s="35" t="s">
        <v>1489</v>
      </c>
      <c r="G94" s="74" t="s">
        <v>1490</v>
      </c>
      <c r="H94" s="35" t="s">
        <v>1491</v>
      </c>
      <c r="I94" s="80" t="s">
        <v>1518</v>
      </c>
      <c r="J94" s="80" t="s">
        <v>1519</v>
      </c>
      <c r="K94" s="80" t="s">
        <v>1520</v>
      </c>
    </row>
    <row r="95" spans="1:18">
      <c r="A95" s="5" t="str">
        <f>'Plant loading'!A9</f>
        <v>Basingstoke</v>
      </c>
      <c r="B95" s="5" t="str">
        <f>'Plant loading'!B9</f>
        <v>PEABE</v>
      </c>
      <c r="C95" s="5">
        <f>'Plant loading'!E9</f>
        <v>829</v>
      </c>
      <c r="D95" s="10">
        <f>'Plant loading'!H9</f>
        <v>36</v>
      </c>
      <c r="E95" s="5">
        <f t="shared" ref="E95:E120" si="34">C95/D95</f>
        <v>23.027777777777779</v>
      </c>
      <c r="F95" s="5">
        <f t="shared" ref="F95:F120" si="35">E95*54.5</f>
        <v>1255.0138888888889</v>
      </c>
      <c r="G95" s="17">
        <f>CHOOSE(MATCH(F95,N$96:N$107,1),O96,O$97,O$98,O$99,O$100,O$101,O$102,O$103,O$104,O$105,O$106,O$107)</f>
        <v>96</v>
      </c>
      <c r="H95">
        <f t="shared" ref="H95:H120" si="36">((($D95*$E95)*54.5)*(1+(1-(G95/100)))/1000)</f>
        <v>46.987720000000003</v>
      </c>
      <c r="I95">
        <f>((($D95*$E95)*54.5)*(1+(1-0.97))/1000)</f>
        <v>46.535915000000003</v>
      </c>
      <c r="J95">
        <f t="shared" ref="J95:J120" si="37">H95-I95</f>
        <v>0.45180500000000023</v>
      </c>
      <c r="K95" s="70">
        <f t="shared" ref="K95:K120" si="38">(J95*24*365)*$V$18</f>
        <v>510.95350338000026</v>
      </c>
      <c r="L95" s="70"/>
      <c r="M95" s="808" t="s">
        <v>1503</v>
      </c>
      <c r="N95" s="808" t="s">
        <v>1521</v>
      </c>
      <c r="O95" s="808" t="s">
        <v>1522</v>
      </c>
      <c r="P95" s="70"/>
      <c r="Q95" s="70"/>
    </row>
    <row r="96" spans="1:18">
      <c r="A96" s="5" t="str">
        <f>'Plant loading'!A10</f>
        <v>Basingstoke</v>
      </c>
      <c r="B96" s="5" t="str">
        <f>'Plant loading'!B10</f>
        <v>PEBBE</v>
      </c>
      <c r="C96" s="5">
        <f>'Plant loading'!E10</f>
        <v>842</v>
      </c>
      <c r="D96" s="10">
        <f>'Plant loading'!H10</f>
        <v>36</v>
      </c>
      <c r="E96" s="5">
        <f t="shared" si="34"/>
        <v>23.388888888888889</v>
      </c>
      <c r="F96" s="5">
        <f t="shared" si="35"/>
        <v>1274.6944444444446</v>
      </c>
      <c r="G96" s="17">
        <f>CHOOSE(MATCH(F96,N$96:N$107,1),O97,O$97,O$98,O$99,O$100,O$101,O$102,O$103,O$104,O$105,O$106,O$107)</f>
        <v>96</v>
      </c>
      <c r="H96">
        <f t="shared" si="36"/>
        <v>47.724560000000004</v>
      </c>
      <c r="I96">
        <f t="shared" ref="I96:I120" si="39">((($D96*$E96)*54.5)*(1+(1-0.97))/1000)</f>
        <v>47.26567</v>
      </c>
      <c r="J96">
        <f t="shared" si="37"/>
        <v>0.45889000000000379</v>
      </c>
      <c r="K96" s="70">
        <f t="shared" si="38"/>
        <v>518.9660432400043</v>
      </c>
      <c r="L96" s="70"/>
      <c r="M96" s="5">
        <f>64*0.1</f>
        <v>6.4</v>
      </c>
      <c r="N96" s="812">
        <f t="shared" ref="N96:N106" si="40">M96*54.4</f>
        <v>348.16</v>
      </c>
      <c r="O96" s="5">
        <v>91</v>
      </c>
      <c r="P96" s="70"/>
      <c r="Q96" s="70"/>
    </row>
    <row r="97" spans="1:17">
      <c r="A97" s="5" t="str">
        <f>'Plant loading'!A11</f>
        <v>Basingstoke</v>
      </c>
      <c r="B97" s="5" t="str">
        <f>'Plant loading'!B11</f>
        <v>PECBE</v>
      </c>
      <c r="C97" s="5">
        <f>'Plant loading'!E11</f>
        <v>807</v>
      </c>
      <c r="D97" s="10">
        <f>'Plant loading'!H11</f>
        <v>36</v>
      </c>
      <c r="E97" s="5">
        <f t="shared" si="34"/>
        <v>22.416666666666668</v>
      </c>
      <c r="F97" s="5">
        <f t="shared" si="35"/>
        <v>1221.7083333333335</v>
      </c>
      <c r="G97" s="17">
        <f>CHOOSE(MATCH(F97,N$96:N$107,1),O$96,O$97,O$98,O$99,O$100,O$101,O$102,O$103,O$104,O$105,O$106,O$107)</f>
        <v>96</v>
      </c>
      <c r="H97">
        <f t="shared" si="36"/>
        <v>45.740760000000002</v>
      </c>
      <c r="I97">
        <f t="shared" si="39"/>
        <v>45.300944999999999</v>
      </c>
      <c r="J97">
        <f t="shared" si="37"/>
        <v>0.43981500000000295</v>
      </c>
      <c r="K97" s="70">
        <f t="shared" si="38"/>
        <v>497.39382054000333</v>
      </c>
      <c r="L97" s="70"/>
      <c r="M97" s="5">
        <f>64*0.15</f>
        <v>9.6</v>
      </c>
      <c r="N97" s="812">
        <f t="shared" si="40"/>
        <v>522.24</v>
      </c>
      <c r="O97" s="5">
        <v>93</v>
      </c>
      <c r="P97" s="70"/>
      <c r="Q97" s="70"/>
    </row>
    <row r="98" spans="1:17">
      <c r="A98" s="5" t="str">
        <f>'Plant loading'!A12</f>
        <v>Basingstoke</v>
      </c>
      <c r="B98" s="5" t="str">
        <f>'Plant loading'!B12</f>
        <v>PEEBE</v>
      </c>
      <c r="C98" s="5">
        <f>'Plant loading'!E12</f>
        <v>890</v>
      </c>
      <c r="D98" s="10">
        <f>'Plant loading'!H12</f>
        <v>36</v>
      </c>
      <c r="E98" s="5">
        <f t="shared" si="34"/>
        <v>24.722222222222221</v>
      </c>
      <c r="F98" s="5">
        <f t="shared" si="35"/>
        <v>1347.3611111111111</v>
      </c>
      <c r="G98" s="17">
        <f t="shared" ref="G98:G106" si="41">CHOOSE(MATCH(F98,N$96:N$107,1),O99,O$97,O$98,O$99,O$100,O$101,O$102,O$103,O$104,O$105,O$106,O$107)</f>
        <v>96</v>
      </c>
      <c r="H98">
        <f t="shared" si="36"/>
        <v>50.445200000000007</v>
      </c>
      <c r="I98">
        <f t="shared" si="39"/>
        <v>49.960149999999999</v>
      </c>
      <c r="J98">
        <f t="shared" si="37"/>
        <v>0.4850500000000082</v>
      </c>
      <c r="K98" s="70">
        <f t="shared" si="38"/>
        <v>548.55080580000924</v>
      </c>
      <c r="L98" s="70"/>
      <c r="M98" s="5">
        <f>64*0.2</f>
        <v>12.8</v>
      </c>
      <c r="N98" s="812">
        <f t="shared" si="40"/>
        <v>696.32</v>
      </c>
      <c r="O98" s="5">
        <v>95</v>
      </c>
      <c r="P98" s="70"/>
      <c r="Q98" s="70"/>
    </row>
    <row r="99" spans="1:17">
      <c r="A99" s="5" t="str">
        <f>'Plant loading'!A13</f>
        <v>Basingstoke</v>
      </c>
      <c r="B99" s="5" t="str">
        <f>'Plant loading'!B13</f>
        <v>PEFBE</v>
      </c>
      <c r="C99" s="5">
        <f>'Plant loading'!E13</f>
        <v>853</v>
      </c>
      <c r="D99" s="10">
        <f>'Plant loading'!H13</f>
        <v>36</v>
      </c>
      <c r="E99" s="5">
        <f t="shared" si="34"/>
        <v>23.694444444444443</v>
      </c>
      <c r="F99" s="5">
        <f t="shared" si="35"/>
        <v>1291.3472222222222</v>
      </c>
      <c r="G99" s="17">
        <f t="shared" si="41"/>
        <v>96</v>
      </c>
      <c r="H99">
        <f t="shared" si="36"/>
        <v>48.348039999999997</v>
      </c>
      <c r="I99">
        <f t="shared" si="39"/>
        <v>47.883155000000002</v>
      </c>
      <c r="J99">
        <f t="shared" si="37"/>
        <v>0.46488499999999533</v>
      </c>
      <c r="K99" s="70">
        <f t="shared" si="38"/>
        <v>525.74588465999466</v>
      </c>
      <c r="L99" s="70"/>
      <c r="M99" s="5">
        <f>64*0.25</f>
        <v>16</v>
      </c>
      <c r="N99" s="812">
        <f t="shared" si="40"/>
        <v>870.4</v>
      </c>
      <c r="O99" s="5">
        <v>95.5</v>
      </c>
      <c r="P99" s="70"/>
      <c r="Q99" s="70"/>
    </row>
    <row r="100" spans="1:17">
      <c r="A100" s="5" t="str">
        <f>'Plant loading'!A14</f>
        <v>Basingstoke</v>
      </c>
      <c r="B100" s="5" t="str">
        <f>'Plant loading'!B14</f>
        <v>PEGBE</v>
      </c>
      <c r="C100" s="5">
        <f>'Plant loading'!E14</f>
        <v>878</v>
      </c>
      <c r="D100" s="10">
        <f>'Plant loading'!H14</f>
        <v>36</v>
      </c>
      <c r="E100" s="5">
        <f t="shared" si="34"/>
        <v>24.388888888888889</v>
      </c>
      <c r="F100" s="5">
        <f t="shared" si="35"/>
        <v>1329.1944444444446</v>
      </c>
      <c r="G100" s="17">
        <f t="shared" si="41"/>
        <v>96</v>
      </c>
      <c r="H100">
        <f t="shared" si="36"/>
        <v>49.765039999999999</v>
      </c>
      <c r="I100">
        <f t="shared" si="39"/>
        <v>49.286529999999999</v>
      </c>
      <c r="J100">
        <f t="shared" si="37"/>
        <v>0.47850999999999999</v>
      </c>
      <c r="K100" s="70">
        <f t="shared" si="38"/>
        <v>541.15461515999993</v>
      </c>
      <c r="L100" s="70"/>
      <c r="M100" s="5">
        <f>64*0.3</f>
        <v>19.2</v>
      </c>
      <c r="N100" s="812">
        <f t="shared" si="40"/>
        <v>1044.48</v>
      </c>
      <c r="O100" s="5">
        <v>96</v>
      </c>
      <c r="P100" s="70"/>
      <c r="Q100" s="70"/>
    </row>
    <row r="101" spans="1:17">
      <c r="A101" s="5" t="str">
        <f>'Plant loading'!A15</f>
        <v>Basingstoke</v>
      </c>
      <c r="B101" s="5" t="str">
        <f>'Plant loading'!B15</f>
        <v>PEHBE</v>
      </c>
      <c r="C101" s="5">
        <f>'Plant loading'!E15</f>
        <v>835</v>
      </c>
      <c r="D101" s="10">
        <f>'Plant loading'!H15</f>
        <v>36</v>
      </c>
      <c r="E101" s="5">
        <f t="shared" si="34"/>
        <v>23.194444444444443</v>
      </c>
      <c r="F101" s="5">
        <f t="shared" si="35"/>
        <v>1264.0972222222222</v>
      </c>
      <c r="G101" s="17">
        <f t="shared" si="41"/>
        <v>96</v>
      </c>
      <c r="H101">
        <f t="shared" si="36"/>
        <v>47.327800000000003</v>
      </c>
      <c r="I101">
        <f t="shared" si="39"/>
        <v>46.872724999999996</v>
      </c>
      <c r="J101">
        <f t="shared" si="37"/>
        <v>0.45507500000000789</v>
      </c>
      <c r="K101" s="70">
        <f t="shared" si="38"/>
        <v>514.65159870000889</v>
      </c>
      <c r="L101" s="70"/>
      <c r="M101" s="5">
        <f>64*0.4</f>
        <v>25.6</v>
      </c>
      <c r="N101" s="812">
        <f t="shared" si="40"/>
        <v>1392.64</v>
      </c>
      <c r="O101" s="5">
        <v>97</v>
      </c>
      <c r="P101" s="70"/>
      <c r="Q101" s="70"/>
    </row>
    <row r="102" spans="1:17">
      <c r="A102" s="5" t="str">
        <f>'Plant loading'!A16</f>
        <v>Basingstoke</v>
      </c>
      <c r="B102" s="5" t="str">
        <f>'Plant loading'!B16</f>
        <v>PEIBE</v>
      </c>
      <c r="C102" s="5">
        <f>'Plant loading'!E16</f>
        <v>866</v>
      </c>
      <c r="D102" s="10">
        <f>'Plant loading'!H16</f>
        <v>36</v>
      </c>
      <c r="E102" s="5">
        <f t="shared" si="34"/>
        <v>24.055555555555557</v>
      </c>
      <c r="F102" s="5">
        <f t="shared" si="35"/>
        <v>1311.0277777777778</v>
      </c>
      <c r="G102" s="17">
        <f t="shared" si="41"/>
        <v>96</v>
      </c>
      <c r="H102">
        <f t="shared" si="36"/>
        <v>49.084880000000005</v>
      </c>
      <c r="I102">
        <f t="shared" si="39"/>
        <v>48.612910000000007</v>
      </c>
      <c r="J102">
        <f t="shared" si="37"/>
        <v>0.47196999999999889</v>
      </c>
      <c r="K102" s="70">
        <f t="shared" si="38"/>
        <v>533.7584245199987</v>
      </c>
      <c r="L102" s="70"/>
      <c r="M102" s="5">
        <f>64*0.5</f>
        <v>32</v>
      </c>
      <c r="N102" s="812">
        <f t="shared" si="40"/>
        <v>1740.8</v>
      </c>
      <c r="O102" s="5">
        <v>97</v>
      </c>
      <c r="P102" s="70"/>
      <c r="Q102" s="70"/>
    </row>
    <row r="103" spans="1:17">
      <c r="A103" s="5" t="str">
        <f>'Plant loading'!A39</f>
        <v>Gravelly Hill</v>
      </c>
      <c r="B103" s="5" t="str">
        <f>'Plant loading'!B39</f>
        <v>BMGMTX-DCSYS01</v>
      </c>
      <c r="C103" s="5">
        <f>'Plant loading'!E39</f>
        <v>744</v>
      </c>
      <c r="D103" s="10">
        <f>'Plant loading'!H39</f>
        <v>44</v>
      </c>
      <c r="E103" s="5">
        <f t="shared" si="34"/>
        <v>16.90909090909091</v>
      </c>
      <c r="F103" s="5">
        <f t="shared" si="35"/>
        <v>921.54545454545462</v>
      </c>
      <c r="G103" s="17">
        <f t="shared" si="41"/>
        <v>95.5</v>
      </c>
      <c r="H103">
        <f t="shared" si="36"/>
        <v>42.372659999999996</v>
      </c>
      <c r="I103">
        <f t="shared" si="39"/>
        <v>41.76444</v>
      </c>
      <c r="J103">
        <f t="shared" si="37"/>
        <v>0.60821999999999576</v>
      </c>
      <c r="K103" s="70">
        <f t="shared" si="38"/>
        <v>687.84572951999519</v>
      </c>
      <c r="L103" s="70"/>
      <c r="M103" s="5">
        <f>64*0.6</f>
        <v>38.4</v>
      </c>
      <c r="N103" s="812">
        <f t="shared" si="40"/>
        <v>2088.96</v>
      </c>
      <c r="O103" s="5">
        <v>97</v>
      </c>
      <c r="P103" s="70"/>
      <c r="Q103" s="70"/>
    </row>
    <row r="104" spans="1:17">
      <c r="A104" s="5" t="str">
        <f>'Plant loading'!A40</f>
        <v>Gravelly Hill</v>
      </c>
      <c r="B104" s="5" t="str">
        <f>'Plant loading'!B40</f>
        <v>BMGMTX-DCSYS02</v>
      </c>
      <c r="C104" s="5">
        <f>'Plant loading'!E40</f>
        <v>766</v>
      </c>
      <c r="D104" s="10">
        <f>'Plant loading'!H40</f>
        <v>44</v>
      </c>
      <c r="E104" s="5">
        <f t="shared" si="34"/>
        <v>17.40909090909091</v>
      </c>
      <c r="F104" s="5">
        <f t="shared" si="35"/>
        <v>948.79545454545462</v>
      </c>
      <c r="G104" s="17">
        <f t="shared" si="41"/>
        <v>95.5</v>
      </c>
      <c r="H104">
        <f t="shared" si="36"/>
        <v>43.625614999999996</v>
      </c>
      <c r="I104">
        <f t="shared" si="39"/>
        <v>42.999410000000005</v>
      </c>
      <c r="J104">
        <f t="shared" si="37"/>
        <v>0.62620499999999168</v>
      </c>
      <c r="K104" s="70">
        <f t="shared" si="38"/>
        <v>708.1852537799906</v>
      </c>
      <c r="L104" s="70"/>
      <c r="M104" s="5">
        <f>64*0.7</f>
        <v>44.8</v>
      </c>
      <c r="N104" s="812">
        <f t="shared" si="40"/>
        <v>2437.12</v>
      </c>
      <c r="O104" s="5">
        <v>96.2</v>
      </c>
      <c r="P104" s="70"/>
      <c r="Q104" s="70"/>
    </row>
    <row r="105" spans="1:17">
      <c r="A105" s="5" t="str">
        <f>'Plant loading'!A41</f>
        <v>Gravelly Hill</v>
      </c>
      <c r="B105" s="5" t="str">
        <f>'Plant loading'!B41</f>
        <v>BMGMTX-DCSYS03</v>
      </c>
      <c r="C105" s="5">
        <f>'Plant loading'!E41</f>
        <v>785</v>
      </c>
      <c r="D105" s="10">
        <f>'Plant loading'!H41</f>
        <v>44</v>
      </c>
      <c r="E105" s="5">
        <f t="shared" si="34"/>
        <v>17.84090909090909</v>
      </c>
      <c r="F105" s="5">
        <f t="shared" si="35"/>
        <v>972.32954545454538</v>
      </c>
      <c r="G105" s="17">
        <f t="shared" si="41"/>
        <v>95.5</v>
      </c>
      <c r="H105">
        <f t="shared" si="36"/>
        <v>44.707712499999992</v>
      </c>
      <c r="I105">
        <f t="shared" si="39"/>
        <v>44.065975000000002</v>
      </c>
      <c r="J105">
        <f t="shared" si="37"/>
        <v>0.64173749999999075</v>
      </c>
      <c r="K105" s="70">
        <f t="shared" si="38"/>
        <v>725.75120654998955</v>
      </c>
      <c r="L105" s="70"/>
      <c r="M105" s="5">
        <f>64*0.8</f>
        <v>51.2</v>
      </c>
      <c r="N105" s="812">
        <f t="shared" si="40"/>
        <v>2785.28</v>
      </c>
      <c r="O105" s="5">
        <v>96</v>
      </c>
      <c r="P105" s="70"/>
      <c r="Q105" s="70"/>
    </row>
    <row r="106" spans="1:17">
      <c r="A106" s="5" t="str">
        <f>'Plant loading'!A42</f>
        <v>Gravelly Hill</v>
      </c>
      <c r="B106" s="5" t="str">
        <f>'Plant loading'!B42</f>
        <v>BMGMTX-DCSYS04</v>
      </c>
      <c r="C106" s="5">
        <f>'Plant loading'!E42</f>
        <v>768</v>
      </c>
      <c r="D106" s="10">
        <f>'Plant loading'!H42</f>
        <v>44</v>
      </c>
      <c r="E106" s="5">
        <f t="shared" si="34"/>
        <v>17.454545454545453</v>
      </c>
      <c r="F106" s="5">
        <f t="shared" si="35"/>
        <v>951.27272727272725</v>
      </c>
      <c r="G106" s="17">
        <f t="shared" si="41"/>
        <v>95.5</v>
      </c>
      <c r="H106">
        <f t="shared" si="36"/>
        <v>43.739519999999999</v>
      </c>
      <c r="I106">
        <f t="shared" si="39"/>
        <v>43.11168</v>
      </c>
      <c r="J106">
        <f t="shared" si="37"/>
        <v>0.62783999999999907</v>
      </c>
      <c r="K106" s="70">
        <f t="shared" si="38"/>
        <v>710.0343014399989</v>
      </c>
      <c r="L106" s="70"/>
      <c r="M106" s="5">
        <f>64*0.9</f>
        <v>57.6</v>
      </c>
      <c r="N106" s="812">
        <f t="shared" si="40"/>
        <v>3133.44</v>
      </c>
      <c r="O106" s="5">
        <v>95.5</v>
      </c>
      <c r="P106" s="70"/>
      <c r="Q106" s="70"/>
    </row>
    <row r="107" spans="1:17">
      <c r="A107" s="5" t="str">
        <f>'Plant loading'!A43</f>
        <v>Gravelly Hill</v>
      </c>
      <c r="B107" s="5" t="str">
        <f>'Plant loading'!B43</f>
        <v>BMGMTX-DCSYS05</v>
      </c>
      <c r="C107" s="5">
        <f>'Plant loading'!E43</f>
        <v>786</v>
      </c>
      <c r="D107" s="10">
        <f>'Plant loading'!H43</f>
        <v>44</v>
      </c>
      <c r="E107" s="5">
        <f t="shared" si="34"/>
        <v>17.863636363636363</v>
      </c>
      <c r="F107" s="5">
        <f t="shared" si="35"/>
        <v>973.56818181818176</v>
      </c>
      <c r="G107" s="17">
        <f t="shared" ref="G107:G120" si="42">CHOOSE(MATCH(F107,N$96:N$107,1),X108,O$97,O$98,O$99,O$100,O$101,O$102,O$103,O$104,O$105,O$106,O$107)</f>
        <v>95.5</v>
      </c>
      <c r="H107">
        <f t="shared" si="36"/>
        <v>44.764664999999994</v>
      </c>
      <c r="I107">
        <f t="shared" si="39"/>
        <v>44.122109999999999</v>
      </c>
      <c r="J107">
        <f t="shared" si="37"/>
        <v>0.64255499999999444</v>
      </c>
      <c r="K107" s="70">
        <f t="shared" si="38"/>
        <v>726.67573037999375</v>
      </c>
      <c r="L107" s="70"/>
      <c r="M107" s="5">
        <f>64*1</f>
        <v>64</v>
      </c>
      <c r="N107" s="812">
        <f>M107*54.4</f>
        <v>3481.6</v>
      </c>
      <c r="O107" s="5">
        <v>95</v>
      </c>
      <c r="P107" s="70"/>
      <c r="Q107" s="70"/>
    </row>
    <row r="108" spans="1:17">
      <c r="A108" s="5" t="str">
        <f>'Plant loading'!A44</f>
        <v>Gravelly Hill</v>
      </c>
      <c r="B108" s="5" t="str">
        <f>'Plant loading'!B44</f>
        <v>BMGMTX-DCSYS06</v>
      </c>
      <c r="C108" s="5">
        <f>'Plant loading'!E44</f>
        <v>825</v>
      </c>
      <c r="D108" s="10">
        <f>'Plant loading'!H44</f>
        <v>44</v>
      </c>
      <c r="E108" s="5">
        <f t="shared" si="34"/>
        <v>18.75</v>
      </c>
      <c r="F108" s="5">
        <f t="shared" si="35"/>
        <v>1021.875</v>
      </c>
      <c r="G108" s="17">
        <f t="shared" si="42"/>
        <v>95.5</v>
      </c>
      <c r="H108">
        <f t="shared" si="36"/>
        <v>46.985812500000002</v>
      </c>
      <c r="I108">
        <f t="shared" si="39"/>
        <v>46.311374999999998</v>
      </c>
      <c r="J108">
        <f t="shared" si="37"/>
        <v>0.67443750000000335</v>
      </c>
      <c r="K108" s="70">
        <f t="shared" si="38"/>
        <v>762.73215975000369</v>
      </c>
      <c r="L108" s="70"/>
      <c r="M108" s="70"/>
      <c r="N108" s="70"/>
      <c r="O108" s="70"/>
      <c r="P108" s="70"/>
      <c r="Q108" s="70"/>
    </row>
    <row r="109" spans="1:17">
      <c r="A109" s="5" t="str">
        <f>'Plant loading'!A56</f>
        <v>Leyland</v>
      </c>
      <c r="B109" s="5" t="str">
        <f>'Plant loading'!B56</f>
        <v>LLDMTX-DCSYS01</v>
      </c>
      <c r="C109" s="5">
        <f>'Plant loading'!E56</f>
        <v>912</v>
      </c>
      <c r="D109" s="10">
        <f>'Plant loading'!H56</f>
        <v>44</v>
      </c>
      <c r="E109" s="5">
        <f t="shared" si="34"/>
        <v>20.727272727272727</v>
      </c>
      <c r="F109" s="5">
        <f t="shared" si="35"/>
        <v>1129.6363636363635</v>
      </c>
      <c r="G109" s="17">
        <f t="shared" si="42"/>
        <v>96</v>
      </c>
      <c r="H109">
        <f t="shared" si="36"/>
        <v>51.692160000000001</v>
      </c>
      <c r="I109">
        <f t="shared" si="39"/>
        <v>51.195120000000003</v>
      </c>
      <c r="J109">
        <f t="shared" si="37"/>
        <v>0.49703999999999837</v>
      </c>
      <c r="K109" s="70">
        <f t="shared" si="38"/>
        <v>562.11048863999815</v>
      </c>
      <c r="L109" s="70"/>
      <c r="M109" s="70"/>
      <c r="N109" s="70"/>
      <c r="O109" s="70"/>
      <c r="P109" s="70"/>
      <c r="Q109" s="70"/>
    </row>
    <row r="110" spans="1:17">
      <c r="A110" s="5" t="str">
        <f>'Plant loading'!A57</f>
        <v>Leyland</v>
      </c>
      <c r="B110" s="5" t="str">
        <f>'Plant loading'!B57</f>
        <v>LLDMTX-DCSYS02</v>
      </c>
      <c r="C110" s="5">
        <f>'Plant loading'!E57</f>
        <v>827</v>
      </c>
      <c r="D110" s="10">
        <f>'Plant loading'!H57</f>
        <v>44</v>
      </c>
      <c r="E110" s="5">
        <f t="shared" si="34"/>
        <v>18.795454545454547</v>
      </c>
      <c r="F110" s="5">
        <f t="shared" si="35"/>
        <v>1024.3522727272727</v>
      </c>
      <c r="G110" s="17">
        <f t="shared" si="42"/>
        <v>95.5</v>
      </c>
      <c r="H110">
        <f t="shared" si="36"/>
        <v>47.099717499999997</v>
      </c>
      <c r="I110">
        <f t="shared" si="39"/>
        <v>46.423645000000008</v>
      </c>
      <c r="J110">
        <f t="shared" si="37"/>
        <v>0.67607249999998942</v>
      </c>
      <c r="K110" s="70">
        <f t="shared" si="38"/>
        <v>764.581207409988</v>
      </c>
      <c r="L110" s="70"/>
      <c r="M110" s="70"/>
      <c r="N110" s="70"/>
      <c r="O110" s="70"/>
      <c r="P110" s="70"/>
      <c r="Q110" s="70"/>
    </row>
    <row r="111" spans="1:17" hidden="1" outlineLevel="2">
      <c r="A111" s="5" t="str">
        <f>'Plant loading'!A58</f>
        <v>Leyland</v>
      </c>
      <c r="B111" s="5" t="str">
        <f>'Plant loading'!B58</f>
        <v>LLDMTX-DCSYS03</v>
      </c>
      <c r="C111" s="5">
        <f>'Plant loading'!E58</f>
        <v>950</v>
      </c>
      <c r="D111" s="10">
        <f>'Plant loading'!H58</f>
        <v>44</v>
      </c>
      <c r="E111" s="5">
        <f t="shared" si="34"/>
        <v>21.59090909090909</v>
      </c>
      <c r="F111" s="5">
        <f t="shared" si="35"/>
        <v>1176.7045454545455</v>
      </c>
      <c r="G111" s="17">
        <f t="shared" si="42"/>
        <v>96</v>
      </c>
      <c r="H111">
        <f t="shared" si="36"/>
        <v>53.845999999999997</v>
      </c>
      <c r="I111">
        <f t="shared" si="39"/>
        <v>53.328249999999997</v>
      </c>
      <c r="J111">
        <f t="shared" si="37"/>
        <v>0.51774999999999949</v>
      </c>
      <c r="K111" s="70">
        <f t="shared" si="38"/>
        <v>585.5317589999994</v>
      </c>
      <c r="L111" s="70"/>
      <c r="M111" s="70"/>
      <c r="N111" s="70"/>
      <c r="O111" s="70"/>
      <c r="P111" s="70"/>
      <c r="Q111" s="70"/>
    </row>
    <row r="112" spans="1:17" hidden="1" outlineLevel="2">
      <c r="A112" s="5" t="str">
        <f>'Plant loading'!A59</f>
        <v>Leyland</v>
      </c>
      <c r="B112" s="5" t="str">
        <f>'Plant loading'!B59</f>
        <v>LLDMTX-DCSYS04</v>
      </c>
      <c r="C112" s="5">
        <f>'Plant loading'!E59</f>
        <v>867</v>
      </c>
      <c r="D112" s="10">
        <f>'Plant loading'!H59</f>
        <v>44</v>
      </c>
      <c r="E112" s="5">
        <f t="shared" si="34"/>
        <v>19.704545454545453</v>
      </c>
      <c r="F112" s="5">
        <f t="shared" si="35"/>
        <v>1073.8977272727273</v>
      </c>
      <c r="G112" s="17">
        <f t="shared" si="42"/>
        <v>96</v>
      </c>
      <c r="H112">
        <f t="shared" si="36"/>
        <v>49.141560000000005</v>
      </c>
      <c r="I112">
        <f t="shared" si="39"/>
        <v>48.669044999999997</v>
      </c>
      <c r="J112">
        <f t="shared" si="37"/>
        <v>0.47251500000000846</v>
      </c>
      <c r="K112" s="70">
        <f t="shared" si="38"/>
        <v>534.37477374000957</v>
      </c>
      <c r="L112" s="70"/>
      <c r="M112" s="70"/>
      <c r="N112" s="70"/>
      <c r="O112" s="70"/>
      <c r="P112" s="70"/>
      <c r="Q112" s="70"/>
    </row>
    <row r="113" spans="1:17" hidden="1" outlineLevel="2">
      <c r="A113" s="5" t="str">
        <f>'Plant loading'!A60</f>
        <v>Leyland</v>
      </c>
      <c r="B113" s="5" t="str">
        <f>'Plant loading'!B60</f>
        <v>LLDMTX-DCSYS05</v>
      </c>
      <c r="C113" s="5">
        <f>'Plant loading'!E60</f>
        <v>913</v>
      </c>
      <c r="D113" s="10">
        <f>'Plant loading'!H60</f>
        <v>44</v>
      </c>
      <c r="E113" s="5">
        <f t="shared" si="34"/>
        <v>20.75</v>
      </c>
      <c r="F113" s="5">
        <f t="shared" si="35"/>
        <v>1130.875</v>
      </c>
      <c r="G113" s="17">
        <f t="shared" si="42"/>
        <v>96</v>
      </c>
      <c r="H113">
        <f t="shared" si="36"/>
        <v>51.748840000000001</v>
      </c>
      <c r="I113">
        <f t="shared" si="39"/>
        <v>51.251255000000008</v>
      </c>
      <c r="J113">
        <f t="shared" si="37"/>
        <v>0.49758499999999373</v>
      </c>
      <c r="K113" s="70">
        <f t="shared" si="38"/>
        <v>562.72683785999288</v>
      </c>
      <c r="L113" s="70"/>
      <c r="M113" s="70"/>
      <c r="N113" s="70"/>
      <c r="O113" s="70"/>
      <c r="P113" s="70"/>
      <c r="Q113" s="70"/>
    </row>
    <row r="114" spans="1:17" hidden="1" outlineLevel="2">
      <c r="A114" s="5" t="str">
        <f>'Plant loading'!A61</f>
        <v>Leyland</v>
      </c>
      <c r="B114" s="5" t="str">
        <f>'Plant loading'!B61</f>
        <v>LLDMTX-DCSYS06</v>
      </c>
      <c r="C114" s="5">
        <f>'Plant loading'!E61</f>
        <v>899</v>
      </c>
      <c r="D114" s="10">
        <f>'Plant loading'!H61</f>
        <v>44</v>
      </c>
      <c r="E114" s="5">
        <f t="shared" si="34"/>
        <v>20.431818181818183</v>
      </c>
      <c r="F114" s="5">
        <f t="shared" si="35"/>
        <v>1113.534090909091</v>
      </c>
      <c r="G114" s="17">
        <f t="shared" si="42"/>
        <v>96</v>
      </c>
      <c r="H114">
        <f t="shared" si="36"/>
        <v>50.955320000000007</v>
      </c>
      <c r="I114">
        <f t="shared" si="39"/>
        <v>50.465365000000006</v>
      </c>
      <c r="J114">
        <f t="shared" si="37"/>
        <v>0.48995500000000192</v>
      </c>
      <c r="K114" s="70">
        <f t="shared" si="38"/>
        <v>554.09794878000218</v>
      </c>
      <c r="L114" s="70"/>
      <c r="M114" s="70"/>
      <c r="N114" s="70"/>
      <c r="O114" s="70"/>
      <c r="P114" s="70"/>
      <c r="Q114" s="70"/>
    </row>
    <row r="115" spans="1:17" hidden="1" outlineLevel="2">
      <c r="A115" s="5" t="str">
        <f>'Plant loading'!A64</f>
        <v>Milton Keynes</v>
      </c>
      <c r="B115" s="5" t="str">
        <f>'Plant loading'!B64</f>
        <v>PEAMS</v>
      </c>
      <c r="C115" s="5">
        <f>'Plant loading'!E64</f>
        <v>1050</v>
      </c>
      <c r="D115" s="10">
        <f>'Plant loading'!H64</f>
        <v>42</v>
      </c>
      <c r="E115" s="5">
        <f t="shared" si="34"/>
        <v>25</v>
      </c>
      <c r="F115" s="5">
        <f t="shared" si="35"/>
        <v>1362.5</v>
      </c>
      <c r="G115" s="17">
        <f t="shared" si="42"/>
        <v>96</v>
      </c>
      <c r="H115">
        <f t="shared" si="36"/>
        <v>59.514000000000003</v>
      </c>
      <c r="I115">
        <f t="shared" si="39"/>
        <v>58.941749999999999</v>
      </c>
      <c r="J115">
        <f t="shared" si="37"/>
        <v>0.57225000000000392</v>
      </c>
      <c r="K115" s="70">
        <f t="shared" si="38"/>
        <v>647.16668100000436</v>
      </c>
      <c r="L115" s="70"/>
      <c r="M115" s="70"/>
      <c r="N115" s="70"/>
      <c r="O115" s="70"/>
      <c r="P115" s="70"/>
      <c r="Q115" s="70"/>
    </row>
    <row r="116" spans="1:17" hidden="1" outlineLevel="2">
      <c r="A116" s="5" t="str">
        <f>'Plant loading'!A65</f>
        <v>Milton Keynes</v>
      </c>
      <c r="B116" s="5" t="str">
        <f>'Plant loading'!B65</f>
        <v>PEBMS</v>
      </c>
      <c r="C116" s="5">
        <f>'Plant loading'!E65</f>
        <v>985</v>
      </c>
      <c r="D116" s="10">
        <f>'Plant loading'!H65</f>
        <v>42</v>
      </c>
      <c r="E116" s="5">
        <f t="shared" si="34"/>
        <v>23.452380952380953</v>
      </c>
      <c r="F116" s="5">
        <f t="shared" si="35"/>
        <v>1278.1547619047619</v>
      </c>
      <c r="G116" s="17">
        <f t="shared" si="42"/>
        <v>96</v>
      </c>
      <c r="H116">
        <f t="shared" si="36"/>
        <v>55.829800000000006</v>
      </c>
      <c r="I116">
        <f t="shared" si="39"/>
        <v>55.292974999999998</v>
      </c>
      <c r="J116">
        <f t="shared" si="37"/>
        <v>0.53682500000000744</v>
      </c>
      <c r="K116" s="70">
        <f t="shared" si="38"/>
        <v>607.10398170000838</v>
      </c>
      <c r="L116" s="70"/>
      <c r="M116" s="70"/>
      <c r="N116" s="70"/>
      <c r="O116" s="70"/>
      <c r="P116" s="70"/>
      <c r="Q116" s="70"/>
    </row>
    <row r="117" spans="1:17" hidden="1" outlineLevel="1">
      <c r="A117" s="5" t="str">
        <f>'Plant loading'!A66</f>
        <v>Milton Keynes</v>
      </c>
      <c r="B117" s="5" t="str">
        <f>'Plant loading'!B66</f>
        <v>PECMS</v>
      </c>
      <c r="C117" s="5">
        <f>'Plant loading'!E66</f>
        <v>978</v>
      </c>
      <c r="D117" s="10">
        <f>'Plant loading'!H66</f>
        <v>42</v>
      </c>
      <c r="E117" s="5">
        <f t="shared" si="34"/>
        <v>23.285714285714285</v>
      </c>
      <c r="F117" s="5">
        <f t="shared" si="35"/>
        <v>1269.0714285714284</v>
      </c>
      <c r="G117" s="17">
        <f t="shared" si="42"/>
        <v>96</v>
      </c>
      <c r="H117">
        <f t="shared" si="36"/>
        <v>55.433039999999998</v>
      </c>
      <c r="I117">
        <f t="shared" si="39"/>
        <v>54.900030000000001</v>
      </c>
      <c r="J117">
        <f t="shared" si="37"/>
        <v>0.53300999999999732</v>
      </c>
      <c r="K117" s="70">
        <f t="shared" si="38"/>
        <v>602.78953715999683</v>
      </c>
      <c r="L117" s="70"/>
      <c r="M117" s="70"/>
      <c r="N117" s="70"/>
      <c r="O117" s="70"/>
      <c r="P117" s="70"/>
      <c r="Q117" s="70"/>
    </row>
    <row r="118" spans="1:17" hidden="1" outlineLevel="1">
      <c r="A118" s="5" t="str">
        <f>'Plant loading'!A67</f>
        <v>Milton Keynes</v>
      </c>
      <c r="B118" s="5" t="str">
        <f>'Plant loading'!B67</f>
        <v>PEDMS</v>
      </c>
      <c r="C118" s="5">
        <f>'Plant loading'!E67</f>
        <v>1130</v>
      </c>
      <c r="D118" s="10">
        <f>'Plant loading'!H67</f>
        <v>42</v>
      </c>
      <c r="E118" s="5">
        <f t="shared" si="34"/>
        <v>26.904761904761905</v>
      </c>
      <c r="F118" s="5">
        <f t="shared" si="35"/>
        <v>1466.3095238095239</v>
      </c>
      <c r="G118" s="17">
        <f t="shared" si="42"/>
        <v>97</v>
      </c>
      <c r="H118">
        <f t="shared" si="36"/>
        <v>63.432550000000006</v>
      </c>
      <c r="I118">
        <f t="shared" si="39"/>
        <v>63.432550000000006</v>
      </c>
      <c r="J118">
        <f t="shared" si="37"/>
        <v>0</v>
      </c>
      <c r="K118" s="70">
        <f t="shared" si="38"/>
        <v>0</v>
      </c>
      <c r="L118" s="70"/>
      <c r="M118" s="70"/>
      <c r="N118" s="70"/>
      <c r="O118" s="70"/>
      <c r="P118" s="70"/>
      <c r="Q118" s="70"/>
    </row>
    <row r="119" spans="1:17" hidden="1" outlineLevel="1">
      <c r="A119" s="5" t="str">
        <f>'Plant loading'!A68</f>
        <v>Milton Keynes</v>
      </c>
      <c r="B119" s="5" t="str">
        <f>'Plant loading'!B68</f>
        <v>PEEMS</v>
      </c>
      <c r="C119" s="5">
        <f>'Plant loading'!E68</f>
        <v>1046</v>
      </c>
      <c r="D119" s="10">
        <f>'Plant loading'!H68</f>
        <v>42</v>
      </c>
      <c r="E119" s="5">
        <f t="shared" si="34"/>
        <v>24.904761904761905</v>
      </c>
      <c r="F119" s="5">
        <f t="shared" si="35"/>
        <v>1357.3095238095239</v>
      </c>
      <c r="G119" s="17">
        <f t="shared" si="42"/>
        <v>96</v>
      </c>
      <c r="H119">
        <f t="shared" si="36"/>
        <v>59.287279999999996</v>
      </c>
      <c r="I119">
        <f t="shared" si="39"/>
        <v>58.717210000000001</v>
      </c>
      <c r="J119">
        <f t="shared" si="37"/>
        <v>0.57006999999999408</v>
      </c>
      <c r="K119" s="70">
        <f t="shared" si="38"/>
        <v>644.70128411999326</v>
      </c>
      <c r="L119" s="70"/>
      <c r="M119" s="70"/>
      <c r="N119" s="70"/>
      <c r="O119" s="70"/>
      <c r="P119" s="70"/>
      <c r="Q119" s="70"/>
    </row>
    <row r="120" spans="1:17" hidden="1" outlineLevel="1">
      <c r="A120" s="5" t="str">
        <f>'Plant loading'!A69</f>
        <v>Milton Keynes</v>
      </c>
      <c r="B120" s="5" t="str">
        <f>'Plant loading'!B69</f>
        <v>PEFMS</v>
      </c>
      <c r="C120" s="5">
        <f>'Plant loading'!E69</f>
        <v>1039</v>
      </c>
      <c r="D120" s="10">
        <f>'Plant loading'!H69</f>
        <v>42</v>
      </c>
      <c r="E120" s="5">
        <f t="shared" si="34"/>
        <v>24.738095238095237</v>
      </c>
      <c r="F120" s="5">
        <f t="shared" si="35"/>
        <v>1348.2261904761904</v>
      </c>
      <c r="G120" s="17">
        <f t="shared" si="42"/>
        <v>96</v>
      </c>
      <c r="H120">
        <f t="shared" si="36"/>
        <v>58.890520000000002</v>
      </c>
      <c r="I120">
        <f t="shared" si="39"/>
        <v>58.324264999999997</v>
      </c>
      <c r="J120">
        <f t="shared" si="37"/>
        <v>0.56625500000000528</v>
      </c>
      <c r="K120" s="70">
        <f t="shared" si="38"/>
        <v>640.38683958000593</v>
      </c>
      <c r="L120" s="70"/>
      <c r="M120" s="70"/>
      <c r="N120" s="70"/>
      <c r="O120" s="70"/>
      <c r="P120" s="70"/>
      <c r="Q120" s="70"/>
    </row>
    <row r="121" spans="1:17" hidden="1" outlineLevel="1">
      <c r="K121" s="71">
        <f>SUM(K95:K99)+SUM(K101:K120)</f>
        <v>14676.81580124999</v>
      </c>
      <c r="L121" s="71"/>
      <c r="M121" s="71"/>
      <c r="N121" s="71"/>
      <c r="O121" s="71"/>
      <c r="P121" s="71"/>
      <c r="Q121" s="71"/>
    </row>
    <row r="122" spans="1:17" hidden="1" outlineLevel="1"/>
    <row r="123" spans="1:17" hidden="1" outlineLevel="1" collapsed="1"/>
    <row r="124" spans="1:17" hidden="1" outlineLevel="1"/>
    <row r="125" spans="1:17" hidden="1" outlineLevel="1"/>
    <row r="126" spans="1:17" hidden="1" outlineLevel="1"/>
    <row r="127" spans="1:17" hidden="1" outlineLevel="1"/>
    <row r="128" spans="1:17" hidden="1" outlineLevel="1"/>
    <row r="129" collapsed="1"/>
  </sheetData>
  <conditionalFormatting sqref="G1:G65536">
    <cfRule type="cellIs" dxfId="79" priority="1" stopIfTrue="1" operator="lessThan">
      <formula>90</formula>
    </cfRule>
  </conditionalFormatting>
  <conditionalFormatting sqref="L2:L56">
    <cfRule type="cellIs" dxfId="78" priority="2" stopIfTrue="1" operator="lessThan">
      <formula>90</formula>
    </cfRule>
  </conditionalFormatting>
  <pageMargins left="0.7" right="0.7" top="0.75" bottom="0.75" header="0.3" footer="0.3"/>
  <pageSetup paperSize="9" orientation="portrait" r:id="rId1"/>
  <headerFooter>
    <oddFooter>&amp;L&amp;1#&amp;"Calibri"&amp;7&amp;K000000C2 General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pageSetUpPr fitToPage="1"/>
  </sheetPr>
  <dimension ref="A1"/>
  <sheetViews>
    <sheetView topLeftCell="A13"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pageSetUpPr fitToPage="1"/>
  </sheetPr>
  <dimension ref="A1"/>
  <sheetViews>
    <sheetView topLeftCell="A4" zoomScale="80" zoomScaleNormal="8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
  <sheetViews>
    <sheetView view="pageBreakPreview" zoomScale="6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pageSetUpPr fitToPage="1"/>
  </sheetPr>
  <dimension ref="C31:T74"/>
  <sheetViews>
    <sheetView view="pageBreakPreview" topLeftCell="A7" zoomScale="60" zoomScaleNormal="60" workbookViewId="0">
      <selection activeCell="AC46" sqref="AC46"/>
    </sheetView>
  </sheetViews>
  <sheetFormatPr defaultColWidth="8.6640625" defaultRowHeight="10.15"/>
  <sheetData>
    <row r="31" spans="15:15" ht="15">
      <c r="O31" s="15"/>
    </row>
    <row r="32" spans="15:15" ht="15">
      <c r="O32" s="15"/>
    </row>
    <row r="33" spans="15:20" ht="12" customHeight="1"/>
    <row r="34" spans="15:20">
      <c r="O34" s="526"/>
      <c r="P34" s="16"/>
      <c r="Q34" s="16"/>
      <c r="R34" s="16"/>
      <c r="S34" s="16"/>
      <c r="T34" s="16"/>
    </row>
    <row r="35" spans="15:20">
      <c r="O35" s="16"/>
      <c r="P35" s="16"/>
      <c r="Q35" s="16"/>
      <c r="R35" s="16"/>
      <c r="S35" s="16"/>
      <c r="T35" s="16"/>
    </row>
    <row r="36" spans="15:20">
      <c r="O36" s="16"/>
      <c r="P36" s="16"/>
      <c r="Q36" s="16"/>
      <c r="R36" s="16"/>
      <c r="S36" s="16"/>
      <c r="T36" s="16"/>
    </row>
    <row r="73" spans="3:3" ht="24.6">
      <c r="C73" s="121"/>
    </row>
    <row r="74" spans="3:3" ht="24.6">
      <c r="C74" s="122"/>
    </row>
  </sheetData>
  <pageMargins left="0.74803149606299213" right="0.74803149606299213" top="0.98425196850393704" bottom="0.98425196850393704" header="0.51181102362204722" footer="0.51181102362204722"/>
  <pageSetup paperSize="8" scale="78" orientation="landscape" r:id="rId1"/>
  <headerFooter alignWithMargins="0">
    <oddFooter>&amp;R&amp;K00-004MTX Space and Power July 2017&amp;L&amp;1#&amp;"Calibri"&amp;7&amp;K000000C2 General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8" orientation="landscape" r:id="rId1"/>
  <headerFooter alignWithMargins="0">
    <oddFooter>&amp;R&amp;K00-004MTX Space and Power July 2017&amp;L&amp;1#&amp;"Calibri"&amp;7&amp;K000000C2 General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pageSetUpPr fitToPage="1"/>
  </sheetPr>
  <dimension ref="B74"/>
  <sheetViews>
    <sheetView view="pageBreakPreview" zoomScale="60" zoomScaleNormal="60" workbookViewId="0">
      <selection activeCell="AC46" sqref="AC46"/>
    </sheetView>
  </sheetViews>
  <sheetFormatPr defaultColWidth="8.6640625" defaultRowHeight="10.15"/>
  <sheetData>
    <row r="74" spans="2:2" ht="10.5" customHeight="1">
      <c r="B74" s="54"/>
    </row>
  </sheetData>
  <pageMargins left="0.74803149606299213" right="0.74803149606299213" top="0.98425196850393704" bottom="0.98425196850393704" header="0.51181102362204722" footer="0.51181102362204722"/>
  <pageSetup paperSize="8" scale="93" orientation="landscape" r:id="rId1"/>
  <headerFooter alignWithMargins="0">
    <oddFooter>&amp;R&amp;K00-004MTX Space and Power July 2017&amp;L&amp;1#&amp;"Calibri"&amp;7&amp;K000000C2 General</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3">
    <pageSetUpPr fitToPage="1"/>
  </sheetPr>
  <dimension ref="B74:F115"/>
  <sheetViews>
    <sheetView view="pageBreakPreview" zoomScale="50" zoomScaleNormal="50" zoomScaleSheetLayoutView="50" workbookViewId="0">
      <selection activeCell="AC46" sqref="AC46"/>
    </sheetView>
  </sheetViews>
  <sheetFormatPr defaultColWidth="8.6640625" defaultRowHeight="10.15"/>
  <sheetData>
    <row r="74" spans="6:6" ht="24.6">
      <c r="F74" s="30"/>
    </row>
    <row r="115" spans="2:2" ht="22.9">
      <c r="B115" s="167"/>
    </row>
  </sheetData>
  <pageMargins left="0.74803149606299213" right="0.74803149606299213" top="0.98425196850393704" bottom="0.98425196850393704" header="0.51181102362204722" footer="0.51181102362204722"/>
  <pageSetup paperSize="8" scale="75" orientation="landscape" r:id="rId1"/>
  <headerFooter alignWithMargins="0">
    <oddFooter>&amp;R&amp;K00-004MTX Space and Power July 2017&amp;L&amp;1#&amp;"Calibri"&amp;7&amp;K000000C2 General</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6">
    <pageSetUpPr fitToPage="1"/>
  </sheetPr>
  <dimension ref="A1"/>
  <sheetViews>
    <sheetView zoomScale="60" zoomScaleNormal="60" zoomScaleSheetLayoutView="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89" orientation="landscape" r:id="rId1"/>
  <headerFooter alignWithMargins="0">
    <oddFooter>&amp;R&amp;K00-004MTX Space and Power July 2017&amp;L&amp;1#&amp;"Calibri"&amp;7&amp;K000000C2 General</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0">
    <pageSetUpPr fitToPage="1"/>
  </sheetPr>
  <dimension ref="A1"/>
  <sheetViews>
    <sheetView topLeftCell="A7"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4">
    <pageSetUpPr fitToPage="1"/>
  </sheetPr>
  <dimension ref="F74"/>
  <sheetViews>
    <sheetView zoomScale="60" zoomScaleNormal="60" workbookViewId="0">
      <selection activeCell="AC46" sqref="AC46"/>
    </sheetView>
  </sheetViews>
  <sheetFormatPr defaultColWidth="8.6640625" defaultRowHeight="10.15"/>
  <sheetData>
    <row r="74" spans="6:6" ht="24.6">
      <c r="F74" s="30"/>
    </row>
  </sheetData>
  <pageMargins left="0.74803149606299213" right="0.74803149606299213" top="0.98425196850393704" bottom="0.98425196850393704" header="0.51181102362204722" footer="0.51181102362204722"/>
  <pageSetup paperSize="8" scale="87" orientation="landscape" r:id="rId1"/>
  <headerFooter alignWithMargins="0">
    <oddFooter>&amp;R&amp;K00-004MTX Space and Power July 2017&amp;L&amp;1#&amp;"Calibri"&amp;7&amp;K000000C2 General</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pageSetUpPr fitToPage="1"/>
  </sheetPr>
  <dimension ref="A1"/>
  <sheetViews>
    <sheetView topLeftCell="A4"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pageSetUpPr fitToPage="1"/>
  </sheetPr>
  <dimension ref="C75:C76"/>
  <sheetViews>
    <sheetView view="pageBreakPreview" topLeftCell="A23" zoomScale="80" zoomScaleNormal="70" zoomScaleSheetLayoutView="80" workbookViewId="0">
      <selection activeCell="AC46" sqref="AC46"/>
    </sheetView>
  </sheetViews>
  <sheetFormatPr defaultColWidth="8.6640625" defaultRowHeight="10.15"/>
  <sheetData>
    <row r="75" spans="3:3" ht="20.25" hidden="1" customHeight="1">
      <c r="C75" s="122" t="s">
        <v>150</v>
      </c>
    </row>
    <row r="76" spans="3:3" ht="47.25" customHeight="1">
      <c r="C76" s="126"/>
    </row>
  </sheetData>
  <pageMargins left="0.74803149606299213" right="0.74803149606299213" top="0.98425196850393704" bottom="0.98425196850393704" header="0.51181102362204722" footer="0.51181102362204722"/>
  <pageSetup paperSize="8" scale="82" orientation="landscape" r:id="rId1"/>
  <headerFooter alignWithMargins="0">
    <oddFooter>&amp;R&amp;K00-003MTX Space and Power May 2017&amp;L&amp;1#&amp;"Calibri"&amp;7&amp;K000000C2 General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1">
    <pageSetUpPr fitToPage="1"/>
  </sheetPr>
  <dimension ref="A1"/>
  <sheetViews>
    <sheetView zoomScale="75" zoomScaleNormal="75"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dimension ref="B1:O36"/>
  <sheetViews>
    <sheetView topLeftCell="A4" zoomScale="110" zoomScaleNormal="110" workbookViewId="0">
      <selection activeCell="AC46" sqref="AC46"/>
    </sheetView>
  </sheetViews>
  <sheetFormatPr defaultColWidth="14.5" defaultRowHeight="10.15"/>
  <cols>
    <col min="2" max="2" width="10.1640625" bestFit="1" customWidth="1"/>
    <col min="3" max="3" width="17.6640625" bestFit="1" customWidth="1"/>
    <col min="4" max="4" width="14.1640625" bestFit="1" customWidth="1"/>
    <col min="5" max="5" width="18" bestFit="1" customWidth="1"/>
    <col min="6" max="6" width="12.1640625" bestFit="1" customWidth="1"/>
    <col min="7" max="7" width="21" bestFit="1" customWidth="1"/>
    <col min="8" max="8" width="18.1640625" bestFit="1" customWidth="1"/>
    <col min="9" max="9" width="23.1640625" bestFit="1" customWidth="1"/>
    <col min="10" max="10" width="12.6640625" bestFit="1" customWidth="1"/>
    <col min="11" max="11" width="18.6640625" bestFit="1" customWidth="1"/>
    <col min="12" max="12" width="17" bestFit="1" customWidth="1"/>
    <col min="13" max="14" width="13" bestFit="1" customWidth="1"/>
    <col min="15" max="15" width="15.1640625" bestFit="1" customWidth="1"/>
  </cols>
  <sheetData>
    <row r="1" spans="2:15" ht="10.9" thickBot="1">
      <c r="B1" s="14" t="s">
        <v>515</v>
      </c>
      <c r="C1" s="14" t="s">
        <v>583</v>
      </c>
      <c r="D1" s="14" t="s">
        <v>1486</v>
      </c>
      <c r="E1" s="14" t="s">
        <v>1523</v>
      </c>
      <c r="F1" s="14" t="s">
        <v>23</v>
      </c>
      <c r="G1" s="14"/>
      <c r="H1" s="14" t="s">
        <v>1524</v>
      </c>
      <c r="I1" s="14" t="s">
        <v>545</v>
      </c>
      <c r="J1" s="14"/>
      <c r="K1" s="14"/>
    </row>
    <row r="2" spans="2:15" ht="13.15">
      <c r="B2" s="251" t="s">
        <v>131</v>
      </c>
      <c r="C2" s="222" t="s">
        <v>1525</v>
      </c>
      <c r="D2" s="355">
        <v>674</v>
      </c>
      <c r="E2" s="1403">
        <v>208.953</v>
      </c>
      <c r="F2" s="222">
        <v>7</v>
      </c>
      <c r="G2" s="1406">
        <v>5.1275000000000004</v>
      </c>
      <c r="H2" s="222">
        <f t="shared" ref="H2:H7" si="0">D2+F2</f>
        <v>681</v>
      </c>
      <c r="I2" s="226">
        <v>466</v>
      </c>
      <c r="J2" s="227">
        <v>0.40346320346320347</v>
      </c>
      <c r="K2" s="1299">
        <v>0.57795666666666679</v>
      </c>
    </row>
    <row r="3" spans="2:15" ht="13.15">
      <c r="B3" s="253" t="s">
        <v>131</v>
      </c>
      <c r="C3" s="233" t="s">
        <v>1526</v>
      </c>
      <c r="D3" s="356">
        <v>583</v>
      </c>
      <c r="E3" s="1404"/>
      <c r="F3" s="233">
        <v>7</v>
      </c>
      <c r="G3" s="1407"/>
      <c r="H3" s="233">
        <f t="shared" si="0"/>
        <v>590</v>
      </c>
      <c r="I3" s="237">
        <v>534</v>
      </c>
      <c r="J3" s="238">
        <v>0.46233766233766233</v>
      </c>
      <c r="K3" s="1300"/>
    </row>
    <row r="4" spans="2:15" ht="13.15">
      <c r="B4" s="253" t="s">
        <v>131</v>
      </c>
      <c r="C4" s="233" t="s">
        <v>1527</v>
      </c>
      <c r="D4" s="356">
        <v>606</v>
      </c>
      <c r="E4" s="1404"/>
      <c r="F4" s="233">
        <v>7</v>
      </c>
      <c r="G4" s="1407"/>
      <c r="H4" s="233">
        <f t="shared" si="0"/>
        <v>613</v>
      </c>
      <c r="I4" s="237">
        <v>537</v>
      </c>
      <c r="J4" s="238">
        <v>0.46493506493506492</v>
      </c>
      <c r="K4" s="1300"/>
    </row>
    <row r="5" spans="2:15" ht="13.15">
      <c r="B5" s="253" t="s">
        <v>131</v>
      </c>
      <c r="C5" s="233" t="s">
        <v>1528</v>
      </c>
      <c r="D5" s="356">
        <v>589</v>
      </c>
      <c r="E5" s="1404"/>
      <c r="F5" s="233">
        <v>7</v>
      </c>
      <c r="G5" s="1407"/>
      <c r="H5" s="233">
        <f t="shared" si="0"/>
        <v>596</v>
      </c>
      <c r="I5" s="237">
        <v>516</v>
      </c>
      <c r="J5" s="238">
        <v>0.44675324675324674</v>
      </c>
      <c r="K5" s="1300"/>
    </row>
    <row r="6" spans="2:15" ht="13.15">
      <c r="B6" s="253" t="s">
        <v>131</v>
      </c>
      <c r="C6" s="233" t="s">
        <v>1529</v>
      </c>
      <c r="D6" s="356">
        <v>722</v>
      </c>
      <c r="E6" s="1404"/>
      <c r="F6" s="233">
        <v>7</v>
      </c>
      <c r="G6" s="1407"/>
      <c r="H6" s="233">
        <f t="shared" si="0"/>
        <v>729</v>
      </c>
      <c r="I6" s="237">
        <v>431</v>
      </c>
      <c r="J6" s="238">
        <v>0.37316017316017314</v>
      </c>
      <c r="K6" s="1300"/>
    </row>
    <row r="7" spans="2:15" ht="13.9" thickBot="1">
      <c r="B7" s="256" t="s">
        <v>131</v>
      </c>
      <c r="C7" s="260" t="s">
        <v>1530</v>
      </c>
      <c r="D7" s="357">
        <v>596</v>
      </c>
      <c r="E7" s="1405"/>
      <c r="F7" s="260">
        <v>0</v>
      </c>
      <c r="G7" s="1408"/>
      <c r="H7" s="260">
        <f t="shared" si="0"/>
        <v>596</v>
      </c>
      <c r="I7" s="261">
        <v>577</v>
      </c>
      <c r="J7" s="262">
        <v>0.49956709956709955</v>
      </c>
      <c r="K7" s="1301"/>
    </row>
    <row r="10" spans="2:15" ht="39.6">
      <c r="B10" s="309" t="s">
        <v>7</v>
      </c>
      <c r="C10" s="304" t="s">
        <v>345</v>
      </c>
      <c r="D10" s="304" t="s">
        <v>346</v>
      </c>
      <c r="E10" s="305" t="s">
        <v>252</v>
      </c>
      <c r="F10" s="305" t="s">
        <v>253</v>
      </c>
      <c r="G10" s="305" t="s">
        <v>255</v>
      </c>
      <c r="H10" s="304" t="s">
        <v>256</v>
      </c>
      <c r="I10" s="304" t="s">
        <v>257</v>
      </c>
      <c r="J10" s="304" t="s">
        <v>1531</v>
      </c>
      <c r="K10" s="304" t="s">
        <v>1532</v>
      </c>
      <c r="L10" s="304" t="s">
        <v>262</v>
      </c>
      <c r="M10" s="304" t="s">
        <v>265</v>
      </c>
      <c r="N10" s="304" t="s">
        <v>266</v>
      </c>
      <c r="O10" s="347" t="s">
        <v>1533</v>
      </c>
    </row>
    <row r="11" spans="2:15" ht="13.15">
      <c r="B11" s="204" t="s">
        <v>317</v>
      </c>
      <c r="C11" s="204" t="s">
        <v>1534</v>
      </c>
      <c r="D11" s="204" t="s">
        <v>354</v>
      </c>
      <c r="E11" s="204">
        <v>18</v>
      </c>
      <c r="F11" s="204">
        <v>5</v>
      </c>
      <c r="G11" s="204">
        <f>(E11-F11)*3</f>
        <v>39</v>
      </c>
      <c r="H11" s="204">
        <f>INT((G11*1000)/230)</f>
        <v>169</v>
      </c>
      <c r="I11" s="204">
        <f>42-G11</f>
        <v>3</v>
      </c>
      <c r="J11" s="204">
        <v>67</v>
      </c>
      <c r="K11" s="204">
        <f>INT((J11*230)/1000)</f>
        <v>15</v>
      </c>
      <c r="L11" s="204">
        <f>K11*1.09</f>
        <v>16.350000000000001</v>
      </c>
      <c r="M11" s="204">
        <v>0</v>
      </c>
      <c r="N11" s="204">
        <f>(M11*230)/1000</f>
        <v>0</v>
      </c>
      <c r="O11">
        <f>((L11/E11)*1000)/54.5</f>
        <v>16.666666666666668</v>
      </c>
    </row>
    <row r="12" spans="2:15" ht="13.15">
      <c r="B12" s="204" t="s">
        <v>317</v>
      </c>
      <c r="C12" s="204" t="s">
        <v>1535</v>
      </c>
      <c r="D12" s="204" t="s">
        <v>354</v>
      </c>
      <c r="E12" s="204">
        <v>18</v>
      </c>
      <c r="F12" s="204">
        <v>5</v>
      </c>
      <c r="G12" s="204">
        <f>(E12-F12)*3</f>
        <v>39</v>
      </c>
      <c r="H12" s="204">
        <f>INT((G12*1000)/230)</f>
        <v>169</v>
      </c>
      <c r="I12" s="204">
        <f>42-G12</f>
        <v>3</v>
      </c>
      <c r="J12" s="204">
        <v>37</v>
      </c>
      <c r="K12" s="204">
        <f>INT((J12*230)/1000)</f>
        <v>8</v>
      </c>
      <c r="L12" s="204">
        <f>K12*1.09</f>
        <v>8.7200000000000006</v>
      </c>
      <c r="M12" s="204">
        <v>0</v>
      </c>
      <c r="N12" s="204">
        <f>(M12*230)/1000</f>
        <v>0</v>
      </c>
      <c r="O12">
        <f>((L12/E12)*1000)/54.5</f>
        <v>8.8888888888888893</v>
      </c>
    </row>
    <row r="13" spans="2:15" ht="13.15">
      <c r="B13" s="204" t="s">
        <v>317</v>
      </c>
      <c r="C13" s="204" t="s">
        <v>1536</v>
      </c>
      <c r="D13" s="204" t="s">
        <v>354</v>
      </c>
      <c r="E13" s="204">
        <v>18</v>
      </c>
      <c r="F13" s="204">
        <v>5</v>
      </c>
      <c r="G13" s="204">
        <f>(E13-F13)*3</f>
        <v>39</v>
      </c>
      <c r="H13" s="204">
        <f>INT((G13*1000)/230)</f>
        <v>169</v>
      </c>
      <c r="I13" s="204">
        <f>42-G13</f>
        <v>3</v>
      </c>
      <c r="J13" s="204">
        <v>30</v>
      </c>
      <c r="K13" s="204">
        <f>INT((J13*230)/1000)</f>
        <v>6</v>
      </c>
      <c r="L13" s="204">
        <f>K13*1.09</f>
        <v>6.5400000000000009</v>
      </c>
      <c r="M13" s="204">
        <v>8</v>
      </c>
      <c r="N13" s="204">
        <f>(M13*230)/1000</f>
        <v>1.84</v>
      </c>
      <c r="O13">
        <f>((L13/E13)*1000)/54.5</f>
        <v>6.666666666666667</v>
      </c>
    </row>
    <row r="14" spans="2:15" ht="13.15">
      <c r="B14" s="204" t="s">
        <v>317</v>
      </c>
      <c r="C14" s="204" t="s">
        <v>1537</v>
      </c>
      <c r="D14" s="204" t="s">
        <v>354</v>
      </c>
      <c r="E14" s="204">
        <v>8</v>
      </c>
      <c r="F14" s="204">
        <v>3</v>
      </c>
      <c r="G14" s="204">
        <f>(E14-F14)*3</f>
        <v>15</v>
      </c>
      <c r="H14" s="204">
        <f>INT((G14*1000)/230)</f>
        <v>65</v>
      </c>
      <c r="I14" s="204">
        <f>42-G14</f>
        <v>27</v>
      </c>
      <c r="J14" s="204">
        <v>2</v>
      </c>
      <c r="K14" s="204">
        <f>INT((J14*230)/1000)</f>
        <v>0</v>
      </c>
      <c r="L14" s="204">
        <f>K14*1.09</f>
        <v>0</v>
      </c>
      <c r="M14" s="204">
        <v>0</v>
      </c>
      <c r="N14" s="204">
        <f>(M14*230)/1000</f>
        <v>0</v>
      </c>
      <c r="O14">
        <f>((L14/E14)*1000)/54.5</f>
        <v>0</v>
      </c>
    </row>
    <row r="16" spans="2:15" ht="10.9" thickBot="1"/>
    <row r="17" spans="2:12" ht="13.15">
      <c r="B17" s="358"/>
      <c r="C17" s="359" t="s">
        <v>1534</v>
      </c>
      <c r="D17" s="359" t="s">
        <v>1535</v>
      </c>
      <c r="E17" s="359" t="s">
        <v>1536</v>
      </c>
      <c r="F17" s="359" t="s">
        <v>1537</v>
      </c>
      <c r="G17" s="365" t="s">
        <v>1538</v>
      </c>
      <c r="H17" s="805" t="s">
        <v>1539</v>
      </c>
      <c r="I17" s="805" t="s">
        <v>1540</v>
      </c>
      <c r="J17" s="805" t="s">
        <v>1541</v>
      </c>
      <c r="K17" s="805" t="s">
        <v>1542</v>
      </c>
      <c r="L17" s="805" t="s">
        <v>1543</v>
      </c>
    </row>
    <row r="18" spans="2:12">
      <c r="B18" s="360" t="s">
        <v>1525</v>
      </c>
      <c r="C18">
        <v>4</v>
      </c>
      <c r="D18">
        <v>3</v>
      </c>
      <c r="E18">
        <v>4</v>
      </c>
      <c r="G18" s="361">
        <f t="shared" ref="G18:G23" si="1">(C18*$O$11)+(D18*$O$12)+(E18*$O$13)</f>
        <v>120.00000000000001</v>
      </c>
      <c r="H18" s="366">
        <f t="shared" ref="H18:H23" si="2">D2-G18</f>
        <v>554</v>
      </c>
      <c r="I18" s="366">
        <f t="shared" ref="I18:I23" si="3">SUM(C30:D30)</f>
        <v>9</v>
      </c>
      <c r="J18" s="368">
        <f t="shared" ref="J18:J23" si="4">I18*$H$26</f>
        <v>104.94</v>
      </c>
      <c r="K18" s="366">
        <f t="shared" ref="K18:K23" si="5">H18+J18</f>
        <v>658.94</v>
      </c>
      <c r="L18" s="370">
        <f t="shared" ref="L18:L23" si="6">K18-D2</f>
        <v>-15.059999999999945</v>
      </c>
    </row>
    <row r="19" spans="2:12">
      <c r="B19" s="360" t="s">
        <v>1526</v>
      </c>
      <c r="C19">
        <v>3</v>
      </c>
      <c r="D19">
        <v>3</v>
      </c>
      <c r="E19">
        <v>3</v>
      </c>
      <c r="G19" s="361">
        <f t="shared" si="1"/>
        <v>96.666666666666671</v>
      </c>
      <c r="H19" s="366">
        <f t="shared" si="2"/>
        <v>486.33333333333331</v>
      </c>
      <c r="I19" s="366">
        <f t="shared" si="3"/>
        <v>9</v>
      </c>
      <c r="J19" s="368">
        <f t="shared" si="4"/>
        <v>104.94</v>
      </c>
      <c r="K19" s="366">
        <f t="shared" si="5"/>
        <v>591.27333333333331</v>
      </c>
      <c r="L19" s="370">
        <f t="shared" si="6"/>
        <v>8.2733333333333121</v>
      </c>
    </row>
    <row r="20" spans="2:12">
      <c r="B20" s="360" t="s">
        <v>1527</v>
      </c>
      <c r="C20">
        <v>3</v>
      </c>
      <c r="D20">
        <v>4</v>
      </c>
      <c r="E20">
        <v>3</v>
      </c>
      <c r="G20" s="361">
        <f t="shared" si="1"/>
        <v>105.55555555555556</v>
      </c>
      <c r="H20" s="366">
        <f t="shared" si="2"/>
        <v>500.44444444444446</v>
      </c>
      <c r="I20" s="366">
        <f t="shared" si="3"/>
        <v>9</v>
      </c>
      <c r="J20" s="368">
        <f t="shared" si="4"/>
        <v>104.94</v>
      </c>
      <c r="K20" s="366">
        <f t="shared" si="5"/>
        <v>605.3844444444444</v>
      </c>
      <c r="L20" s="370">
        <f t="shared" si="6"/>
        <v>-0.61555555555560204</v>
      </c>
    </row>
    <row r="21" spans="2:12">
      <c r="B21" s="360" t="s">
        <v>1528</v>
      </c>
      <c r="C21">
        <v>4</v>
      </c>
      <c r="D21">
        <v>4</v>
      </c>
      <c r="E21">
        <v>4</v>
      </c>
      <c r="G21" s="361">
        <f t="shared" si="1"/>
        <v>128.88888888888889</v>
      </c>
      <c r="H21" s="366">
        <f t="shared" si="2"/>
        <v>460.11111111111109</v>
      </c>
      <c r="I21" s="366">
        <f t="shared" si="3"/>
        <v>8</v>
      </c>
      <c r="J21" s="368">
        <f t="shared" si="4"/>
        <v>93.28</v>
      </c>
      <c r="K21" s="366">
        <f t="shared" si="5"/>
        <v>553.39111111111106</v>
      </c>
      <c r="L21" s="370">
        <f t="shared" si="6"/>
        <v>-35.608888888888941</v>
      </c>
    </row>
    <row r="22" spans="2:12">
      <c r="B22" s="360" t="s">
        <v>1529</v>
      </c>
      <c r="C22">
        <v>4</v>
      </c>
      <c r="D22">
        <v>4</v>
      </c>
      <c r="E22">
        <v>4</v>
      </c>
      <c r="G22" s="361">
        <f t="shared" si="1"/>
        <v>128.88888888888889</v>
      </c>
      <c r="H22" s="366">
        <f t="shared" si="2"/>
        <v>593.11111111111109</v>
      </c>
      <c r="I22" s="366">
        <f t="shared" si="3"/>
        <v>8</v>
      </c>
      <c r="J22" s="368">
        <f t="shared" si="4"/>
        <v>93.28</v>
      </c>
      <c r="K22" s="366">
        <f t="shared" si="5"/>
        <v>686.39111111111106</v>
      </c>
      <c r="L22" s="370">
        <f t="shared" si="6"/>
        <v>-35.608888888888941</v>
      </c>
    </row>
    <row r="23" spans="2:12" ht="10.9" thickBot="1">
      <c r="B23" s="362" t="s">
        <v>1530</v>
      </c>
      <c r="C23" s="363"/>
      <c r="D23" s="363"/>
      <c r="E23" s="363"/>
      <c r="F23" s="363"/>
      <c r="G23" s="364">
        <f t="shared" si="1"/>
        <v>0</v>
      </c>
      <c r="H23" s="367">
        <f t="shared" si="2"/>
        <v>596</v>
      </c>
      <c r="I23" s="367">
        <f t="shared" si="3"/>
        <v>9</v>
      </c>
      <c r="J23" s="369">
        <f t="shared" si="4"/>
        <v>104.94</v>
      </c>
      <c r="K23" s="367">
        <f t="shared" si="5"/>
        <v>700.94</v>
      </c>
      <c r="L23" s="371">
        <f t="shared" si="6"/>
        <v>104.94000000000005</v>
      </c>
    </row>
    <row r="25" spans="2:12">
      <c r="C25" s="347" t="s">
        <v>14</v>
      </c>
      <c r="D25" s="347" t="s">
        <v>1544</v>
      </c>
      <c r="E25" s="347" t="s">
        <v>1545</v>
      </c>
    </row>
    <row r="26" spans="2:12">
      <c r="B26" s="347" t="s">
        <v>318</v>
      </c>
      <c r="C26">
        <v>26</v>
      </c>
      <c r="D26">
        <v>15.5</v>
      </c>
      <c r="E26">
        <f>ROUNDUP(((D26/C26)*1000)/54.5,0)*1.06</f>
        <v>11.66</v>
      </c>
      <c r="G26" s="347" t="s">
        <v>1546</v>
      </c>
      <c r="H26">
        <f>MAX(E26:E27)</f>
        <v>11.66</v>
      </c>
    </row>
    <row r="27" spans="2:12">
      <c r="B27" s="347" t="s">
        <v>321</v>
      </c>
      <c r="C27">
        <v>26</v>
      </c>
      <c r="D27">
        <v>15.5</v>
      </c>
      <c r="E27">
        <f>ROUNDUP(((D27/C27)*1000)/54.5,0)*1.06</f>
        <v>11.66</v>
      </c>
    </row>
    <row r="28" spans="2:12" ht="10.9" thickBot="1"/>
    <row r="29" spans="2:12">
      <c r="B29" s="358"/>
      <c r="C29" s="375" t="s">
        <v>318</v>
      </c>
      <c r="D29" s="376" t="s">
        <v>321</v>
      </c>
    </row>
    <row r="30" spans="2:12">
      <c r="B30" s="360" t="s">
        <v>1525</v>
      </c>
      <c r="C30" s="5"/>
      <c r="D30" s="372">
        <v>9</v>
      </c>
    </row>
    <row r="31" spans="2:12">
      <c r="B31" s="360" t="s">
        <v>1526</v>
      </c>
      <c r="C31" s="5">
        <v>9</v>
      </c>
      <c r="D31" s="372"/>
    </row>
    <row r="32" spans="2:12">
      <c r="B32" s="360" t="s">
        <v>1527</v>
      </c>
      <c r="C32" s="5">
        <v>9</v>
      </c>
      <c r="D32" s="372"/>
    </row>
    <row r="33" spans="2:4">
      <c r="B33" s="360" t="s">
        <v>1528</v>
      </c>
      <c r="C33" s="5">
        <v>8</v>
      </c>
      <c r="D33" s="372"/>
    </row>
    <row r="34" spans="2:4">
      <c r="B34" s="360" t="s">
        <v>1529</v>
      </c>
      <c r="C34" s="5"/>
      <c r="D34" s="372">
        <v>8</v>
      </c>
    </row>
    <row r="35" spans="2:4" ht="10.9" thickBot="1">
      <c r="B35" s="362" t="s">
        <v>1530</v>
      </c>
      <c r="C35" s="373"/>
      <c r="D35" s="374">
        <v>9</v>
      </c>
    </row>
    <row r="36" spans="2:4">
      <c r="C36" s="5">
        <f>SUM(C30:C35)</f>
        <v>26</v>
      </c>
      <c r="D36" s="5">
        <f>SUM(D30:D35)</f>
        <v>26</v>
      </c>
    </row>
  </sheetData>
  <mergeCells count="3">
    <mergeCell ref="E2:E7"/>
    <mergeCell ref="G2:G7"/>
    <mergeCell ref="K2:K7"/>
  </mergeCells>
  <conditionalFormatting sqref="J2:J7">
    <cfRule type="cellIs" dxfId="77" priority="4" stopIfTrue="1" operator="lessThanOrEqual">
      <formula>0</formula>
    </cfRule>
    <cfRule type="cellIs" dxfId="76" priority="5" stopIfTrue="1" operator="lessThan">
      <formula>0.06</formula>
    </cfRule>
    <cfRule type="cellIs" dxfId="75" priority="6" stopIfTrue="1" operator="greaterThanOrEqual">
      <formula>0.195</formula>
    </cfRule>
    <cfRule type="cellIs" dxfId="74" priority="7" stopIfTrue="1" operator="between">
      <formula>0.06</formula>
      <formula>0.195</formula>
    </cfRule>
  </conditionalFormatting>
  <conditionalFormatting sqref="K2:K7">
    <cfRule type="cellIs" dxfId="73" priority="1" stopIfTrue="1" operator="lessThan">
      <formula>0.805</formula>
    </cfRule>
    <cfRule type="cellIs" dxfId="72" priority="2" stopIfTrue="1" operator="between">
      <formula>0.805</formula>
      <formula>0.945</formula>
    </cfRule>
    <cfRule type="cellIs" dxfId="71"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6"/>
  <dimension ref="B1:O38"/>
  <sheetViews>
    <sheetView topLeftCell="C1" workbookViewId="0">
      <selection activeCell="AC46" sqref="AC46"/>
    </sheetView>
  </sheetViews>
  <sheetFormatPr defaultColWidth="20.5" defaultRowHeight="13.9"/>
  <cols>
    <col min="1" max="16384" width="20.5" style="378"/>
  </cols>
  <sheetData>
    <row r="1" spans="2:15" ht="14.45" thickBot="1">
      <c r="B1" s="377" t="s">
        <v>515</v>
      </c>
      <c r="C1" s="377" t="s">
        <v>583</v>
      </c>
      <c r="D1" s="377" t="s">
        <v>1486</v>
      </c>
      <c r="E1" s="377" t="s">
        <v>1523</v>
      </c>
      <c r="F1" s="377" t="s">
        <v>23</v>
      </c>
      <c r="G1" s="377"/>
      <c r="H1" s="377" t="s">
        <v>1524</v>
      </c>
      <c r="I1" s="377" t="s">
        <v>545</v>
      </c>
      <c r="J1" s="377"/>
      <c r="K1" s="377"/>
    </row>
    <row r="2" spans="2:15">
      <c r="B2" s="379" t="s">
        <v>104</v>
      </c>
      <c r="C2" s="380" t="s">
        <v>1547</v>
      </c>
      <c r="D2" s="381">
        <v>756</v>
      </c>
      <c r="E2" s="1409">
        <v>274.57100000000003</v>
      </c>
      <c r="F2" s="380">
        <v>7</v>
      </c>
      <c r="G2" s="1412">
        <v>9.7055000000000007</v>
      </c>
      <c r="H2" s="382">
        <v>763</v>
      </c>
      <c r="I2" s="383">
        <v>392</v>
      </c>
      <c r="J2" s="384">
        <v>0.33939393939393941</v>
      </c>
      <c r="K2" s="1415">
        <v>0.73839222222222234</v>
      </c>
    </row>
    <row r="3" spans="2:15">
      <c r="B3" s="385" t="s">
        <v>104</v>
      </c>
      <c r="C3" s="386" t="s">
        <v>1548</v>
      </c>
      <c r="D3" s="387">
        <v>814</v>
      </c>
      <c r="E3" s="1410"/>
      <c r="F3" s="386">
        <v>49</v>
      </c>
      <c r="G3" s="1413"/>
      <c r="H3" s="386">
        <v>863</v>
      </c>
      <c r="I3" s="388">
        <v>292</v>
      </c>
      <c r="J3" s="389">
        <v>0.25281385281385282</v>
      </c>
      <c r="K3" s="1416"/>
    </row>
    <row r="4" spans="2:15">
      <c r="B4" s="385" t="s">
        <v>104</v>
      </c>
      <c r="C4" s="386" t="s">
        <v>1549</v>
      </c>
      <c r="D4" s="387">
        <v>903</v>
      </c>
      <c r="E4" s="1410"/>
      <c r="F4" s="386">
        <v>7</v>
      </c>
      <c r="G4" s="1413"/>
      <c r="H4" s="386">
        <v>910</v>
      </c>
      <c r="I4" s="388">
        <v>245</v>
      </c>
      <c r="J4" s="389">
        <v>0.21212121212121213</v>
      </c>
      <c r="K4" s="1416"/>
    </row>
    <row r="5" spans="2:15">
      <c r="B5" s="385" t="s">
        <v>104</v>
      </c>
      <c r="C5" s="386" t="s">
        <v>1550</v>
      </c>
      <c r="D5" s="387">
        <v>869</v>
      </c>
      <c r="E5" s="1410"/>
      <c r="F5" s="386">
        <v>49</v>
      </c>
      <c r="G5" s="1413"/>
      <c r="H5" s="386">
        <v>918</v>
      </c>
      <c r="I5" s="388">
        <v>237</v>
      </c>
      <c r="J5" s="389">
        <v>0.20519480519480521</v>
      </c>
      <c r="K5" s="1416"/>
    </row>
    <row r="6" spans="2:15">
      <c r="B6" s="385" t="s">
        <v>104</v>
      </c>
      <c r="C6" s="386" t="s">
        <v>1551</v>
      </c>
      <c r="D6" s="387">
        <v>861</v>
      </c>
      <c r="E6" s="1410"/>
      <c r="F6" s="386">
        <v>0</v>
      </c>
      <c r="G6" s="1413"/>
      <c r="H6" s="386">
        <v>861</v>
      </c>
      <c r="I6" s="388">
        <v>294</v>
      </c>
      <c r="J6" s="389">
        <v>0.25454545454545452</v>
      </c>
      <c r="K6" s="1417"/>
    </row>
    <row r="7" spans="2:15" ht="14.45" thickBot="1">
      <c r="B7" s="390" t="s">
        <v>104</v>
      </c>
      <c r="C7" s="391" t="s">
        <v>1552</v>
      </c>
      <c r="D7" s="392">
        <v>835</v>
      </c>
      <c r="E7" s="1411"/>
      <c r="F7" s="391">
        <v>7</v>
      </c>
      <c r="G7" s="1414"/>
      <c r="H7" s="391">
        <v>842</v>
      </c>
      <c r="I7" s="393">
        <v>313</v>
      </c>
      <c r="J7" s="394">
        <v>0.27099567099567101</v>
      </c>
      <c r="K7" s="1418"/>
    </row>
    <row r="10" spans="2:15" ht="27.6">
      <c r="B10" s="395" t="s">
        <v>7</v>
      </c>
      <c r="C10" s="396" t="s">
        <v>345</v>
      </c>
      <c r="D10" s="396" t="s">
        <v>346</v>
      </c>
      <c r="E10" s="397" t="s">
        <v>252</v>
      </c>
      <c r="F10" s="397" t="s">
        <v>253</v>
      </c>
      <c r="G10" s="397" t="s">
        <v>255</v>
      </c>
      <c r="H10" s="396" t="s">
        <v>256</v>
      </c>
      <c r="I10" s="396" t="s">
        <v>257</v>
      </c>
      <c r="J10" s="396" t="s">
        <v>1531</v>
      </c>
      <c r="K10" s="396" t="s">
        <v>1532</v>
      </c>
      <c r="L10" s="396" t="s">
        <v>262</v>
      </c>
      <c r="M10" s="396" t="s">
        <v>265</v>
      </c>
      <c r="N10" s="396" t="s">
        <v>266</v>
      </c>
      <c r="O10" s="378" t="s">
        <v>1533</v>
      </c>
    </row>
    <row r="11" spans="2:15">
      <c r="B11" s="398" t="s">
        <v>297</v>
      </c>
      <c r="C11" s="398" t="s">
        <v>1553</v>
      </c>
      <c r="D11" s="398" t="s">
        <v>354</v>
      </c>
      <c r="E11" s="398">
        <v>18</v>
      </c>
      <c r="F11" s="398">
        <v>5</v>
      </c>
      <c r="G11" s="398">
        <f>(E11-F11)*3</f>
        <v>39</v>
      </c>
      <c r="H11" s="398">
        <f>INT((G11*1000)/230)</f>
        <v>169</v>
      </c>
      <c r="I11" s="398">
        <f>42-G11</f>
        <v>3</v>
      </c>
      <c r="J11" s="398">
        <v>66</v>
      </c>
      <c r="K11" s="398">
        <f>INT((J11*230)/1000)</f>
        <v>15</v>
      </c>
      <c r="L11" s="398">
        <f>K11*1.09</f>
        <v>16.350000000000001</v>
      </c>
      <c r="M11" s="398"/>
      <c r="N11" s="398"/>
      <c r="O11" s="378">
        <f>((L11/E11)*1000)/54.5</f>
        <v>16.666666666666668</v>
      </c>
    </row>
    <row r="12" spans="2:15">
      <c r="B12" s="398" t="s">
        <v>297</v>
      </c>
      <c r="C12" s="398" t="s">
        <v>1554</v>
      </c>
      <c r="D12" s="398" t="s">
        <v>354</v>
      </c>
      <c r="E12" s="398">
        <v>18</v>
      </c>
      <c r="F12" s="398">
        <v>5</v>
      </c>
      <c r="G12" s="398">
        <f>(E12-F12)*3</f>
        <v>39</v>
      </c>
      <c r="H12" s="398">
        <f>INT((G12*1000)/230)</f>
        <v>169</v>
      </c>
      <c r="I12" s="398">
        <f>42-G12</f>
        <v>3</v>
      </c>
      <c r="J12" s="398">
        <v>71</v>
      </c>
      <c r="K12" s="398">
        <f>INT((J12*230)/1000)</f>
        <v>16</v>
      </c>
      <c r="L12" s="398">
        <f>K12*1.09</f>
        <v>17.440000000000001</v>
      </c>
      <c r="M12" s="398"/>
      <c r="N12" s="398"/>
      <c r="O12" s="378">
        <f>((L12/E12)*1000)/54.5</f>
        <v>17.777777777777779</v>
      </c>
    </row>
    <row r="13" spans="2:15">
      <c r="B13" s="398" t="s">
        <v>297</v>
      </c>
      <c r="C13" s="398" t="s">
        <v>1555</v>
      </c>
      <c r="D13" s="398" t="s">
        <v>354</v>
      </c>
      <c r="E13" s="398">
        <v>18</v>
      </c>
      <c r="F13" s="398">
        <v>5</v>
      </c>
      <c r="G13" s="398">
        <f>(E13-F13)*3</f>
        <v>39</v>
      </c>
      <c r="H13" s="398">
        <f>INT((G13*1000)/230)</f>
        <v>169</v>
      </c>
      <c r="I13" s="398">
        <f>42-G13</f>
        <v>3</v>
      </c>
      <c r="J13" s="398">
        <v>64</v>
      </c>
      <c r="K13" s="398">
        <f>INT((J13*230)/1000)</f>
        <v>14</v>
      </c>
      <c r="L13" s="398">
        <f>K13*1.09</f>
        <v>15.260000000000002</v>
      </c>
      <c r="M13" s="398"/>
      <c r="N13" s="398"/>
      <c r="O13" s="378">
        <f>((L13/E13)*1000)/54.5</f>
        <v>15.555555555555557</v>
      </c>
    </row>
    <row r="14" spans="2:15">
      <c r="B14" s="398" t="s">
        <v>297</v>
      </c>
      <c r="C14" s="398" t="s">
        <v>1556</v>
      </c>
      <c r="D14" s="398" t="s">
        <v>354</v>
      </c>
      <c r="E14" s="398">
        <v>9</v>
      </c>
      <c r="F14" s="398">
        <v>2</v>
      </c>
      <c r="G14" s="398">
        <f>(E14-F14)*3</f>
        <v>21</v>
      </c>
      <c r="H14" s="398">
        <f>INT((G14*1000)/230)</f>
        <v>91</v>
      </c>
      <c r="I14" s="398">
        <f>42-G14</f>
        <v>21</v>
      </c>
      <c r="J14" s="398">
        <v>31</v>
      </c>
      <c r="K14" s="398">
        <f>INT((J14*230)/1000)</f>
        <v>7</v>
      </c>
      <c r="L14" s="398">
        <f>K14*1.09</f>
        <v>7.6300000000000008</v>
      </c>
      <c r="M14" s="398"/>
      <c r="N14" s="398"/>
      <c r="O14" s="378">
        <f>((L14/E14)*1000)/54.5</f>
        <v>15.555555555555557</v>
      </c>
    </row>
    <row r="16" spans="2:15" ht="14.45" thickBot="1"/>
    <row r="17" spans="2:12">
      <c r="B17" s="399"/>
      <c r="C17" s="400" t="s">
        <v>1553</v>
      </c>
      <c r="D17" s="400" t="s">
        <v>1554</v>
      </c>
      <c r="E17" s="400" t="s">
        <v>1555</v>
      </c>
      <c r="F17" s="400" t="s">
        <v>1556</v>
      </c>
      <c r="G17" s="401" t="s">
        <v>1538</v>
      </c>
      <c r="H17" s="402" t="s">
        <v>1539</v>
      </c>
      <c r="I17" s="402" t="s">
        <v>1540</v>
      </c>
      <c r="J17" s="402" t="s">
        <v>1541</v>
      </c>
      <c r="K17" s="402" t="s">
        <v>1542</v>
      </c>
      <c r="L17" s="402" t="s">
        <v>1543</v>
      </c>
    </row>
    <row r="18" spans="2:12">
      <c r="B18" s="403" t="s">
        <v>1547</v>
      </c>
      <c r="C18" s="378">
        <v>4</v>
      </c>
      <c r="D18" s="378">
        <v>4</v>
      </c>
      <c r="E18" s="378">
        <v>4</v>
      </c>
      <c r="F18" s="378">
        <v>2</v>
      </c>
      <c r="G18" s="404">
        <f t="shared" ref="G18:G23" si="0">(C18*$O$11)+(D18*$O$12)+(E18*$O$13)+(F18*$O$14)</f>
        <v>231.11111111111111</v>
      </c>
      <c r="H18" s="405">
        <f t="shared" ref="H18:H23" si="1">D2-G18</f>
        <v>524.88888888888891</v>
      </c>
      <c r="I18" s="405">
        <f t="shared" ref="I18:I23" si="2">SUM(C32:F32)</f>
        <v>20</v>
      </c>
      <c r="J18" s="406">
        <f t="shared" ref="J18:J23" si="3">I18*$H$26</f>
        <v>254.4</v>
      </c>
      <c r="K18" s="405">
        <f t="shared" ref="K18:K23" si="4">H18+J18</f>
        <v>779.28888888888889</v>
      </c>
      <c r="L18" s="407">
        <f t="shared" ref="L18:L23" si="5">K18-D2</f>
        <v>23.288888888888891</v>
      </c>
    </row>
    <row r="19" spans="2:12">
      <c r="B19" s="403" t="s">
        <v>1548</v>
      </c>
      <c r="C19" s="378">
        <v>3</v>
      </c>
      <c r="D19" s="378">
        <v>3</v>
      </c>
      <c r="E19" s="378">
        <v>3</v>
      </c>
      <c r="F19" s="378">
        <v>1</v>
      </c>
      <c r="G19" s="404">
        <f t="shared" si="0"/>
        <v>165.55555555555554</v>
      </c>
      <c r="H19" s="405">
        <f t="shared" si="1"/>
        <v>648.44444444444446</v>
      </c>
      <c r="I19" s="405">
        <f t="shared" si="2"/>
        <v>14</v>
      </c>
      <c r="J19" s="406">
        <f t="shared" si="3"/>
        <v>178.08</v>
      </c>
      <c r="K19" s="405">
        <f t="shared" si="4"/>
        <v>826.5244444444445</v>
      </c>
      <c r="L19" s="407">
        <f t="shared" si="5"/>
        <v>12.524444444444498</v>
      </c>
    </row>
    <row r="20" spans="2:12">
      <c r="B20" s="403" t="s">
        <v>1549</v>
      </c>
      <c r="C20" s="378">
        <v>3</v>
      </c>
      <c r="D20" s="378">
        <v>3</v>
      </c>
      <c r="E20" s="378">
        <v>3</v>
      </c>
      <c r="F20" s="378">
        <v>2</v>
      </c>
      <c r="G20" s="404">
        <f t="shared" si="0"/>
        <v>181.11111111111111</v>
      </c>
      <c r="H20" s="405">
        <f t="shared" si="1"/>
        <v>721.88888888888891</v>
      </c>
      <c r="I20" s="405">
        <f t="shared" si="2"/>
        <v>14</v>
      </c>
      <c r="J20" s="406">
        <f t="shared" si="3"/>
        <v>178.08</v>
      </c>
      <c r="K20" s="405">
        <f t="shared" si="4"/>
        <v>899.96888888888896</v>
      </c>
      <c r="L20" s="407">
        <f t="shared" si="5"/>
        <v>-3.0311111111110449</v>
      </c>
    </row>
    <row r="21" spans="2:12">
      <c r="B21" s="403" t="s">
        <v>1550</v>
      </c>
      <c r="C21" s="378">
        <v>4</v>
      </c>
      <c r="D21" s="378">
        <v>4</v>
      </c>
      <c r="E21" s="378">
        <v>4</v>
      </c>
      <c r="F21" s="378">
        <v>2</v>
      </c>
      <c r="G21" s="404">
        <f t="shared" si="0"/>
        <v>231.11111111111111</v>
      </c>
      <c r="H21" s="405">
        <f t="shared" si="1"/>
        <v>637.88888888888891</v>
      </c>
      <c r="I21" s="405">
        <f t="shared" si="2"/>
        <v>14</v>
      </c>
      <c r="J21" s="406">
        <f t="shared" si="3"/>
        <v>178.08</v>
      </c>
      <c r="K21" s="405">
        <f t="shared" si="4"/>
        <v>815.96888888888896</v>
      </c>
      <c r="L21" s="407">
        <f t="shared" si="5"/>
        <v>-53.031111111111045</v>
      </c>
    </row>
    <row r="22" spans="2:12">
      <c r="B22" s="403" t="s">
        <v>1551</v>
      </c>
      <c r="G22" s="404">
        <f t="shared" si="0"/>
        <v>0</v>
      </c>
      <c r="H22" s="405">
        <f t="shared" si="1"/>
        <v>861</v>
      </c>
      <c r="I22" s="405">
        <f t="shared" si="2"/>
        <v>7</v>
      </c>
      <c r="J22" s="406">
        <f t="shared" si="3"/>
        <v>89.04</v>
      </c>
      <c r="K22" s="405">
        <f t="shared" si="4"/>
        <v>950.04</v>
      </c>
      <c r="L22" s="407">
        <f t="shared" si="5"/>
        <v>89.039999999999964</v>
      </c>
    </row>
    <row r="23" spans="2:12" ht="14.45" thickBot="1">
      <c r="B23" s="408" t="s">
        <v>1552</v>
      </c>
      <c r="C23" s="409">
        <v>4</v>
      </c>
      <c r="D23" s="409">
        <v>4</v>
      </c>
      <c r="E23" s="409">
        <v>4</v>
      </c>
      <c r="F23" s="409">
        <v>2</v>
      </c>
      <c r="G23" s="410">
        <f t="shared" si="0"/>
        <v>231.11111111111111</v>
      </c>
      <c r="H23" s="411">
        <f t="shared" si="1"/>
        <v>603.88888888888891</v>
      </c>
      <c r="I23" s="411">
        <f t="shared" si="2"/>
        <v>15</v>
      </c>
      <c r="J23" s="412">
        <f t="shared" si="3"/>
        <v>190.8</v>
      </c>
      <c r="K23" s="411">
        <f t="shared" si="4"/>
        <v>794.68888888888887</v>
      </c>
      <c r="L23" s="413">
        <f t="shared" si="5"/>
        <v>-40.311111111111131</v>
      </c>
    </row>
    <row r="25" spans="2:12">
      <c r="C25" s="378" t="s">
        <v>14</v>
      </c>
      <c r="D25" s="378" t="s">
        <v>1544</v>
      </c>
      <c r="E25" s="378" t="s">
        <v>1545</v>
      </c>
    </row>
    <row r="26" spans="2:12">
      <c r="B26" s="378" t="s">
        <v>298</v>
      </c>
      <c r="C26" s="378">
        <v>21</v>
      </c>
      <c r="D26" s="378">
        <v>13.5</v>
      </c>
      <c r="E26" s="378">
        <f>ROUNDUP(((D26/C26)*1000)/54.5,0)*1.06</f>
        <v>12.72</v>
      </c>
      <c r="G26" s="378" t="s">
        <v>1557</v>
      </c>
      <c r="H26" s="378">
        <f>MAX(E26:E29)</f>
        <v>12.72</v>
      </c>
    </row>
    <row r="27" spans="2:12">
      <c r="B27" s="378" t="s">
        <v>301</v>
      </c>
      <c r="C27" s="378">
        <v>21</v>
      </c>
      <c r="D27" s="378">
        <v>13.5</v>
      </c>
      <c r="E27" s="378">
        <f>ROUNDUP(((D27/C27)*1000)/54.5,0)*1.06</f>
        <v>12.72</v>
      </c>
    </row>
    <row r="28" spans="2:12">
      <c r="B28" s="378" t="s">
        <v>302</v>
      </c>
      <c r="C28" s="378">
        <v>21</v>
      </c>
      <c r="D28" s="378">
        <v>13.5</v>
      </c>
      <c r="E28" s="378">
        <f>ROUNDUP(((D28/C28)*1000)/54.5,0)*1.06</f>
        <v>12.72</v>
      </c>
    </row>
    <row r="29" spans="2:12">
      <c r="B29" s="378" t="s">
        <v>304</v>
      </c>
      <c r="C29" s="378">
        <v>21</v>
      </c>
      <c r="D29" s="378">
        <v>13.5</v>
      </c>
      <c r="E29" s="378">
        <f>ROUNDUP(((D29/C29)*1000)/54.5,0)*1.06</f>
        <v>12.72</v>
      </c>
    </row>
    <row r="30" spans="2:12" ht="14.45" thickBot="1"/>
    <row r="31" spans="2:12">
      <c r="B31" s="399"/>
      <c r="C31" s="400" t="s">
        <v>298</v>
      </c>
      <c r="D31" s="400" t="s">
        <v>301</v>
      </c>
      <c r="E31" s="400" t="s">
        <v>302</v>
      </c>
      <c r="F31" s="401" t="s">
        <v>304</v>
      </c>
    </row>
    <row r="32" spans="2:12">
      <c r="B32" s="403" t="s">
        <v>1547</v>
      </c>
      <c r="C32" s="398"/>
      <c r="D32" s="398">
        <v>10</v>
      </c>
      <c r="E32" s="398"/>
      <c r="F32" s="414">
        <v>10</v>
      </c>
    </row>
    <row r="33" spans="2:6">
      <c r="B33" s="403" t="s">
        <v>1548</v>
      </c>
      <c r="C33" s="398">
        <v>7</v>
      </c>
      <c r="D33" s="398"/>
      <c r="E33" s="398">
        <v>7</v>
      </c>
      <c r="F33" s="414"/>
    </row>
    <row r="34" spans="2:6">
      <c r="B34" s="403" t="s">
        <v>1549</v>
      </c>
      <c r="C34" s="398">
        <v>7</v>
      </c>
      <c r="D34" s="398"/>
      <c r="E34" s="398">
        <v>7</v>
      </c>
      <c r="F34" s="414"/>
    </row>
    <row r="35" spans="2:6">
      <c r="B35" s="403" t="s">
        <v>1550</v>
      </c>
      <c r="C35" s="398">
        <v>7</v>
      </c>
      <c r="D35" s="398"/>
      <c r="E35" s="398">
        <v>7</v>
      </c>
      <c r="F35" s="414"/>
    </row>
    <row r="36" spans="2:6">
      <c r="B36" s="403" t="s">
        <v>1551</v>
      </c>
      <c r="C36" s="398"/>
      <c r="D36" s="398">
        <v>2</v>
      </c>
      <c r="E36" s="398"/>
      <c r="F36" s="414">
        <v>5</v>
      </c>
    </row>
    <row r="37" spans="2:6" ht="14.45" thickBot="1">
      <c r="B37" s="408" t="s">
        <v>1552</v>
      </c>
      <c r="C37" s="415"/>
      <c r="D37" s="415">
        <v>9</v>
      </c>
      <c r="E37" s="415"/>
      <c r="F37" s="416">
        <v>6</v>
      </c>
    </row>
    <row r="38" spans="2:6">
      <c r="C38" s="398">
        <f>SUM(C32:C37)</f>
        <v>21</v>
      </c>
      <c r="D38" s="398">
        <f>SUM(D32:D37)</f>
        <v>21</v>
      </c>
      <c r="E38" s="398">
        <f>SUM(E32:E37)</f>
        <v>21</v>
      </c>
      <c r="F38" s="398">
        <f>SUM(F32:F37)</f>
        <v>21</v>
      </c>
    </row>
  </sheetData>
  <mergeCells count="3">
    <mergeCell ref="E2:E7"/>
    <mergeCell ref="G2:G7"/>
    <mergeCell ref="K2:K7"/>
  </mergeCells>
  <conditionalFormatting sqref="J2:J7">
    <cfRule type="cellIs" dxfId="70" priority="4" stopIfTrue="1" operator="lessThanOrEqual">
      <formula>0</formula>
    </cfRule>
    <cfRule type="cellIs" dxfId="69" priority="5" stopIfTrue="1" operator="lessThan">
      <formula>0.06</formula>
    </cfRule>
    <cfRule type="cellIs" dxfId="68" priority="6" stopIfTrue="1" operator="greaterThanOrEqual">
      <formula>0.195</formula>
    </cfRule>
    <cfRule type="cellIs" dxfId="67" priority="7" stopIfTrue="1" operator="between">
      <formula>0.06</formula>
      <formula>0.195</formula>
    </cfRule>
  </conditionalFormatting>
  <conditionalFormatting sqref="K2:K7">
    <cfRule type="cellIs" dxfId="66" priority="1" stopIfTrue="1" operator="lessThan">
      <formula>0.805</formula>
    </cfRule>
    <cfRule type="cellIs" dxfId="65" priority="2" stopIfTrue="1" operator="between">
      <formula>0.805</formula>
      <formula>0.945</formula>
    </cfRule>
    <cfRule type="cellIs" dxfId="64"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7"/>
  <dimension ref="B1:O29"/>
  <sheetViews>
    <sheetView zoomScale="80" zoomScaleNormal="80" workbookViewId="0">
      <selection activeCell="AC46" sqref="AC46"/>
    </sheetView>
  </sheetViews>
  <sheetFormatPr defaultColWidth="21.5" defaultRowHeight="13.9"/>
  <cols>
    <col min="1" max="16384" width="21.5" style="378"/>
  </cols>
  <sheetData>
    <row r="1" spans="2:15" ht="14.45" thickBot="1">
      <c r="B1" s="377" t="s">
        <v>515</v>
      </c>
      <c r="C1" s="377" t="s">
        <v>583</v>
      </c>
      <c r="D1" s="377" t="s">
        <v>1486</v>
      </c>
      <c r="E1" s="377" t="s">
        <v>1523</v>
      </c>
      <c r="F1" s="377" t="s">
        <v>23</v>
      </c>
      <c r="G1" s="377"/>
      <c r="H1" s="377" t="s">
        <v>1524</v>
      </c>
      <c r="I1" s="377" t="s">
        <v>545</v>
      </c>
      <c r="J1" s="377"/>
      <c r="K1" s="377"/>
    </row>
    <row r="2" spans="2:15">
      <c r="B2" s="379" t="s">
        <v>143</v>
      </c>
      <c r="C2" s="380" t="s">
        <v>144</v>
      </c>
      <c r="D2" s="381">
        <v>787</v>
      </c>
      <c r="E2" s="1409"/>
      <c r="F2" s="380"/>
      <c r="G2" s="1412"/>
      <c r="H2" s="382"/>
      <c r="I2" s="383"/>
      <c r="J2" s="384"/>
      <c r="K2" s="1415"/>
    </row>
    <row r="3" spans="2:15">
      <c r="B3" s="385" t="s">
        <v>143</v>
      </c>
      <c r="C3" s="386" t="s">
        <v>145</v>
      </c>
      <c r="D3" s="387">
        <v>765</v>
      </c>
      <c r="E3" s="1410"/>
      <c r="F3" s="386"/>
      <c r="G3" s="1413"/>
      <c r="H3" s="386"/>
      <c r="I3" s="388"/>
      <c r="J3" s="389"/>
      <c r="K3" s="1416"/>
    </row>
    <row r="4" spans="2:15">
      <c r="B4" s="385" t="s">
        <v>143</v>
      </c>
      <c r="C4" s="386" t="s">
        <v>146</v>
      </c>
      <c r="D4" s="387">
        <v>765</v>
      </c>
      <c r="E4" s="1410"/>
      <c r="F4" s="386"/>
      <c r="G4" s="1413"/>
      <c r="H4" s="386"/>
      <c r="I4" s="388"/>
      <c r="J4" s="389"/>
      <c r="K4" s="1416"/>
    </row>
    <row r="5" spans="2:15">
      <c r="B5" s="385" t="s">
        <v>143</v>
      </c>
      <c r="C5" s="386" t="s">
        <v>147</v>
      </c>
      <c r="D5" s="387">
        <v>663</v>
      </c>
      <c r="E5" s="1410"/>
      <c r="F5" s="386"/>
      <c r="G5" s="1413"/>
      <c r="H5" s="386"/>
      <c r="I5" s="388"/>
      <c r="J5" s="389"/>
      <c r="K5" s="1416"/>
    </row>
    <row r="6" spans="2:15">
      <c r="B6" s="385" t="s">
        <v>143</v>
      </c>
      <c r="C6" s="386" t="s">
        <v>148</v>
      </c>
      <c r="D6" s="387">
        <v>777</v>
      </c>
      <c r="E6" s="1410"/>
      <c r="F6" s="386"/>
      <c r="G6" s="1413"/>
      <c r="H6" s="386"/>
      <c r="I6" s="388"/>
      <c r="J6" s="389"/>
      <c r="K6" s="1417"/>
    </row>
    <row r="7" spans="2:15" ht="14.45" thickBot="1">
      <c r="B7" s="390" t="s">
        <v>143</v>
      </c>
      <c r="C7" s="391" t="s">
        <v>149</v>
      </c>
      <c r="D7" s="392">
        <v>850</v>
      </c>
      <c r="E7" s="1411"/>
      <c r="F7" s="391"/>
      <c r="G7" s="1414"/>
      <c r="H7" s="391"/>
      <c r="I7" s="393"/>
      <c r="J7" s="394"/>
      <c r="K7" s="1418"/>
    </row>
    <row r="10" spans="2:15" ht="27.6">
      <c r="B10" s="395" t="s">
        <v>7</v>
      </c>
      <c r="C10" s="396" t="s">
        <v>345</v>
      </c>
      <c r="D10" s="396" t="s">
        <v>346</v>
      </c>
      <c r="E10" s="397" t="s">
        <v>252</v>
      </c>
      <c r="F10" s="397" t="s">
        <v>253</v>
      </c>
      <c r="G10" s="397" t="s">
        <v>255</v>
      </c>
      <c r="H10" s="396" t="s">
        <v>256</v>
      </c>
      <c r="I10" s="396" t="s">
        <v>257</v>
      </c>
      <c r="J10" s="396" t="s">
        <v>1531</v>
      </c>
      <c r="K10" s="396" t="s">
        <v>1532</v>
      </c>
      <c r="L10" s="396" t="s">
        <v>262</v>
      </c>
      <c r="M10" s="396" t="s">
        <v>265</v>
      </c>
      <c r="N10" s="396" t="s">
        <v>266</v>
      </c>
      <c r="O10" s="378" t="s">
        <v>1533</v>
      </c>
    </row>
    <row r="11" spans="2:15">
      <c r="B11" s="398" t="s">
        <v>322</v>
      </c>
      <c r="C11" s="398" t="s">
        <v>1558</v>
      </c>
      <c r="D11" s="398" t="s">
        <v>354</v>
      </c>
      <c r="E11" s="398">
        <v>18</v>
      </c>
      <c r="F11" s="398">
        <v>4</v>
      </c>
      <c r="G11" s="398">
        <v>42</v>
      </c>
      <c r="H11" s="398">
        <v>182</v>
      </c>
      <c r="I11" s="398">
        <v>0</v>
      </c>
      <c r="J11" s="398">
        <v>85</v>
      </c>
      <c r="K11" s="398">
        <v>19</v>
      </c>
      <c r="L11" s="398">
        <v>20.71</v>
      </c>
      <c r="M11" s="398"/>
      <c r="N11" s="398"/>
      <c r="O11" s="378">
        <f>((L11/E11)*1000)/54.5</f>
        <v>21.111111111111114</v>
      </c>
    </row>
    <row r="12" spans="2:15">
      <c r="B12" s="398" t="s">
        <v>322</v>
      </c>
      <c r="C12" s="398" t="s">
        <v>1559</v>
      </c>
      <c r="D12" s="398" t="s">
        <v>354</v>
      </c>
      <c r="E12" s="398">
        <v>18</v>
      </c>
      <c r="F12" s="398">
        <v>4</v>
      </c>
      <c r="G12" s="398">
        <v>42</v>
      </c>
      <c r="H12" s="398">
        <v>182</v>
      </c>
      <c r="I12" s="398">
        <v>0</v>
      </c>
      <c r="J12" s="398">
        <v>57</v>
      </c>
      <c r="K12" s="398">
        <v>13</v>
      </c>
      <c r="L12" s="398">
        <v>14.170000000000002</v>
      </c>
      <c r="M12" s="398"/>
      <c r="N12" s="398"/>
      <c r="O12" s="378">
        <f>((L12/E12)*1000)/54.5</f>
        <v>14.444444444444446</v>
      </c>
    </row>
    <row r="13" spans="2:15">
      <c r="B13" s="398" t="s">
        <v>322</v>
      </c>
      <c r="C13" s="398" t="s">
        <v>1560</v>
      </c>
      <c r="D13" s="398" t="s">
        <v>354</v>
      </c>
      <c r="E13" s="398">
        <v>18</v>
      </c>
      <c r="F13" s="398">
        <v>4</v>
      </c>
      <c r="G13" s="398">
        <v>42</v>
      </c>
      <c r="H13" s="398">
        <v>182</v>
      </c>
      <c r="I13" s="398">
        <v>0</v>
      </c>
      <c r="J13" s="398">
        <v>47</v>
      </c>
      <c r="K13" s="398">
        <v>10</v>
      </c>
      <c r="L13" s="398">
        <v>10.9</v>
      </c>
      <c r="M13" s="398"/>
      <c r="N13" s="398"/>
      <c r="O13" s="378">
        <f>((L13/E13)*1000)/54.5</f>
        <v>11.111111111111112</v>
      </c>
    </row>
    <row r="14" spans="2:15">
      <c r="B14" s="398"/>
      <c r="C14" s="398"/>
      <c r="D14" s="398"/>
      <c r="E14" s="398"/>
      <c r="F14" s="398"/>
      <c r="G14" s="398"/>
      <c r="H14" s="398"/>
      <c r="I14" s="398"/>
      <c r="J14" s="398"/>
      <c r="K14" s="398"/>
      <c r="L14" s="398"/>
      <c r="M14" s="398"/>
      <c r="N14" s="398"/>
      <c r="O14" s="378" t="e">
        <f>((L14/E14)*1000)/54.5</f>
        <v>#DIV/0!</v>
      </c>
    </row>
    <row r="16" spans="2:15" ht="14.45" thickBot="1"/>
    <row r="17" spans="2:12">
      <c r="B17" s="399"/>
      <c r="C17" s="400" t="s">
        <v>1558</v>
      </c>
      <c r="D17" s="400" t="s">
        <v>1559</v>
      </c>
      <c r="E17" s="400" t="s">
        <v>1560</v>
      </c>
      <c r="F17" s="400"/>
      <c r="G17" s="401" t="s">
        <v>1538</v>
      </c>
      <c r="H17" s="402" t="s">
        <v>1539</v>
      </c>
      <c r="I17" s="402" t="s">
        <v>1540</v>
      </c>
      <c r="J17" s="402" t="s">
        <v>1541</v>
      </c>
      <c r="K17" s="402" t="s">
        <v>1542</v>
      </c>
      <c r="L17" s="402" t="s">
        <v>1543</v>
      </c>
    </row>
    <row r="18" spans="2:12">
      <c r="B18" s="403" t="s">
        <v>144</v>
      </c>
      <c r="C18" s="378">
        <v>3</v>
      </c>
      <c r="D18" s="378">
        <v>3</v>
      </c>
      <c r="E18" s="378">
        <v>3</v>
      </c>
      <c r="G18" s="404">
        <f t="shared" ref="G18:G23" si="0">(C18*$O$11)+(D18*$O$12)+(E18*$O$13)</f>
        <v>140.00000000000003</v>
      </c>
      <c r="H18" s="405">
        <f t="shared" ref="H18:H23" si="1">D2-G18</f>
        <v>647</v>
      </c>
      <c r="I18" s="405">
        <v>13</v>
      </c>
      <c r="J18" s="406">
        <f t="shared" ref="J18:J23" si="2">I18*$H$26</f>
        <v>206.70000000000002</v>
      </c>
      <c r="K18" s="405">
        <f t="shared" ref="K18:K23" si="3">H18+J18</f>
        <v>853.7</v>
      </c>
      <c r="L18" s="407">
        <f t="shared" ref="L18:L23" si="4">K18-D2</f>
        <v>66.700000000000045</v>
      </c>
    </row>
    <row r="19" spans="2:12">
      <c r="B19" s="403" t="s">
        <v>145</v>
      </c>
      <c r="C19" s="378">
        <v>3</v>
      </c>
      <c r="D19" s="378">
        <v>3</v>
      </c>
      <c r="E19" s="378">
        <v>3</v>
      </c>
      <c r="G19" s="404">
        <f t="shared" si="0"/>
        <v>140.00000000000003</v>
      </c>
      <c r="H19" s="405">
        <f t="shared" si="1"/>
        <v>625</v>
      </c>
      <c r="I19" s="405">
        <v>11</v>
      </c>
      <c r="J19" s="406">
        <f t="shared" si="2"/>
        <v>174.9</v>
      </c>
      <c r="K19" s="405">
        <f t="shared" si="3"/>
        <v>799.9</v>
      </c>
      <c r="L19" s="407">
        <f t="shared" si="4"/>
        <v>34.899999999999977</v>
      </c>
    </row>
    <row r="20" spans="2:12">
      <c r="B20" s="403" t="s">
        <v>146</v>
      </c>
      <c r="C20" s="378">
        <v>3</v>
      </c>
      <c r="D20" s="378">
        <v>3</v>
      </c>
      <c r="E20" s="378">
        <v>3</v>
      </c>
      <c r="G20" s="404">
        <f t="shared" si="0"/>
        <v>140.00000000000003</v>
      </c>
      <c r="H20" s="405">
        <f t="shared" si="1"/>
        <v>625</v>
      </c>
      <c r="I20" s="405">
        <v>12</v>
      </c>
      <c r="J20" s="406">
        <f t="shared" si="2"/>
        <v>190.8</v>
      </c>
      <c r="K20" s="405">
        <f t="shared" si="3"/>
        <v>815.8</v>
      </c>
      <c r="L20" s="407">
        <f t="shared" si="4"/>
        <v>50.799999999999955</v>
      </c>
    </row>
    <row r="21" spans="2:12">
      <c r="B21" s="403" t="s">
        <v>147</v>
      </c>
      <c r="C21" s="378">
        <v>3</v>
      </c>
      <c r="D21" s="378">
        <v>3</v>
      </c>
      <c r="E21" s="378">
        <v>3</v>
      </c>
      <c r="G21" s="404">
        <f t="shared" si="0"/>
        <v>140.00000000000003</v>
      </c>
      <c r="H21" s="405">
        <f t="shared" si="1"/>
        <v>523</v>
      </c>
      <c r="I21" s="405">
        <v>13</v>
      </c>
      <c r="J21" s="406">
        <f t="shared" si="2"/>
        <v>206.70000000000002</v>
      </c>
      <c r="K21" s="405">
        <f t="shared" si="3"/>
        <v>729.7</v>
      </c>
      <c r="L21" s="407">
        <f t="shared" si="4"/>
        <v>66.700000000000045</v>
      </c>
    </row>
    <row r="22" spans="2:12">
      <c r="B22" s="403" t="s">
        <v>148</v>
      </c>
      <c r="C22" s="378">
        <v>3</v>
      </c>
      <c r="D22" s="378">
        <v>3</v>
      </c>
      <c r="E22" s="378">
        <v>3</v>
      </c>
      <c r="G22" s="404">
        <f t="shared" si="0"/>
        <v>140.00000000000003</v>
      </c>
      <c r="H22" s="405">
        <f t="shared" si="1"/>
        <v>637</v>
      </c>
      <c r="I22" s="405">
        <v>12</v>
      </c>
      <c r="J22" s="406">
        <f t="shared" si="2"/>
        <v>190.8</v>
      </c>
      <c r="K22" s="405">
        <f t="shared" si="3"/>
        <v>827.8</v>
      </c>
      <c r="L22" s="407">
        <f t="shared" si="4"/>
        <v>50.799999999999955</v>
      </c>
    </row>
    <row r="23" spans="2:12" ht="14.45" thickBot="1">
      <c r="B23" s="408" t="s">
        <v>149</v>
      </c>
      <c r="C23" s="409">
        <v>3</v>
      </c>
      <c r="D23" s="409">
        <v>3</v>
      </c>
      <c r="E23" s="409">
        <v>3</v>
      </c>
      <c r="F23" s="409"/>
      <c r="G23" s="410">
        <f t="shared" si="0"/>
        <v>140.00000000000003</v>
      </c>
      <c r="H23" s="411">
        <f t="shared" si="1"/>
        <v>710</v>
      </c>
      <c r="I23" s="411">
        <v>11</v>
      </c>
      <c r="J23" s="412">
        <f t="shared" si="2"/>
        <v>174.9</v>
      </c>
      <c r="K23" s="411">
        <f t="shared" si="3"/>
        <v>884.9</v>
      </c>
      <c r="L23" s="413">
        <f t="shared" si="4"/>
        <v>34.899999999999977</v>
      </c>
    </row>
    <row r="25" spans="2:12">
      <c r="C25" s="378" t="s">
        <v>14</v>
      </c>
      <c r="D25" s="378" t="s">
        <v>1544</v>
      </c>
      <c r="E25" s="378" t="s">
        <v>1545</v>
      </c>
    </row>
    <row r="26" spans="2:12">
      <c r="B26" s="378" t="s">
        <v>326</v>
      </c>
      <c r="C26" s="378">
        <v>14</v>
      </c>
      <c r="D26" s="378">
        <v>10</v>
      </c>
      <c r="E26" s="378">
        <f>ROUNDUP(((D26/C26)*1000)/54.5,0)*1.06</f>
        <v>14.84</v>
      </c>
      <c r="G26" s="378" t="s">
        <v>1557</v>
      </c>
      <c r="H26" s="378">
        <f>MAX(E26:E29)</f>
        <v>15.9</v>
      </c>
    </row>
    <row r="27" spans="2:12">
      <c r="B27" s="378" t="s">
        <v>327</v>
      </c>
      <c r="C27" s="378">
        <v>14</v>
      </c>
      <c r="D27" s="378">
        <v>10</v>
      </c>
      <c r="E27" s="378">
        <f>ROUNDUP(((D27/C27)*1000)/54.5,0)*1.06</f>
        <v>14.84</v>
      </c>
    </row>
    <row r="28" spans="2:12">
      <c r="B28" s="378" t="s">
        <v>328</v>
      </c>
      <c r="C28" s="378">
        <v>22</v>
      </c>
      <c r="D28" s="378">
        <v>17.5</v>
      </c>
      <c r="E28" s="378">
        <f>ROUNDUP(((D28/C28)*1000)/54.5,0)*1.06</f>
        <v>15.9</v>
      </c>
    </row>
    <row r="29" spans="2:12">
      <c r="B29" s="378" t="s">
        <v>329</v>
      </c>
      <c r="C29" s="378">
        <v>22</v>
      </c>
      <c r="D29" s="378">
        <v>17.5</v>
      </c>
      <c r="E29" s="378">
        <f>ROUNDUP(((D29/C29)*1000)/54.5,0)*1.06</f>
        <v>15.9</v>
      </c>
    </row>
  </sheetData>
  <mergeCells count="3">
    <mergeCell ref="E2:E7"/>
    <mergeCell ref="G2:G7"/>
    <mergeCell ref="K2:K7"/>
  </mergeCells>
  <conditionalFormatting sqref="J2:J7">
    <cfRule type="cellIs" dxfId="63" priority="4" stopIfTrue="1" operator="lessThanOrEqual">
      <formula>0</formula>
    </cfRule>
    <cfRule type="cellIs" dxfId="62" priority="5" stopIfTrue="1" operator="lessThan">
      <formula>0.06</formula>
    </cfRule>
    <cfRule type="cellIs" dxfId="61" priority="6" stopIfTrue="1" operator="greaterThanOrEqual">
      <formula>0.195</formula>
    </cfRule>
    <cfRule type="cellIs" dxfId="60" priority="7" stopIfTrue="1" operator="between">
      <formula>0.06</formula>
      <formula>0.195</formula>
    </cfRule>
  </conditionalFormatting>
  <conditionalFormatting sqref="K2:K7">
    <cfRule type="cellIs" dxfId="59" priority="1" stopIfTrue="1" operator="lessThan">
      <formula>0.805</formula>
    </cfRule>
    <cfRule type="cellIs" dxfId="58" priority="2" stopIfTrue="1" operator="between">
      <formula>0.805</formula>
      <formula>0.945</formula>
    </cfRule>
    <cfRule type="cellIs" dxfId="57"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8"/>
  <dimension ref="B1:O44"/>
  <sheetViews>
    <sheetView zoomScale="80" zoomScaleNormal="80" workbookViewId="0">
      <selection activeCell="AC46" sqref="AC46"/>
    </sheetView>
  </sheetViews>
  <sheetFormatPr defaultColWidth="14.6640625" defaultRowHeight="13.9"/>
  <cols>
    <col min="1" max="16384" width="14.6640625" style="378"/>
  </cols>
  <sheetData>
    <row r="1" spans="2:15" ht="14.45" thickBot="1">
      <c r="B1" s="377" t="s">
        <v>515</v>
      </c>
      <c r="C1" s="377" t="s">
        <v>583</v>
      </c>
      <c r="D1" s="377" t="s">
        <v>1486</v>
      </c>
    </row>
    <row r="2" spans="2:15">
      <c r="B2" s="379" t="s">
        <v>52</v>
      </c>
      <c r="C2" s="380" t="s">
        <v>53</v>
      </c>
      <c r="D2" s="381">
        <v>766</v>
      </c>
    </row>
    <row r="3" spans="2:15">
      <c r="B3" s="385" t="s">
        <v>52</v>
      </c>
      <c r="C3" s="386" t="s">
        <v>58</v>
      </c>
      <c r="D3" s="387">
        <v>815</v>
      </c>
    </row>
    <row r="4" spans="2:15">
      <c r="B4" s="385" t="s">
        <v>52</v>
      </c>
      <c r="C4" s="386" t="s">
        <v>60</v>
      </c>
      <c r="D4" s="387">
        <v>732</v>
      </c>
    </row>
    <row r="5" spans="2:15">
      <c r="B5" s="385" t="s">
        <v>52</v>
      </c>
      <c r="C5" s="386" t="s">
        <v>61</v>
      </c>
      <c r="D5" s="386">
        <v>809</v>
      </c>
    </row>
    <row r="6" spans="2:15">
      <c r="B6" s="385" t="s">
        <v>52</v>
      </c>
      <c r="C6" s="386" t="s">
        <v>63</v>
      </c>
      <c r="D6" s="386">
        <v>848</v>
      </c>
    </row>
    <row r="7" spans="2:15">
      <c r="B7" s="385" t="s">
        <v>52</v>
      </c>
      <c r="C7" s="386" t="s">
        <v>64</v>
      </c>
      <c r="D7" s="386">
        <v>321</v>
      </c>
    </row>
    <row r="8" spans="2:15">
      <c r="B8" s="385" t="s">
        <v>52</v>
      </c>
      <c r="C8" s="386" t="s">
        <v>65</v>
      </c>
      <c r="D8" s="386">
        <v>815</v>
      </c>
    </row>
    <row r="9" spans="2:15" ht="14.45" thickBot="1">
      <c r="B9" s="390" t="s">
        <v>52</v>
      </c>
      <c r="C9" s="391" t="s">
        <v>66</v>
      </c>
      <c r="D9" s="391">
        <v>797</v>
      </c>
    </row>
    <row r="12" spans="2:15" ht="41.45">
      <c r="B12" s="395" t="s">
        <v>7</v>
      </c>
      <c r="C12" s="396" t="s">
        <v>345</v>
      </c>
      <c r="D12" s="396" t="s">
        <v>346</v>
      </c>
      <c r="E12" s="397" t="s">
        <v>252</v>
      </c>
      <c r="F12" s="397" t="s">
        <v>253</v>
      </c>
      <c r="G12" s="397" t="s">
        <v>255</v>
      </c>
      <c r="H12" s="396" t="s">
        <v>256</v>
      </c>
      <c r="I12" s="396" t="s">
        <v>257</v>
      </c>
      <c r="J12" s="396" t="s">
        <v>1531</v>
      </c>
      <c r="K12" s="396" t="s">
        <v>1532</v>
      </c>
      <c r="L12" s="396" t="s">
        <v>262</v>
      </c>
      <c r="M12" s="396" t="s">
        <v>265</v>
      </c>
      <c r="N12" s="396" t="s">
        <v>266</v>
      </c>
      <c r="O12" s="378" t="s">
        <v>1533</v>
      </c>
    </row>
    <row r="13" spans="2:15">
      <c r="B13" s="398" t="s">
        <v>277</v>
      </c>
      <c r="C13" s="398" t="s">
        <v>1561</v>
      </c>
      <c r="D13" s="398" t="s">
        <v>354</v>
      </c>
      <c r="E13" s="398">
        <v>18</v>
      </c>
      <c r="F13" s="398">
        <v>4</v>
      </c>
      <c r="G13" s="398">
        <f>(E13-F13)*3</f>
        <v>42</v>
      </c>
      <c r="H13" s="398">
        <f>INT((G13*1000)/230)</f>
        <v>182</v>
      </c>
      <c r="I13" s="398">
        <f>42-G13</f>
        <v>0</v>
      </c>
      <c r="J13" s="398">
        <v>108</v>
      </c>
      <c r="K13" s="398">
        <f>INT((J13*230)/1000)</f>
        <v>24</v>
      </c>
      <c r="L13" s="398">
        <f>K13*1.09</f>
        <v>26.160000000000004</v>
      </c>
      <c r="M13" s="398"/>
      <c r="N13" s="398"/>
      <c r="O13" s="378">
        <f>((L13/E13)*1000)/54.5</f>
        <v>26.666666666666668</v>
      </c>
    </row>
    <row r="14" spans="2:15">
      <c r="B14" s="398" t="s">
        <v>277</v>
      </c>
      <c r="C14" s="398" t="s">
        <v>1562</v>
      </c>
      <c r="D14" s="398" t="s">
        <v>354</v>
      </c>
      <c r="E14" s="398">
        <v>18</v>
      </c>
      <c r="F14" s="398">
        <v>4</v>
      </c>
      <c r="G14" s="398">
        <f>(E14-F14)*3</f>
        <v>42</v>
      </c>
      <c r="H14" s="398">
        <f>INT((G14*1000)/230)</f>
        <v>182</v>
      </c>
      <c r="I14" s="398">
        <f>42-G14</f>
        <v>0</v>
      </c>
      <c r="J14" s="398">
        <v>110</v>
      </c>
      <c r="K14" s="398">
        <f>INT((J14*230)/1000)</f>
        <v>25</v>
      </c>
      <c r="L14" s="398">
        <f>K14*1.09</f>
        <v>27.250000000000004</v>
      </c>
      <c r="M14" s="398"/>
      <c r="N14" s="398"/>
      <c r="O14" s="378">
        <f>((L14/E14)*1000)/54.5</f>
        <v>27.777777777777782</v>
      </c>
    </row>
    <row r="15" spans="2:15">
      <c r="B15" s="398" t="s">
        <v>277</v>
      </c>
      <c r="C15" s="398" t="s">
        <v>1563</v>
      </c>
      <c r="D15" s="398" t="s">
        <v>354</v>
      </c>
      <c r="E15" s="398">
        <v>18</v>
      </c>
      <c r="F15" s="398">
        <v>4</v>
      </c>
      <c r="G15" s="398">
        <f>(E15-F15)*3</f>
        <v>42</v>
      </c>
      <c r="H15" s="398">
        <f>INT((G15*1000)/230)</f>
        <v>182</v>
      </c>
      <c r="I15" s="398">
        <f>42-G15</f>
        <v>0</v>
      </c>
      <c r="J15" s="398">
        <v>86</v>
      </c>
      <c r="K15" s="398">
        <f>INT((J15*230)/1000)</f>
        <v>19</v>
      </c>
      <c r="L15" s="398">
        <f>K15*1.09</f>
        <v>20.71</v>
      </c>
      <c r="M15" s="398"/>
      <c r="N15" s="398"/>
      <c r="O15" s="378">
        <f>((L15/E15)*1000)/54.5</f>
        <v>21.111111111111114</v>
      </c>
    </row>
    <row r="16" spans="2:15">
      <c r="B16" s="398" t="s">
        <v>277</v>
      </c>
      <c r="C16" s="398" t="s">
        <v>1564</v>
      </c>
      <c r="D16" s="398" t="s">
        <v>354</v>
      </c>
      <c r="E16" s="398">
        <v>18</v>
      </c>
      <c r="F16" s="398">
        <v>4</v>
      </c>
      <c r="G16" s="398">
        <f>(E16-F16)*3</f>
        <v>42</v>
      </c>
      <c r="H16" s="398">
        <f>INT((G16*1000)/230)</f>
        <v>182</v>
      </c>
      <c r="I16" s="398">
        <f>42-G16</f>
        <v>0</v>
      </c>
      <c r="J16" s="398">
        <v>46</v>
      </c>
      <c r="K16" s="398">
        <f>INT((J16*230)/1000)</f>
        <v>10</v>
      </c>
      <c r="L16" s="398">
        <f>K16*1.09</f>
        <v>10.9</v>
      </c>
      <c r="M16" s="398"/>
      <c r="N16" s="398"/>
      <c r="O16" s="378">
        <f>((L16/E16)*1000)/54.5</f>
        <v>11.111111111111112</v>
      </c>
    </row>
    <row r="17" spans="2:15">
      <c r="B17" s="398" t="s">
        <v>277</v>
      </c>
      <c r="C17" s="398" t="s">
        <v>1565</v>
      </c>
      <c r="D17" s="398" t="s">
        <v>354</v>
      </c>
      <c r="E17" s="398">
        <v>18</v>
      </c>
      <c r="F17" s="398">
        <v>4</v>
      </c>
      <c r="G17" s="398">
        <f>(E17-F17)*3</f>
        <v>42</v>
      </c>
      <c r="H17" s="398">
        <f>INT((G17*1000)/230)</f>
        <v>182</v>
      </c>
      <c r="I17" s="398">
        <f>42-G17</f>
        <v>0</v>
      </c>
      <c r="J17" s="398">
        <v>33</v>
      </c>
      <c r="K17" s="398">
        <f>INT((J17*230)/1000)</f>
        <v>7</v>
      </c>
      <c r="L17" s="398">
        <f>K17*1.09</f>
        <v>7.6300000000000008</v>
      </c>
      <c r="O17" s="378">
        <f>((L17/E17)*1000)/54.5</f>
        <v>7.7777777777777786</v>
      </c>
    </row>
    <row r="18" spans="2:15" ht="14.45" thickBot="1"/>
    <row r="19" spans="2:15">
      <c r="B19" s="399"/>
      <c r="C19" s="400" t="s">
        <v>1561</v>
      </c>
      <c r="D19" s="400" t="s">
        <v>1562</v>
      </c>
      <c r="E19" s="400" t="s">
        <v>1563</v>
      </c>
      <c r="F19" s="400" t="s">
        <v>1564</v>
      </c>
      <c r="G19" s="400" t="s">
        <v>1565</v>
      </c>
      <c r="H19" s="400" t="s">
        <v>1538</v>
      </c>
      <c r="I19" s="417" t="s">
        <v>1539</v>
      </c>
      <c r="J19" s="417" t="s">
        <v>1540</v>
      </c>
      <c r="K19" s="417" t="s">
        <v>1541</v>
      </c>
      <c r="L19" s="417" t="s">
        <v>1542</v>
      </c>
      <c r="M19" s="402" t="s">
        <v>1543</v>
      </c>
    </row>
    <row r="20" spans="2:15">
      <c r="B20" s="403" t="s">
        <v>53</v>
      </c>
      <c r="C20" s="378">
        <v>3</v>
      </c>
      <c r="D20" s="378">
        <v>2</v>
      </c>
      <c r="E20" s="378">
        <v>3</v>
      </c>
      <c r="F20" s="378">
        <v>3</v>
      </c>
      <c r="G20" s="378">
        <v>3</v>
      </c>
      <c r="H20" s="378">
        <f>(C20*$O$13)+(D20*$O$14)+(E20*$O$15)+(F20*$O$16)+(G20*$O$17)</f>
        <v>255.5555555555556</v>
      </c>
      <c r="I20" s="418">
        <f t="shared" ref="I20:I25" si="0">D2-H20</f>
        <v>510.4444444444444</v>
      </c>
      <c r="J20" s="418">
        <f>SUM(C36:F36)</f>
        <v>10</v>
      </c>
      <c r="K20" s="420">
        <f>J20*$H$30</f>
        <v>190.8</v>
      </c>
      <c r="L20" s="418">
        <f t="shared" ref="L20:L25" si="1">I20+K20</f>
        <v>701.24444444444441</v>
      </c>
      <c r="M20" s="407">
        <f t="shared" ref="M20:M27" si="2">L20-D2</f>
        <v>-64.755555555555588</v>
      </c>
    </row>
    <row r="21" spans="2:15">
      <c r="B21" s="403" t="s">
        <v>58</v>
      </c>
      <c r="C21" s="378">
        <v>3</v>
      </c>
      <c r="D21" s="378">
        <v>3</v>
      </c>
      <c r="E21" s="378">
        <v>2</v>
      </c>
      <c r="F21" s="378">
        <v>3</v>
      </c>
      <c r="G21" s="378">
        <v>3</v>
      </c>
      <c r="H21" s="378">
        <f t="shared" ref="H21:H27" si="3">(C21*$O$13)+(D21*$O$14)+(E21*$O$15)+(F21*$O$16)+(G21*$O$17)</f>
        <v>262.22222222222223</v>
      </c>
      <c r="I21" s="418">
        <f t="shared" si="0"/>
        <v>552.77777777777783</v>
      </c>
      <c r="J21" s="418">
        <f t="shared" ref="J21:J27" si="4">SUM(C37:F37)</f>
        <v>10</v>
      </c>
      <c r="K21" s="420">
        <f t="shared" ref="K21:K27" si="5">J21*$H$30</f>
        <v>190.8</v>
      </c>
      <c r="L21" s="418">
        <f t="shared" si="1"/>
        <v>743.57777777777778</v>
      </c>
      <c r="M21" s="407">
        <f t="shared" si="2"/>
        <v>-71.422222222222217</v>
      </c>
    </row>
    <row r="22" spans="2:15">
      <c r="B22" s="403" t="s">
        <v>60</v>
      </c>
      <c r="C22" s="378">
        <v>3</v>
      </c>
      <c r="D22" s="378">
        <v>2</v>
      </c>
      <c r="E22" s="378">
        <v>3</v>
      </c>
      <c r="F22" s="378">
        <v>3</v>
      </c>
      <c r="H22" s="378">
        <f t="shared" si="3"/>
        <v>232.22222222222226</v>
      </c>
      <c r="I22" s="418">
        <f t="shared" si="0"/>
        <v>499.77777777777771</v>
      </c>
      <c r="J22" s="418">
        <f t="shared" si="4"/>
        <v>20</v>
      </c>
      <c r="K22" s="420">
        <f t="shared" si="5"/>
        <v>381.6</v>
      </c>
      <c r="L22" s="418">
        <f t="shared" si="1"/>
        <v>881.37777777777774</v>
      </c>
      <c r="M22" s="407">
        <f t="shared" si="2"/>
        <v>149.37777777777774</v>
      </c>
    </row>
    <row r="23" spans="2:15">
      <c r="B23" s="403" t="s">
        <v>61</v>
      </c>
      <c r="C23" s="378">
        <v>3</v>
      </c>
      <c r="D23" s="378">
        <v>3</v>
      </c>
      <c r="E23" s="378">
        <v>2</v>
      </c>
      <c r="F23" s="378">
        <v>3</v>
      </c>
      <c r="G23" s="378">
        <v>3</v>
      </c>
      <c r="H23" s="378">
        <f t="shared" si="3"/>
        <v>262.22222222222223</v>
      </c>
      <c r="I23" s="418">
        <f t="shared" si="0"/>
        <v>546.77777777777783</v>
      </c>
      <c r="J23" s="418">
        <f t="shared" si="4"/>
        <v>20</v>
      </c>
      <c r="K23" s="420">
        <f t="shared" si="5"/>
        <v>381.6</v>
      </c>
      <c r="L23" s="418">
        <f t="shared" si="1"/>
        <v>928.37777777777785</v>
      </c>
      <c r="M23" s="407">
        <f t="shared" si="2"/>
        <v>119.37777777777785</v>
      </c>
    </row>
    <row r="24" spans="2:15">
      <c r="B24" s="403" t="s">
        <v>63</v>
      </c>
      <c r="C24" s="378">
        <v>3</v>
      </c>
      <c r="D24" s="378">
        <v>3</v>
      </c>
      <c r="E24" s="378">
        <v>2</v>
      </c>
      <c r="F24" s="378">
        <v>2</v>
      </c>
      <c r="G24" s="378">
        <v>3</v>
      </c>
      <c r="H24" s="378">
        <f t="shared" si="3"/>
        <v>251.11111111111114</v>
      </c>
      <c r="I24" s="418">
        <f t="shared" si="0"/>
        <v>596.88888888888891</v>
      </c>
      <c r="J24" s="418">
        <f t="shared" si="4"/>
        <v>20</v>
      </c>
      <c r="K24" s="420">
        <f t="shared" si="5"/>
        <v>381.6</v>
      </c>
      <c r="L24" s="418">
        <f t="shared" si="1"/>
        <v>978.48888888888894</v>
      </c>
      <c r="M24" s="407">
        <f t="shared" si="2"/>
        <v>130.48888888888894</v>
      </c>
    </row>
    <row r="25" spans="2:15">
      <c r="B25" s="403" t="s">
        <v>64</v>
      </c>
      <c r="H25" s="378">
        <f t="shared" si="3"/>
        <v>0</v>
      </c>
      <c r="I25" s="418">
        <f t="shared" si="0"/>
        <v>321</v>
      </c>
      <c r="J25" s="418">
        <f t="shared" si="4"/>
        <v>20</v>
      </c>
      <c r="K25" s="420">
        <f t="shared" si="5"/>
        <v>381.6</v>
      </c>
      <c r="L25" s="418">
        <f t="shared" si="1"/>
        <v>702.6</v>
      </c>
      <c r="M25" s="407">
        <f t="shared" si="2"/>
        <v>381.6</v>
      </c>
    </row>
    <row r="26" spans="2:15">
      <c r="B26" s="403" t="s">
        <v>65</v>
      </c>
      <c r="C26" s="378">
        <v>3</v>
      </c>
      <c r="D26" s="378">
        <v>3</v>
      </c>
      <c r="E26" s="378">
        <v>3</v>
      </c>
      <c r="F26" s="378">
        <v>2</v>
      </c>
      <c r="G26" s="378">
        <v>3</v>
      </c>
      <c r="H26" s="378">
        <f t="shared" si="3"/>
        <v>272.22222222222223</v>
      </c>
      <c r="I26" s="418">
        <f>D8-H26</f>
        <v>542.77777777777783</v>
      </c>
      <c r="J26" s="418">
        <f t="shared" si="4"/>
        <v>10</v>
      </c>
      <c r="K26" s="420">
        <f t="shared" si="5"/>
        <v>190.8</v>
      </c>
      <c r="L26" s="418">
        <f>I26+K26</f>
        <v>733.57777777777778</v>
      </c>
      <c r="M26" s="407">
        <f t="shared" si="2"/>
        <v>-81.422222222222217</v>
      </c>
    </row>
    <row r="27" spans="2:15" ht="14.45" thickBot="1">
      <c r="B27" s="408" t="s">
        <v>66</v>
      </c>
      <c r="C27" s="409"/>
      <c r="D27" s="409">
        <v>2</v>
      </c>
      <c r="E27" s="409">
        <v>3</v>
      </c>
      <c r="F27" s="409">
        <v>2</v>
      </c>
      <c r="G27" s="409">
        <v>3</v>
      </c>
      <c r="H27" s="409">
        <f t="shared" si="3"/>
        <v>164.44444444444449</v>
      </c>
      <c r="I27" s="419">
        <f>D9-H27</f>
        <v>632.55555555555554</v>
      </c>
      <c r="J27" s="419">
        <f t="shared" si="4"/>
        <v>10</v>
      </c>
      <c r="K27" s="421">
        <f t="shared" si="5"/>
        <v>190.8</v>
      </c>
      <c r="L27" s="419">
        <f>I27+K27</f>
        <v>823.35555555555561</v>
      </c>
      <c r="M27" s="413">
        <f t="shared" si="2"/>
        <v>26.355555555555611</v>
      </c>
    </row>
    <row r="29" spans="2:15">
      <c r="C29" s="378" t="s">
        <v>14</v>
      </c>
      <c r="D29" s="378" t="s">
        <v>1544</v>
      </c>
      <c r="E29" s="378" t="s">
        <v>1545</v>
      </c>
    </row>
    <row r="30" spans="2:15">
      <c r="B30" s="378" t="s">
        <v>278</v>
      </c>
      <c r="C30" s="378">
        <v>30</v>
      </c>
      <c r="D30" s="378">
        <v>28</v>
      </c>
      <c r="E30" s="378">
        <f>ROUNDUP(((D30/C30)*1000)/54.5,0)*1.06</f>
        <v>19.080000000000002</v>
      </c>
      <c r="G30" s="378" t="s">
        <v>1557</v>
      </c>
      <c r="H30" s="378">
        <f>MAX(E30:E33)</f>
        <v>19.080000000000002</v>
      </c>
    </row>
    <row r="31" spans="2:15">
      <c r="B31" s="378" t="s">
        <v>279</v>
      </c>
      <c r="C31" s="378">
        <v>30</v>
      </c>
      <c r="D31" s="378">
        <v>28</v>
      </c>
      <c r="E31" s="378">
        <f>ROUNDUP(((D31/C31)*1000)/54.5,0)*1.06</f>
        <v>19.080000000000002</v>
      </c>
    </row>
    <row r="32" spans="2:15">
      <c r="B32" s="378" t="s">
        <v>280</v>
      </c>
      <c r="C32" s="378">
        <v>30</v>
      </c>
      <c r="D32" s="378">
        <v>28</v>
      </c>
      <c r="E32" s="378">
        <f>ROUNDUP(((D32/C32)*1000)/54.5,0)*1.06</f>
        <v>19.080000000000002</v>
      </c>
    </row>
    <row r="33" spans="2:6">
      <c r="B33" s="378" t="s">
        <v>281</v>
      </c>
      <c r="C33" s="378">
        <v>30</v>
      </c>
      <c r="D33" s="378">
        <v>28</v>
      </c>
      <c r="E33" s="378">
        <f>ROUNDUP(((D33/C33)*1000)/54.5,0)*1.06</f>
        <v>19.080000000000002</v>
      </c>
    </row>
    <row r="34" spans="2:6" ht="14.45" thickBot="1"/>
    <row r="35" spans="2:6">
      <c r="B35" s="399"/>
      <c r="C35" s="400" t="s">
        <v>278</v>
      </c>
      <c r="D35" s="400" t="s">
        <v>279</v>
      </c>
      <c r="E35" s="400" t="s">
        <v>1566</v>
      </c>
      <c r="F35" s="401" t="s">
        <v>281</v>
      </c>
    </row>
    <row r="36" spans="2:6">
      <c r="B36" s="403" t="s">
        <v>53</v>
      </c>
      <c r="C36" s="398"/>
      <c r="D36" s="398"/>
      <c r="E36" s="398"/>
      <c r="F36" s="414">
        <v>10</v>
      </c>
    </row>
    <row r="37" spans="2:6">
      <c r="B37" s="403" t="s">
        <v>58</v>
      </c>
      <c r="C37" s="398"/>
      <c r="D37" s="398"/>
      <c r="E37" s="398"/>
      <c r="F37" s="414">
        <v>10</v>
      </c>
    </row>
    <row r="38" spans="2:6">
      <c r="B38" s="403" t="s">
        <v>60</v>
      </c>
      <c r="C38" s="398">
        <v>10</v>
      </c>
      <c r="D38" s="398"/>
      <c r="E38" s="398"/>
      <c r="F38" s="414">
        <v>10</v>
      </c>
    </row>
    <row r="39" spans="2:6">
      <c r="B39" s="403" t="s">
        <v>61</v>
      </c>
      <c r="C39" s="398">
        <v>10</v>
      </c>
      <c r="D39" s="398"/>
      <c r="E39" s="398">
        <v>10</v>
      </c>
      <c r="F39" s="414"/>
    </row>
    <row r="40" spans="2:6">
      <c r="B40" s="403" t="s">
        <v>63</v>
      </c>
      <c r="C40" s="398">
        <v>10</v>
      </c>
      <c r="D40" s="398"/>
      <c r="E40" s="398">
        <v>10</v>
      </c>
      <c r="F40" s="414"/>
    </row>
    <row r="41" spans="2:6">
      <c r="B41" s="403" t="s">
        <v>64</v>
      </c>
      <c r="C41" s="398"/>
      <c r="D41" s="398">
        <v>10</v>
      </c>
      <c r="E41" s="398">
        <v>10</v>
      </c>
      <c r="F41" s="414"/>
    </row>
    <row r="42" spans="2:6">
      <c r="B42" s="403" t="s">
        <v>65</v>
      </c>
      <c r="C42" s="398"/>
      <c r="D42" s="398">
        <v>10</v>
      </c>
      <c r="E42" s="398"/>
      <c r="F42" s="414"/>
    </row>
    <row r="43" spans="2:6" ht="14.45" thickBot="1">
      <c r="B43" s="408" t="s">
        <v>66</v>
      </c>
      <c r="C43" s="415"/>
      <c r="D43" s="415">
        <v>10</v>
      </c>
      <c r="E43" s="415"/>
      <c r="F43" s="416"/>
    </row>
    <row r="44" spans="2:6">
      <c r="C44" s="398">
        <f>SUM(C36:C43)</f>
        <v>30</v>
      </c>
      <c r="D44" s="398">
        <f>SUM(D36:D43)</f>
        <v>30</v>
      </c>
      <c r="E44" s="398">
        <f>SUM(E36:E43)</f>
        <v>30</v>
      </c>
      <c r="F44" s="398">
        <f>SUM(F36:F43)</f>
        <v>30</v>
      </c>
    </row>
  </sheetData>
  <pageMargins left="0.7" right="0.7" top="0.75" bottom="0.75" header="0.3" footer="0.3"/>
  <pageSetup paperSize="9" orientation="portrait" r:id="rId1"/>
  <headerFooter>
    <oddFooter>&amp;L&amp;1#&amp;"Calibri"&amp;7&amp;K000000C2 General</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
  <dimension ref="A1:Y156"/>
  <sheetViews>
    <sheetView zoomScaleNormal="100" workbookViewId="0">
      <selection activeCell="AC46" sqref="AC46"/>
    </sheetView>
  </sheetViews>
  <sheetFormatPr defaultColWidth="8.6640625" defaultRowHeight="13.15"/>
  <cols>
    <col min="1" max="1" width="24" style="205" bestFit="1" customWidth="1"/>
    <col min="2" max="2" width="19" style="205" bestFit="1" customWidth="1"/>
    <col min="3" max="3" width="19.1640625" style="205" bestFit="1" customWidth="1"/>
    <col min="4" max="4" width="0.1640625" style="205" customWidth="1"/>
    <col min="5" max="5" width="15.5" style="205" bestFit="1" customWidth="1"/>
    <col min="6" max="6" width="18.6640625" style="205" bestFit="1" customWidth="1"/>
    <col min="7" max="7" width="11.1640625" style="205" bestFit="1" customWidth="1"/>
    <col min="8" max="8" width="8.5" style="205" bestFit="1" customWidth="1"/>
    <col min="9" max="9" width="10.6640625" style="205" bestFit="1" customWidth="1"/>
    <col min="10" max="10" width="9.6640625" style="205" bestFit="1" customWidth="1"/>
    <col min="11" max="11" width="9" style="205" bestFit="1" customWidth="1"/>
    <col min="12" max="12" width="9.5" style="205" bestFit="1" customWidth="1"/>
    <col min="13" max="13" width="9.1640625" style="205" bestFit="1" customWidth="1"/>
    <col min="14" max="14" width="9.6640625" style="205" customWidth="1"/>
    <col min="15" max="15" width="9.5" style="205" bestFit="1" customWidth="1"/>
    <col min="16" max="16" width="8.5" style="205" bestFit="1" customWidth="1"/>
    <col min="17" max="17" width="9" style="205" bestFit="1" customWidth="1"/>
    <col min="18" max="18" width="8.5" style="205" bestFit="1" customWidth="1"/>
    <col min="19" max="19" width="5" style="205" customWidth="1"/>
    <col min="20" max="20" width="5.1640625" style="205" customWidth="1"/>
    <col min="21" max="21" width="4.6640625" style="205" customWidth="1"/>
    <col min="22" max="22" width="7.6640625" style="205" customWidth="1"/>
    <col min="23" max="23" width="12.1640625" style="205" bestFit="1" customWidth="1"/>
    <col min="24" max="24" width="2.1640625" style="205" bestFit="1" customWidth="1"/>
    <col min="25" max="25" width="3.6640625" style="205" bestFit="1" customWidth="1"/>
    <col min="26" max="27" width="1.5" style="205" customWidth="1"/>
    <col min="28" max="30" width="8.6640625" style="205"/>
    <col min="31" max="31" width="12.1640625" style="205" customWidth="1"/>
    <col min="32" max="16384" width="8.6640625" style="205"/>
  </cols>
  <sheetData>
    <row r="1" spans="1:15">
      <c r="G1" s="1419">
        <v>2017</v>
      </c>
      <c r="H1" s="1420"/>
      <c r="I1" s="1420"/>
      <c r="J1" s="1420"/>
      <c r="K1" s="1420"/>
    </row>
    <row r="2" spans="1:15" ht="13.9" thickBot="1">
      <c r="A2" s="310" t="s">
        <v>515</v>
      </c>
      <c r="B2" s="311" t="s">
        <v>680</v>
      </c>
      <c r="C2" s="311" t="s">
        <v>1567</v>
      </c>
      <c r="D2" s="311" t="s">
        <v>1568</v>
      </c>
      <c r="E2" s="312" t="s">
        <v>1569</v>
      </c>
      <c r="F2" s="219"/>
      <c r="G2" s="801" t="s">
        <v>1570</v>
      </c>
      <c r="H2" s="311" t="s">
        <v>1571</v>
      </c>
      <c r="I2" s="311" t="s">
        <v>1572</v>
      </c>
      <c r="J2" s="311" t="s">
        <v>1573</v>
      </c>
      <c r="K2" s="311" t="s">
        <v>1574</v>
      </c>
      <c r="L2" s="448" t="s">
        <v>1575</v>
      </c>
      <c r="M2" s="311" t="s">
        <v>1576</v>
      </c>
      <c r="N2" s="311" t="s">
        <v>1577</v>
      </c>
      <c r="O2" s="311" t="s">
        <v>1578</v>
      </c>
    </row>
    <row r="3" spans="1:15">
      <c r="A3" s="331" t="s">
        <v>277</v>
      </c>
      <c r="B3" s="314">
        <f>'Plant loading'!G9</f>
        <v>370.6</v>
      </c>
      <c r="C3" s="233">
        <v>583.79999999999995</v>
      </c>
      <c r="D3" s="233">
        <v>33</v>
      </c>
      <c r="E3" s="315">
        <f t="shared" ref="E3:E16" si="0">(C3-D3)/B3</f>
        <v>1.4862385321100915</v>
      </c>
      <c r="F3" s="219" t="s">
        <v>1579</v>
      </c>
      <c r="G3" s="316">
        <v>1.38</v>
      </c>
      <c r="H3" s="233">
        <v>1.43</v>
      </c>
      <c r="I3" s="233">
        <v>1.47</v>
      </c>
      <c r="J3" s="233">
        <v>1.49</v>
      </c>
      <c r="K3" s="233">
        <v>1.54</v>
      </c>
      <c r="L3" s="449">
        <v>1.57</v>
      </c>
      <c r="M3" s="316">
        <v>1.58</v>
      </c>
      <c r="N3" s="316">
        <v>1.56</v>
      </c>
      <c r="O3" s="316">
        <v>1.55</v>
      </c>
    </row>
    <row r="4" spans="1:15">
      <c r="A4" s="318" t="s">
        <v>297</v>
      </c>
      <c r="B4" s="314" t="e">
        <f>SUM('Plant loading'!G39)+('Inverter Loading'!#REF!+'Inverter Loading'!#REF!)</f>
        <v>#REF!</v>
      </c>
      <c r="C4" s="233">
        <v>564</v>
      </c>
      <c r="D4" s="233">
        <v>0</v>
      </c>
      <c r="E4" s="315" t="e">
        <f>(C4-D4)/B4</f>
        <v>#REF!</v>
      </c>
      <c r="F4" s="219" t="s">
        <v>1580</v>
      </c>
      <c r="G4" s="316">
        <v>1.37</v>
      </c>
      <c r="H4" s="443" t="s">
        <v>1581</v>
      </c>
      <c r="I4" s="233">
        <v>1.43</v>
      </c>
      <c r="J4" s="233">
        <v>1.43</v>
      </c>
      <c r="K4" s="233">
        <v>1.52</v>
      </c>
      <c r="L4" s="449">
        <v>1.53</v>
      </c>
      <c r="M4" s="316">
        <v>1.51</v>
      </c>
      <c r="N4" s="316">
        <v>1.51</v>
      </c>
      <c r="O4" s="316">
        <v>1.48</v>
      </c>
    </row>
    <row r="5" spans="1:15">
      <c r="A5" s="319" t="s">
        <v>317</v>
      </c>
      <c r="B5" s="314" t="e">
        <f>SUM('Plant loading'!G56)+('Inverter Loading'!#REF!+'Inverter Loading'!#REF!)</f>
        <v>#REF!</v>
      </c>
      <c r="C5" s="233">
        <v>445.5</v>
      </c>
      <c r="D5" s="233">
        <v>5</v>
      </c>
      <c r="E5" s="316" t="e">
        <f>(C5-D5)/B5</f>
        <v>#REF!</v>
      </c>
      <c r="F5" s="219"/>
      <c r="G5" s="316">
        <v>1.43</v>
      </c>
      <c r="H5" s="233">
        <v>1.43</v>
      </c>
      <c r="I5" s="233">
        <v>1.46</v>
      </c>
      <c r="J5" s="233">
        <v>1.46</v>
      </c>
      <c r="K5" s="316">
        <v>1.5</v>
      </c>
      <c r="L5" s="449">
        <v>1.54</v>
      </c>
      <c r="M5" s="316">
        <v>1.52</v>
      </c>
      <c r="N5" s="316">
        <v>1.5</v>
      </c>
      <c r="O5" s="316">
        <v>1.49</v>
      </c>
    </row>
    <row r="6" spans="1:15">
      <c r="A6" s="319" t="s">
        <v>322</v>
      </c>
      <c r="B6" s="314">
        <f>'Plant loading'!G64</f>
        <v>368.14749999999998</v>
      </c>
      <c r="C6" s="233">
        <v>402.6</v>
      </c>
      <c r="D6" s="233">
        <v>0</v>
      </c>
      <c r="E6" s="315">
        <f>(C6-D6)/B6</f>
        <v>1.0935834142565142</v>
      </c>
      <c r="F6" s="219"/>
      <c r="G6" s="316">
        <v>1.29</v>
      </c>
      <c r="H6" s="233">
        <v>1.34</v>
      </c>
      <c r="I6" s="233">
        <v>1.37</v>
      </c>
      <c r="J6" s="233">
        <v>1.36</v>
      </c>
      <c r="K6" s="233">
        <v>1.36</v>
      </c>
      <c r="L6" s="449">
        <v>1.44</v>
      </c>
      <c r="M6" s="316">
        <v>1.42</v>
      </c>
      <c r="N6" s="316">
        <v>1.42</v>
      </c>
      <c r="O6" s="316">
        <v>1.42</v>
      </c>
    </row>
    <row r="7" spans="1:15">
      <c r="A7" s="336" t="s">
        <v>271</v>
      </c>
      <c r="B7" s="314">
        <f>'Plant loading'!G4</f>
        <v>172.3835</v>
      </c>
      <c r="C7" s="233">
        <v>240</v>
      </c>
      <c r="D7" s="233">
        <v>10</v>
      </c>
      <c r="E7" s="315">
        <f>(C7-D7)/B7</f>
        <v>1.3342344249884706</v>
      </c>
      <c r="F7" s="219" t="s">
        <v>1579</v>
      </c>
      <c r="G7" s="316">
        <v>1.57</v>
      </c>
      <c r="H7" s="233">
        <v>1.63</v>
      </c>
      <c r="I7" s="233">
        <v>1.67</v>
      </c>
      <c r="J7" s="233">
        <v>1.68</v>
      </c>
      <c r="K7" s="233">
        <v>1.73</v>
      </c>
      <c r="L7" s="449">
        <v>1.88</v>
      </c>
      <c r="M7" s="316">
        <v>2.06</v>
      </c>
      <c r="N7" s="316">
        <v>1.77</v>
      </c>
      <c r="O7" s="316">
        <v>1.74</v>
      </c>
    </row>
    <row r="8" spans="1:15">
      <c r="A8" s="319" t="s">
        <v>284</v>
      </c>
      <c r="B8" s="314">
        <f>'Plant loading'!G17</f>
        <v>127.203</v>
      </c>
      <c r="C8" s="233">
        <v>199.3</v>
      </c>
      <c r="D8" s="233">
        <v>5</v>
      </c>
      <c r="E8" s="315">
        <f t="shared" si="0"/>
        <v>1.5274796978058693</v>
      </c>
      <c r="F8" s="219" t="s">
        <v>1579</v>
      </c>
      <c r="G8" s="316">
        <v>1.32</v>
      </c>
      <c r="H8" s="233">
        <v>1.37</v>
      </c>
      <c r="I8" s="233">
        <v>1.41</v>
      </c>
      <c r="J8" s="233">
        <v>1.43</v>
      </c>
      <c r="K8" s="233">
        <v>1.43</v>
      </c>
      <c r="L8" s="449">
        <v>1.44</v>
      </c>
      <c r="M8" s="316">
        <v>1.44</v>
      </c>
      <c r="N8" s="316">
        <v>1.44</v>
      </c>
      <c r="O8" s="461">
        <v>1.45</v>
      </c>
    </row>
    <row r="9" spans="1:15">
      <c r="A9" s="319" t="s">
        <v>305</v>
      </c>
      <c r="B9" s="314">
        <f>'Plant loading'!G32</f>
        <v>260.51</v>
      </c>
      <c r="C9" s="233">
        <v>254</v>
      </c>
      <c r="D9" s="233">
        <v>0</v>
      </c>
      <c r="E9" s="316">
        <f>(C9-D9)/B9</f>
        <v>0.975010556216652</v>
      </c>
      <c r="F9" s="219"/>
      <c r="G9" s="316">
        <v>1.35</v>
      </c>
      <c r="H9" s="233">
        <v>1.38</v>
      </c>
      <c r="I9" s="316" t="s">
        <v>1581</v>
      </c>
      <c r="J9" s="316" t="s">
        <v>1581</v>
      </c>
      <c r="K9" s="316">
        <v>1.45</v>
      </c>
      <c r="L9" s="449">
        <v>1.48</v>
      </c>
      <c r="M9" s="316">
        <v>1.5</v>
      </c>
      <c r="N9" s="316">
        <v>1.32</v>
      </c>
      <c r="O9" s="316">
        <v>1.43</v>
      </c>
    </row>
    <row r="10" spans="1:15">
      <c r="A10" s="319" t="s">
        <v>330</v>
      </c>
      <c r="B10" s="314">
        <f>'Plant loading'!G72</f>
        <v>294.57249999999999</v>
      </c>
      <c r="C10" s="233">
        <v>419.5</v>
      </c>
      <c r="D10" s="320">
        <v>5</v>
      </c>
      <c r="E10" s="315">
        <f>(C10-D10)/B10</f>
        <v>1.4071238829150718</v>
      </c>
      <c r="F10" s="219" t="s">
        <v>1580</v>
      </c>
      <c r="G10" s="316">
        <v>1.39</v>
      </c>
      <c r="H10" s="233">
        <v>1.33</v>
      </c>
      <c r="I10" s="233">
        <v>1.43</v>
      </c>
      <c r="J10" s="233">
        <v>1.43</v>
      </c>
      <c r="K10" s="233">
        <v>1.51</v>
      </c>
      <c r="L10" s="449">
        <v>1.54</v>
      </c>
      <c r="M10" s="316">
        <v>1.49</v>
      </c>
      <c r="N10" s="316">
        <v>1.5</v>
      </c>
      <c r="O10" s="316">
        <v>1.55</v>
      </c>
    </row>
    <row r="11" spans="1:15" ht="13.9" thickBot="1">
      <c r="A11" s="330" t="s">
        <v>335</v>
      </c>
      <c r="B11" s="314">
        <f>'Plant loading'!G80</f>
        <v>99.462500000000006</v>
      </c>
      <c r="C11" s="233">
        <v>309.89999999999998</v>
      </c>
      <c r="D11" s="320">
        <v>10</v>
      </c>
      <c r="E11" s="315">
        <f>(C11-D11)/B11</f>
        <v>3.0152067362071127</v>
      </c>
      <c r="F11" s="219"/>
      <c r="G11" s="316">
        <v>1.42</v>
      </c>
      <c r="H11" s="233">
        <v>1.36</v>
      </c>
      <c r="I11" s="316" t="s">
        <v>1582</v>
      </c>
      <c r="J11" s="316">
        <v>1.48</v>
      </c>
      <c r="K11" s="316">
        <v>1.47</v>
      </c>
      <c r="L11" s="449">
        <v>1.5</v>
      </c>
      <c r="M11" s="316">
        <v>1.5</v>
      </c>
      <c r="N11" s="316">
        <v>1.32</v>
      </c>
      <c r="O11" s="461">
        <v>1.26</v>
      </c>
    </row>
    <row r="12" spans="1:15">
      <c r="A12" s="801" t="s">
        <v>288</v>
      </c>
      <c r="B12" s="237">
        <f>'Plant loading'!G22</f>
        <v>290.1035</v>
      </c>
      <c r="C12" s="233">
        <v>317.5</v>
      </c>
      <c r="D12" s="320">
        <v>15</v>
      </c>
      <c r="E12" s="315">
        <f t="shared" si="0"/>
        <v>1.0427313010701353</v>
      </c>
      <c r="F12" s="219" t="s">
        <v>1583</v>
      </c>
      <c r="G12" s="316">
        <v>1.29</v>
      </c>
      <c r="H12" s="233">
        <v>1.28</v>
      </c>
      <c r="I12" s="233">
        <v>1.33</v>
      </c>
      <c r="J12" s="233">
        <v>1.36</v>
      </c>
      <c r="K12" s="233">
        <v>1.42</v>
      </c>
      <c r="L12" s="449">
        <v>1.44</v>
      </c>
      <c r="M12" s="316">
        <v>1.4</v>
      </c>
      <c r="N12" s="316">
        <v>1.21</v>
      </c>
      <c r="O12" s="316">
        <v>1.28</v>
      </c>
    </row>
    <row r="13" spans="1:15">
      <c r="A13" s="338" t="s">
        <v>293</v>
      </c>
      <c r="B13" s="237">
        <f>'Plant loading'!G28</f>
        <v>82.567499999999995</v>
      </c>
      <c r="C13" s="233">
        <v>224.5</v>
      </c>
      <c r="D13" s="233">
        <v>10</v>
      </c>
      <c r="E13" s="315">
        <f t="shared" si="0"/>
        <v>2.5978744663457172</v>
      </c>
      <c r="F13" s="219" t="s">
        <v>1580</v>
      </c>
      <c r="G13" s="316">
        <v>2.04</v>
      </c>
      <c r="H13" s="233">
        <v>1.84</v>
      </c>
      <c r="I13" s="233">
        <v>1.71</v>
      </c>
      <c r="J13" s="233">
        <v>1.95</v>
      </c>
      <c r="K13" s="233">
        <v>2.0299999999999998</v>
      </c>
      <c r="L13" s="449">
        <v>1.83</v>
      </c>
      <c r="M13" s="316">
        <v>1.89</v>
      </c>
      <c r="N13" s="316">
        <v>1.89</v>
      </c>
      <c r="O13" s="316">
        <v>1.81</v>
      </c>
    </row>
    <row r="14" spans="1:15">
      <c r="A14" s="801" t="s">
        <v>314</v>
      </c>
      <c r="B14" s="237">
        <f>'Plant loading'!G47</f>
        <v>126.985</v>
      </c>
      <c r="C14" s="233">
        <v>399</v>
      </c>
      <c r="D14" s="233">
        <v>0</v>
      </c>
      <c r="E14" s="315">
        <f t="shared" si="0"/>
        <v>3.1421033980391386</v>
      </c>
      <c r="F14" s="219"/>
      <c r="G14" s="316">
        <v>1.92</v>
      </c>
      <c r="H14" s="233">
        <v>1.92</v>
      </c>
      <c r="I14" s="233">
        <v>1.94</v>
      </c>
      <c r="J14" s="233">
        <v>1.98</v>
      </c>
      <c r="K14" s="233">
        <v>1.97</v>
      </c>
      <c r="L14" s="449">
        <v>1.97</v>
      </c>
      <c r="M14" s="316">
        <v>1.99</v>
      </c>
      <c r="N14" s="316">
        <v>1.99</v>
      </c>
      <c r="O14" s="316">
        <v>1.97</v>
      </c>
    </row>
    <row r="15" spans="1:15">
      <c r="A15" s="338" t="s">
        <v>338</v>
      </c>
      <c r="B15" s="237">
        <f>'Plant loading'!G85</f>
        <v>92.704499999999996</v>
      </c>
      <c r="C15" s="233">
        <v>224.2</v>
      </c>
      <c r="D15" s="233">
        <v>5</v>
      </c>
      <c r="E15" s="315">
        <f t="shared" si="0"/>
        <v>2.3645022625654635</v>
      </c>
      <c r="F15" s="219" t="s">
        <v>1584</v>
      </c>
      <c r="G15" s="316">
        <v>1.74</v>
      </c>
      <c r="H15" s="233">
        <v>1.74</v>
      </c>
      <c r="I15" s="316" t="s">
        <v>1585</v>
      </c>
      <c r="J15" s="316">
        <v>1.77</v>
      </c>
      <c r="K15" s="316">
        <v>1.8</v>
      </c>
      <c r="L15" s="449">
        <v>1.85</v>
      </c>
      <c r="M15" s="316">
        <v>1.81</v>
      </c>
      <c r="N15" s="316">
        <v>1.83</v>
      </c>
      <c r="O15" s="316">
        <v>1.81</v>
      </c>
    </row>
    <row r="16" spans="1:15">
      <c r="A16" s="337" t="s">
        <v>341</v>
      </c>
      <c r="B16" s="237">
        <f>'Plant loading'!G89</f>
        <v>109.872</v>
      </c>
      <c r="C16" s="233">
        <v>225.9</v>
      </c>
      <c r="D16" s="233">
        <v>5</v>
      </c>
      <c r="E16" s="315">
        <f t="shared" si="0"/>
        <v>2.0105213339158294</v>
      </c>
      <c r="F16" s="219" t="s">
        <v>1584</v>
      </c>
      <c r="G16" s="316">
        <v>1.36</v>
      </c>
      <c r="H16" s="233">
        <v>1.38</v>
      </c>
      <c r="I16" s="233">
        <v>1.43</v>
      </c>
      <c r="J16" s="233">
        <v>1.43</v>
      </c>
      <c r="K16" s="233">
        <v>1.46</v>
      </c>
      <c r="L16" s="449">
        <v>1.48</v>
      </c>
      <c r="M16" s="316">
        <v>1.49</v>
      </c>
      <c r="N16" s="316">
        <v>1.47</v>
      </c>
      <c r="O16" s="316">
        <v>1.46</v>
      </c>
    </row>
    <row r="17" spans="1:22">
      <c r="D17" s="422" t="s">
        <v>1586</v>
      </c>
    </row>
    <row r="18" spans="1:22">
      <c r="A18" s="321" t="s">
        <v>1587</v>
      </c>
      <c r="B18" s="322"/>
    </row>
    <row r="19" spans="1:22">
      <c r="A19" s="422" t="s">
        <v>1588</v>
      </c>
    </row>
    <row r="20" spans="1:22">
      <c r="B20" s="353" t="s">
        <v>1589</v>
      </c>
    </row>
    <row r="22" spans="1:22" ht="13.9" thickBot="1">
      <c r="A22" s="310" t="s">
        <v>515</v>
      </c>
      <c r="B22" s="801" t="s">
        <v>1590</v>
      </c>
      <c r="C22" s="801" t="s">
        <v>1591</v>
      </c>
      <c r="D22" s="204"/>
      <c r="E22" s="204"/>
      <c r="F22" s="204"/>
      <c r="H22" s="204"/>
      <c r="I22" s="204"/>
      <c r="J22" s="204"/>
      <c r="K22" s="204"/>
      <c r="L22" s="204"/>
      <c r="M22" s="204"/>
      <c r="N22" s="204"/>
      <c r="O22" s="204"/>
      <c r="P22" s="204"/>
      <c r="Q22" s="204"/>
      <c r="R22" s="204"/>
      <c r="S22" s="204"/>
    </row>
    <row r="23" spans="1:22">
      <c r="A23" s="331" t="s">
        <v>277</v>
      </c>
      <c r="B23" s="317">
        <v>1.55</v>
      </c>
      <c r="C23" s="233">
        <v>1.58</v>
      </c>
      <c r="D23" s="308"/>
      <c r="E23" s="308"/>
      <c r="F23" s="308"/>
      <c r="H23" s="308"/>
      <c r="I23" s="308"/>
      <c r="J23" s="308"/>
      <c r="K23" s="308"/>
      <c r="L23" s="308"/>
      <c r="M23" s="308"/>
      <c r="N23" s="308"/>
      <c r="O23" s="308"/>
      <c r="P23" s="308"/>
      <c r="Q23" s="204"/>
      <c r="R23" s="308"/>
      <c r="S23" s="308"/>
    </row>
    <row r="24" spans="1:22">
      <c r="A24" s="318" t="s">
        <v>297</v>
      </c>
      <c r="B24" s="317">
        <v>1.48</v>
      </c>
      <c r="C24" s="233">
        <v>1.51</v>
      </c>
      <c r="D24" s="308"/>
      <c r="E24" s="308"/>
      <c r="F24" s="308"/>
      <c r="H24" s="308"/>
      <c r="I24" s="308"/>
      <c r="J24" s="308"/>
      <c r="K24" s="1424" t="s">
        <v>1592</v>
      </c>
      <c r="L24" s="1424"/>
      <c r="M24" s="1424"/>
      <c r="N24" s="1424"/>
      <c r="O24" s="1424"/>
      <c r="P24" s="1424"/>
      <c r="Q24" s="1424"/>
      <c r="R24" s="1424"/>
      <c r="S24" s="1424"/>
      <c r="T24" s="1424"/>
      <c r="U24" s="1424"/>
      <c r="V24" s="1424"/>
    </row>
    <row r="25" spans="1:22">
      <c r="A25" s="319" t="s">
        <v>317</v>
      </c>
      <c r="B25" s="317">
        <v>1.53</v>
      </c>
      <c r="C25" s="316">
        <v>1.52</v>
      </c>
      <c r="D25" s="308"/>
      <c r="E25" s="308"/>
      <c r="F25" s="308"/>
      <c r="H25" s="308"/>
      <c r="I25" s="308"/>
      <c r="J25" s="308"/>
      <c r="K25" s="1424"/>
      <c r="L25" s="1424"/>
      <c r="M25" s="1424"/>
      <c r="N25" s="1424"/>
      <c r="O25" s="1424"/>
      <c r="P25" s="1424"/>
      <c r="Q25" s="1424"/>
      <c r="R25" s="1424"/>
      <c r="S25" s="1424"/>
      <c r="T25" s="1424"/>
      <c r="U25" s="1424"/>
      <c r="V25" s="1424"/>
    </row>
    <row r="26" spans="1:22">
      <c r="A26" s="335" t="s">
        <v>322</v>
      </c>
      <c r="B26" s="317">
        <v>1.4</v>
      </c>
      <c r="C26" s="233">
        <v>1.42</v>
      </c>
      <c r="D26" s="308"/>
      <c r="E26" s="308"/>
      <c r="F26" s="308"/>
      <c r="H26" s="325"/>
      <c r="I26" s="325"/>
      <c r="J26" s="325"/>
      <c r="K26" s="1424"/>
      <c r="L26" s="1424"/>
      <c r="M26" s="1424"/>
      <c r="N26" s="1424"/>
      <c r="O26" s="1424"/>
      <c r="P26" s="1424"/>
      <c r="Q26" s="1424"/>
      <c r="R26" s="1424"/>
      <c r="S26" s="1424"/>
      <c r="T26" s="1424"/>
      <c r="U26" s="1424"/>
      <c r="V26" s="1424"/>
    </row>
    <row r="27" spans="1:22">
      <c r="A27" s="336" t="s">
        <v>271</v>
      </c>
      <c r="B27" s="317">
        <v>1.73</v>
      </c>
      <c r="C27" s="233">
        <v>2.06</v>
      </c>
      <c r="H27" s="325"/>
      <c r="I27" s="325"/>
      <c r="J27" s="325"/>
      <c r="K27" s="1424"/>
      <c r="L27" s="1424"/>
      <c r="M27" s="1424"/>
      <c r="N27" s="1424"/>
      <c r="O27" s="1424"/>
      <c r="P27" s="1424"/>
      <c r="Q27" s="1424"/>
      <c r="R27" s="1424"/>
      <c r="S27" s="1424"/>
      <c r="T27" s="1424"/>
      <c r="U27" s="1424"/>
      <c r="V27" s="1424"/>
    </row>
    <row r="28" spans="1:22">
      <c r="A28" s="335" t="s">
        <v>284</v>
      </c>
      <c r="B28" s="317">
        <v>1.56</v>
      </c>
      <c r="C28" s="233">
        <v>1.44</v>
      </c>
      <c r="D28" s="308"/>
      <c r="E28" s="308"/>
      <c r="F28" s="308"/>
      <c r="H28" s="308"/>
      <c r="I28" s="308"/>
      <c r="J28" s="308"/>
      <c r="K28" s="1424"/>
      <c r="L28" s="1424"/>
      <c r="M28" s="1424"/>
      <c r="N28" s="1424"/>
      <c r="O28" s="1424"/>
      <c r="P28" s="1424"/>
      <c r="Q28" s="1424"/>
      <c r="R28" s="1424"/>
      <c r="S28" s="1424"/>
      <c r="T28" s="1424"/>
      <c r="U28" s="1424"/>
      <c r="V28" s="1424"/>
    </row>
    <row r="29" spans="1:22">
      <c r="A29" s="319" t="s">
        <v>305</v>
      </c>
      <c r="B29" s="317">
        <v>1.49</v>
      </c>
      <c r="C29" s="316">
        <v>1.5</v>
      </c>
      <c r="D29" s="308"/>
      <c r="E29" s="308"/>
      <c r="F29" s="308"/>
      <c r="H29" s="308"/>
      <c r="I29" s="308"/>
      <c r="J29" s="308"/>
      <c r="K29" s="1424"/>
      <c r="L29" s="1424"/>
      <c r="M29" s="1424"/>
      <c r="N29" s="1424"/>
      <c r="O29" s="1424"/>
      <c r="P29" s="1424"/>
      <c r="Q29" s="1424"/>
      <c r="R29" s="1424"/>
      <c r="S29" s="1424"/>
      <c r="T29" s="1424"/>
      <c r="U29" s="1424"/>
      <c r="V29" s="1424"/>
    </row>
    <row r="30" spans="1:22">
      <c r="A30" s="319" t="s">
        <v>330</v>
      </c>
      <c r="B30" s="317">
        <v>1.54</v>
      </c>
      <c r="C30" s="233">
        <v>1.49</v>
      </c>
      <c r="D30" s="308"/>
      <c r="E30" s="308"/>
      <c r="F30" s="308"/>
      <c r="H30" s="308"/>
      <c r="I30" s="308"/>
      <c r="J30" s="308"/>
      <c r="K30" s="1424"/>
      <c r="L30" s="1424"/>
      <c r="M30" s="1424"/>
      <c r="N30" s="1424"/>
      <c r="O30" s="1424"/>
      <c r="P30" s="1424"/>
      <c r="Q30" s="1424"/>
      <c r="R30" s="1424"/>
      <c r="S30" s="1424"/>
      <c r="T30" s="1424"/>
      <c r="U30" s="1424"/>
      <c r="V30" s="1424"/>
    </row>
    <row r="31" spans="1:22" ht="13.9" thickBot="1">
      <c r="A31" s="330" t="s">
        <v>335</v>
      </c>
      <c r="B31" s="317">
        <v>1.52</v>
      </c>
      <c r="C31" s="316">
        <v>1.5</v>
      </c>
      <c r="D31" s="308"/>
      <c r="E31" s="308"/>
      <c r="F31" s="308"/>
      <c r="K31" s="1424"/>
      <c r="L31" s="1424"/>
      <c r="M31" s="1424"/>
      <c r="N31" s="1424"/>
      <c r="O31" s="1424"/>
      <c r="P31" s="1424"/>
      <c r="Q31" s="1424"/>
      <c r="R31" s="1424"/>
      <c r="S31" s="1424"/>
      <c r="T31" s="1424"/>
      <c r="U31" s="1424"/>
      <c r="V31" s="1424"/>
    </row>
    <row r="32" spans="1:22">
      <c r="A32" s="310" t="s">
        <v>515</v>
      </c>
      <c r="B32" s="801" t="s">
        <v>1590</v>
      </c>
      <c r="C32" s="801" t="s">
        <v>1591</v>
      </c>
      <c r="D32" s="204"/>
      <c r="E32" s="204"/>
      <c r="F32" s="204"/>
      <c r="K32" s="1424"/>
      <c r="L32" s="1424"/>
      <c r="M32" s="1424"/>
      <c r="N32" s="1424"/>
      <c r="O32" s="1424"/>
      <c r="P32" s="1424"/>
      <c r="Q32" s="1424"/>
      <c r="R32" s="1424"/>
      <c r="S32" s="1424"/>
      <c r="T32" s="1424"/>
      <c r="U32" s="1424"/>
      <c r="V32" s="1424"/>
    </row>
    <row r="33" spans="1:25">
      <c r="A33" s="801" t="s">
        <v>288</v>
      </c>
      <c r="B33" s="317">
        <v>1.46</v>
      </c>
      <c r="C33" s="316">
        <v>1.4</v>
      </c>
      <c r="H33" s="204"/>
      <c r="I33" s="204"/>
      <c r="J33" s="204"/>
      <c r="K33" s="204"/>
      <c r="L33" s="204"/>
      <c r="M33" s="204"/>
      <c r="N33" s="204"/>
      <c r="O33" s="204"/>
      <c r="P33" s="204"/>
      <c r="Q33" s="204"/>
      <c r="R33" s="308"/>
      <c r="S33" s="308"/>
    </row>
    <row r="34" spans="1:25">
      <c r="A34" s="338" t="s">
        <v>293</v>
      </c>
      <c r="B34" s="317">
        <v>1.76</v>
      </c>
      <c r="C34" s="316">
        <v>1.89</v>
      </c>
      <c r="H34" s="308"/>
      <c r="I34" s="308"/>
      <c r="J34" s="308"/>
      <c r="K34" s="308"/>
      <c r="L34" s="308"/>
      <c r="M34" s="308"/>
      <c r="N34" s="308"/>
      <c r="O34" s="308"/>
      <c r="P34" s="308"/>
      <c r="Q34" s="308"/>
      <c r="R34" s="308"/>
      <c r="S34" s="308"/>
    </row>
    <row r="35" spans="1:25">
      <c r="A35" s="801" t="s">
        <v>314</v>
      </c>
      <c r="B35" s="317">
        <v>2.02</v>
      </c>
      <c r="C35" s="316">
        <v>1.99</v>
      </c>
      <c r="D35" s="308"/>
      <c r="E35" s="308"/>
      <c r="F35" s="308"/>
      <c r="H35" s="308"/>
      <c r="I35" s="308"/>
      <c r="J35" s="308"/>
      <c r="K35" s="308"/>
      <c r="L35" s="308"/>
      <c r="M35" s="308"/>
      <c r="N35" s="308"/>
      <c r="O35" s="308"/>
      <c r="P35" s="308"/>
      <c r="Q35" s="308"/>
      <c r="R35" s="308"/>
      <c r="S35" s="308"/>
    </row>
    <row r="36" spans="1:25">
      <c r="A36" s="801" t="s">
        <v>338</v>
      </c>
      <c r="B36" s="317">
        <v>1.74</v>
      </c>
      <c r="C36" s="316">
        <v>1.81</v>
      </c>
      <c r="D36" s="308"/>
      <c r="E36" s="308"/>
      <c r="F36" s="308"/>
      <c r="H36" s="308"/>
      <c r="I36" s="308"/>
      <c r="J36" s="308"/>
      <c r="K36" s="308"/>
      <c r="L36" s="308"/>
      <c r="M36" s="308"/>
      <c r="N36" s="308"/>
      <c r="O36" s="308"/>
      <c r="P36" s="308"/>
      <c r="Q36" s="308"/>
      <c r="R36" s="308"/>
      <c r="S36" s="308"/>
    </row>
    <row r="37" spans="1:25">
      <c r="A37" s="337" t="s">
        <v>341</v>
      </c>
      <c r="B37" s="317">
        <v>1.49</v>
      </c>
      <c r="C37" s="316">
        <v>1.49</v>
      </c>
      <c r="D37" s="308"/>
      <c r="E37" s="308"/>
      <c r="F37" s="308"/>
      <c r="H37" s="308"/>
      <c r="I37" s="308"/>
      <c r="J37" s="308"/>
      <c r="K37" s="308"/>
      <c r="L37" s="308"/>
      <c r="M37" s="308"/>
      <c r="N37" s="308"/>
      <c r="O37" s="308"/>
      <c r="P37" s="308"/>
      <c r="Q37" s="308"/>
      <c r="R37" s="308"/>
      <c r="S37" s="308"/>
      <c r="W37" s="219"/>
      <c r="X37" s="219"/>
      <c r="Y37" s="219"/>
    </row>
    <row r="38" spans="1:25">
      <c r="B38" s="308"/>
      <c r="C38" s="308"/>
      <c r="D38" s="308"/>
      <c r="E38" s="308"/>
      <c r="F38" s="308"/>
      <c r="G38" s="308"/>
      <c r="H38" s="204"/>
      <c r="I38" s="204"/>
      <c r="J38" s="204"/>
      <c r="K38" s="204"/>
      <c r="L38" s="204"/>
      <c r="M38" s="204"/>
      <c r="N38" s="204"/>
      <c r="O38" s="204"/>
      <c r="P38" s="204"/>
      <c r="Q38" s="204"/>
      <c r="R38" s="204"/>
      <c r="S38" s="308"/>
      <c r="W38" s="219" t="s">
        <v>1593</v>
      </c>
      <c r="X38" s="233" t="s">
        <v>1594</v>
      </c>
      <c r="Y38" s="233" t="s">
        <v>786</v>
      </c>
    </row>
    <row r="39" spans="1:25">
      <c r="G39" s="1421">
        <v>2016</v>
      </c>
      <c r="H39" s="1422"/>
      <c r="I39" s="1422"/>
      <c r="J39" s="1422"/>
      <c r="K39" s="1422"/>
      <c r="L39" s="1422"/>
      <c r="M39" s="1422"/>
      <c r="N39" s="1422"/>
      <c r="O39" s="1422"/>
      <c r="P39" s="1422"/>
      <c r="Q39" s="1422"/>
      <c r="R39" s="1423"/>
      <c r="W39" s="323" t="s">
        <v>1595</v>
      </c>
      <c r="X39" s="219"/>
      <c r="Y39" s="219">
        <f>(400*X39*1.73)/1000</f>
        <v>0</v>
      </c>
    </row>
    <row r="40" spans="1:25" ht="13.9" thickBot="1">
      <c r="A40" s="310" t="s">
        <v>515</v>
      </c>
      <c r="B40" s="311" t="s">
        <v>680</v>
      </c>
      <c r="C40" s="311" t="s">
        <v>1567</v>
      </c>
      <c r="D40" s="311" t="s">
        <v>1568</v>
      </c>
      <c r="E40" s="312" t="s">
        <v>1569</v>
      </c>
      <c r="F40" s="219"/>
      <c r="G40" s="801" t="s">
        <v>1570</v>
      </c>
      <c r="H40" s="801" t="s">
        <v>1571</v>
      </c>
      <c r="I40" s="801" t="s">
        <v>1572</v>
      </c>
      <c r="J40" s="801" t="s">
        <v>1573</v>
      </c>
      <c r="K40" s="801" t="s">
        <v>1574</v>
      </c>
      <c r="L40" s="310" t="s">
        <v>1596</v>
      </c>
      <c r="M40" s="310" t="s">
        <v>1597</v>
      </c>
      <c r="N40" s="310" t="s">
        <v>1577</v>
      </c>
      <c r="O40" s="310" t="s">
        <v>1578</v>
      </c>
      <c r="P40" s="310" t="s">
        <v>1598</v>
      </c>
      <c r="Q40" s="310" t="s">
        <v>1599</v>
      </c>
      <c r="R40" s="310" t="s">
        <v>1600</v>
      </c>
      <c r="W40" s="323" t="s">
        <v>1601</v>
      </c>
      <c r="X40" s="219"/>
      <c r="Y40" s="219">
        <f>(400*X40*1.73)/1000</f>
        <v>0</v>
      </c>
    </row>
    <row r="41" spans="1:25">
      <c r="A41" s="331" t="s">
        <v>277</v>
      </c>
      <c r="B41" s="314">
        <f>'Plant loading'!G50</f>
        <v>0</v>
      </c>
      <c r="C41" s="233">
        <v>583.79999999999995</v>
      </c>
      <c r="D41" s="233">
        <v>33</v>
      </c>
      <c r="E41" s="315" t="e">
        <f t="shared" ref="E41:E54" si="1">(C41-D41)/B41</f>
        <v>#DIV/0!</v>
      </c>
      <c r="F41" s="219" t="s">
        <v>1579</v>
      </c>
      <c r="G41" s="316">
        <v>1.42</v>
      </c>
      <c r="H41" s="316">
        <v>1.42</v>
      </c>
      <c r="I41" s="316">
        <v>1.38</v>
      </c>
      <c r="J41" s="316">
        <v>1.43</v>
      </c>
      <c r="K41" s="317">
        <v>1.46</v>
      </c>
      <c r="L41" s="340">
        <v>1.52</v>
      </c>
      <c r="M41" s="340">
        <v>1.55</v>
      </c>
      <c r="N41" s="340">
        <v>1.54</v>
      </c>
      <c r="O41" s="340">
        <v>1.55</v>
      </c>
      <c r="P41" s="340">
        <v>1.51</v>
      </c>
      <c r="Q41" s="340">
        <v>1.46</v>
      </c>
      <c r="R41" s="340">
        <v>1.43</v>
      </c>
      <c r="W41" s="323" t="s">
        <v>569</v>
      </c>
      <c r="X41" s="219">
        <f>SUM(X39:X40)</f>
        <v>0</v>
      </c>
      <c r="Y41" s="219">
        <f>SUM(Y39:Y40)</f>
        <v>0</v>
      </c>
    </row>
    <row r="42" spans="1:25">
      <c r="A42" s="318" t="s">
        <v>297</v>
      </c>
      <c r="B42" s="314" t="e">
        <f>SUM('Plant loading'!G83)+('Inverter Loading'!M49+'Inverter Loading'!#REF!)</f>
        <v>#REF!</v>
      </c>
      <c r="C42" s="233">
        <v>564</v>
      </c>
      <c r="D42" s="233">
        <v>0</v>
      </c>
      <c r="E42" s="315" t="e">
        <f t="shared" si="1"/>
        <v>#REF!</v>
      </c>
      <c r="F42" s="219" t="s">
        <v>1580</v>
      </c>
      <c r="G42" s="316">
        <v>1.37</v>
      </c>
      <c r="H42" s="316">
        <v>1.38</v>
      </c>
      <c r="I42" s="316">
        <v>1.32</v>
      </c>
      <c r="J42" s="316">
        <v>1.4</v>
      </c>
      <c r="K42" s="317">
        <v>1.46</v>
      </c>
      <c r="L42" s="218">
        <v>1.48</v>
      </c>
      <c r="M42" s="340">
        <v>1.48</v>
      </c>
      <c r="N42" s="340">
        <v>1.5</v>
      </c>
      <c r="O42" s="340">
        <v>1.48</v>
      </c>
      <c r="P42" s="340">
        <v>1.44</v>
      </c>
      <c r="Q42" s="340">
        <v>1.38</v>
      </c>
      <c r="R42" s="340">
        <v>1.4</v>
      </c>
    </row>
    <row r="43" spans="1:25">
      <c r="A43" s="319" t="s">
        <v>317</v>
      </c>
      <c r="B43" s="314" t="e">
        <f>SUM('Plant loading'!G100)+('Inverter Loading'!O62+'Inverter Loading'!#REF!)</f>
        <v>#REF!</v>
      </c>
      <c r="C43" s="233">
        <v>445.5</v>
      </c>
      <c r="D43" s="233">
        <v>5</v>
      </c>
      <c r="E43" s="316" t="e">
        <f t="shared" si="1"/>
        <v>#REF!</v>
      </c>
      <c r="F43" s="219"/>
      <c r="G43" s="316">
        <v>1.41</v>
      </c>
      <c r="H43" s="316">
        <v>1.41</v>
      </c>
      <c r="I43" s="316">
        <v>1.3</v>
      </c>
      <c r="J43" s="316">
        <v>1.46</v>
      </c>
      <c r="K43" s="317">
        <v>1.49</v>
      </c>
      <c r="L43" s="218">
        <v>1.54</v>
      </c>
      <c r="M43" s="340">
        <v>1.53</v>
      </c>
      <c r="N43" s="340">
        <v>1.51</v>
      </c>
      <c r="O43" s="340">
        <v>1.5</v>
      </c>
      <c r="P43" s="340">
        <v>1.47</v>
      </c>
      <c r="Q43" s="340">
        <v>1.4</v>
      </c>
      <c r="R43" s="340">
        <v>1.46</v>
      </c>
    </row>
    <row r="44" spans="1:25">
      <c r="A44" s="319" t="s">
        <v>322</v>
      </c>
      <c r="B44" s="314" t="e">
        <f>'Plant loading'!#REF!</f>
        <v>#REF!</v>
      </c>
      <c r="C44" s="233">
        <v>402.6</v>
      </c>
      <c r="D44" s="233">
        <v>0</v>
      </c>
      <c r="E44" s="315" t="e">
        <f t="shared" si="1"/>
        <v>#REF!</v>
      </c>
      <c r="F44" s="219"/>
      <c r="G44" s="316">
        <v>1.4</v>
      </c>
      <c r="H44" s="316">
        <v>1.29</v>
      </c>
      <c r="I44" s="316">
        <v>1.25</v>
      </c>
      <c r="J44" s="316">
        <v>1.36</v>
      </c>
      <c r="K44" s="317">
        <v>1.37</v>
      </c>
      <c r="L44" s="218">
        <v>1.37</v>
      </c>
      <c r="M44" s="340">
        <v>1.4</v>
      </c>
      <c r="N44" s="340">
        <v>1.4</v>
      </c>
      <c r="O44" s="340">
        <v>1.39</v>
      </c>
      <c r="P44" s="340">
        <v>1.38</v>
      </c>
      <c r="Q44" s="340">
        <v>1.31</v>
      </c>
      <c r="R44" s="340">
        <v>1.33</v>
      </c>
    </row>
    <row r="45" spans="1:25">
      <c r="A45" s="336" t="s">
        <v>271</v>
      </c>
      <c r="B45" s="314">
        <f>'Plant loading'!G47</f>
        <v>126.985</v>
      </c>
      <c r="C45" s="233">
        <v>240</v>
      </c>
      <c r="D45" s="233">
        <v>10</v>
      </c>
      <c r="E45" s="315">
        <f t="shared" si="1"/>
        <v>1.8112375477418592</v>
      </c>
      <c r="F45" s="219" t="s">
        <v>1579</v>
      </c>
      <c r="G45" s="316">
        <v>1.55</v>
      </c>
      <c r="H45" s="316">
        <v>1.6</v>
      </c>
      <c r="I45" s="316">
        <v>1.58</v>
      </c>
      <c r="J45" s="316">
        <v>1.62</v>
      </c>
      <c r="K45" s="317">
        <v>1.67</v>
      </c>
      <c r="L45" s="233">
        <v>1.72</v>
      </c>
      <c r="M45" s="316">
        <v>1.73</v>
      </c>
      <c r="N45" s="316">
        <v>1.73</v>
      </c>
      <c r="O45" s="316">
        <v>1.73</v>
      </c>
      <c r="P45" s="316">
        <v>1.69</v>
      </c>
      <c r="Q45" s="316">
        <v>1.63</v>
      </c>
      <c r="R45" s="316">
        <v>1.62</v>
      </c>
    </row>
    <row r="46" spans="1:25">
      <c r="A46" s="319" t="s">
        <v>284</v>
      </c>
      <c r="B46" s="314">
        <f>'Plant loading'!G58</f>
        <v>0</v>
      </c>
      <c r="C46" s="233">
        <v>199.3</v>
      </c>
      <c r="D46" s="233">
        <v>5</v>
      </c>
      <c r="E46" s="315" t="e">
        <f t="shared" si="1"/>
        <v>#DIV/0!</v>
      </c>
      <c r="F46" s="219" t="s">
        <v>1579</v>
      </c>
      <c r="G46" s="316">
        <v>1.58</v>
      </c>
      <c r="H46" s="316">
        <v>1.55</v>
      </c>
      <c r="I46" s="316">
        <v>1.55</v>
      </c>
      <c r="J46" s="316">
        <v>1.49</v>
      </c>
      <c r="K46" s="317">
        <v>1.47</v>
      </c>
      <c r="L46" s="233">
        <v>1.47</v>
      </c>
      <c r="M46" s="316">
        <v>1.56</v>
      </c>
      <c r="N46" s="316">
        <v>1.64</v>
      </c>
      <c r="O46" s="316">
        <v>1.55</v>
      </c>
      <c r="P46" s="316">
        <v>1.44</v>
      </c>
      <c r="Q46" s="316">
        <v>1.37</v>
      </c>
      <c r="R46" s="316">
        <v>1.36</v>
      </c>
    </row>
    <row r="47" spans="1:25">
      <c r="A47" s="319" t="s">
        <v>305</v>
      </c>
      <c r="B47" s="314">
        <f>'Plant loading'!G76</f>
        <v>0</v>
      </c>
      <c r="C47" s="233">
        <v>254</v>
      </c>
      <c r="D47" s="233">
        <v>0</v>
      </c>
      <c r="E47" s="316" t="e">
        <f t="shared" si="1"/>
        <v>#DIV/0!</v>
      </c>
      <c r="F47" s="219"/>
      <c r="G47" s="316">
        <v>1.45</v>
      </c>
      <c r="H47" s="316">
        <v>1.55</v>
      </c>
      <c r="I47" s="316">
        <v>1.55</v>
      </c>
      <c r="J47" s="316">
        <v>1.44</v>
      </c>
      <c r="K47" s="317">
        <v>1.52</v>
      </c>
      <c r="L47" s="339">
        <v>1.52</v>
      </c>
      <c r="M47" s="345">
        <v>1.49</v>
      </c>
      <c r="N47" s="345">
        <v>1.47</v>
      </c>
      <c r="O47" s="345">
        <v>1.45</v>
      </c>
      <c r="P47" s="345">
        <v>1.4</v>
      </c>
      <c r="Q47" s="345">
        <v>1.34</v>
      </c>
      <c r="R47" s="345">
        <v>1.34</v>
      </c>
    </row>
    <row r="48" spans="1:25">
      <c r="A48" s="319" t="s">
        <v>330</v>
      </c>
      <c r="B48" s="314">
        <f>'Plant loading'!G108</f>
        <v>0</v>
      </c>
      <c r="C48" s="233">
        <v>419.5</v>
      </c>
      <c r="D48" s="320">
        <v>5</v>
      </c>
      <c r="E48" s="315" t="e">
        <f t="shared" si="1"/>
        <v>#DIV/0!</v>
      </c>
      <c r="F48" s="219" t="s">
        <v>1580</v>
      </c>
      <c r="G48" s="316">
        <v>1.41</v>
      </c>
      <c r="H48" s="316">
        <v>1.39</v>
      </c>
      <c r="I48" s="316">
        <v>1.41</v>
      </c>
      <c r="J48" s="316">
        <v>1.43</v>
      </c>
      <c r="K48" s="317">
        <v>1.46</v>
      </c>
      <c r="L48" s="218">
        <v>1.51</v>
      </c>
      <c r="M48" s="340">
        <v>1.54</v>
      </c>
      <c r="N48" s="340">
        <v>1.55</v>
      </c>
      <c r="O48" s="340">
        <v>1.5</v>
      </c>
      <c r="P48" s="340">
        <v>1.38</v>
      </c>
      <c r="Q48" s="340">
        <v>1.35</v>
      </c>
      <c r="R48" s="340">
        <v>1.36</v>
      </c>
    </row>
    <row r="49" spans="1:18" ht="13.9" thickBot="1">
      <c r="A49" s="330" t="s">
        <v>335</v>
      </c>
      <c r="B49" s="314">
        <f>'Plant loading'!G112</f>
        <v>19.292999999999999</v>
      </c>
      <c r="C49" s="233">
        <v>309.89999999999998</v>
      </c>
      <c r="D49" s="320">
        <v>10</v>
      </c>
      <c r="E49" s="315">
        <f t="shared" si="1"/>
        <v>15.544498004457575</v>
      </c>
      <c r="F49" s="219"/>
      <c r="G49" s="316">
        <v>1.45</v>
      </c>
      <c r="H49" s="316">
        <v>1.46</v>
      </c>
      <c r="I49" s="316">
        <v>1.47</v>
      </c>
      <c r="J49" s="316">
        <v>1.47</v>
      </c>
      <c r="K49" s="317">
        <v>1.54</v>
      </c>
      <c r="L49" s="218">
        <v>1.55</v>
      </c>
      <c r="M49" s="340">
        <v>1.52</v>
      </c>
      <c r="N49" s="340">
        <v>1.62</v>
      </c>
      <c r="O49" s="340">
        <v>1.51</v>
      </c>
      <c r="P49" s="340">
        <v>1.44</v>
      </c>
      <c r="Q49" s="340">
        <v>1.37</v>
      </c>
      <c r="R49" s="340">
        <v>1.45</v>
      </c>
    </row>
    <row r="50" spans="1:18">
      <c r="A50" s="801" t="s">
        <v>288</v>
      </c>
      <c r="B50" s="237">
        <f>'Plant loading'!G65</f>
        <v>0</v>
      </c>
      <c r="C50" s="233">
        <v>317.5</v>
      </c>
      <c r="D50" s="320">
        <v>15</v>
      </c>
      <c r="E50" s="315" t="e">
        <f t="shared" si="1"/>
        <v>#DIV/0!</v>
      </c>
      <c r="F50" s="219" t="s">
        <v>1583</v>
      </c>
      <c r="G50" s="316">
        <v>1.3</v>
      </c>
      <c r="H50" s="316">
        <v>1.28</v>
      </c>
      <c r="I50" s="316">
        <v>1.28</v>
      </c>
      <c r="J50" s="316">
        <v>1.31</v>
      </c>
      <c r="K50" s="317">
        <v>1.26</v>
      </c>
      <c r="L50" s="218">
        <v>1.43</v>
      </c>
      <c r="M50" s="340">
        <v>1.46</v>
      </c>
      <c r="N50" s="340">
        <v>1.45</v>
      </c>
      <c r="O50" s="340">
        <v>1.45</v>
      </c>
      <c r="P50" s="340">
        <v>1.36</v>
      </c>
      <c r="Q50" s="340">
        <v>1.51</v>
      </c>
      <c r="R50" s="340">
        <v>1.35</v>
      </c>
    </row>
    <row r="51" spans="1:18">
      <c r="A51" s="338" t="s">
        <v>293</v>
      </c>
      <c r="B51" s="237">
        <f>'Plant loading'!G72</f>
        <v>294.57249999999999</v>
      </c>
      <c r="C51" s="233">
        <v>224.5</v>
      </c>
      <c r="D51" s="233">
        <v>10</v>
      </c>
      <c r="E51" s="315">
        <f t="shared" si="1"/>
        <v>0.72817387909597808</v>
      </c>
      <c r="F51" s="219" t="s">
        <v>1580</v>
      </c>
      <c r="G51" s="316">
        <v>1.93</v>
      </c>
      <c r="H51" s="316">
        <v>1.77</v>
      </c>
      <c r="I51" s="316">
        <v>1.74</v>
      </c>
      <c r="J51" s="316">
        <v>1.74</v>
      </c>
      <c r="K51" s="317">
        <v>1.98</v>
      </c>
      <c r="L51" s="340">
        <v>1.86</v>
      </c>
      <c r="M51" s="340">
        <v>1.76</v>
      </c>
      <c r="N51" s="340">
        <v>1.87</v>
      </c>
      <c r="O51" s="340">
        <v>2.12</v>
      </c>
      <c r="P51" s="340">
        <v>1.74</v>
      </c>
      <c r="Q51" s="340">
        <v>2.0299999999999998</v>
      </c>
      <c r="R51" s="340">
        <v>2.0299999999999998</v>
      </c>
    </row>
    <row r="52" spans="1:18">
      <c r="A52" s="801" t="s">
        <v>314</v>
      </c>
      <c r="B52" s="237">
        <f>'Plant loading'!G89</f>
        <v>109.872</v>
      </c>
      <c r="C52" s="233">
        <v>399</v>
      </c>
      <c r="D52" s="233">
        <v>0</v>
      </c>
      <c r="E52" s="315">
        <f t="shared" si="1"/>
        <v>3.6314984709480123</v>
      </c>
      <c r="F52" s="219"/>
      <c r="G52" s="316">
        <v>1.92</v>
      </c>
      <c r="H52" s="316">
        <v>2.02</v>
      </c>
      <c r="I52" s="316">
        <v>1.95</v>
      </c>
      <c r="J52" s="316">
        <v>1.93</v>
      </c>
      <c r="K52" s="317">
        <v>1.96</v>
      </c>
      <c r="L52" s="218">
        <v>2</v>
      </c>
      <c r="M52" s="340">
        <v>2.02</v>
      </c>
      <c r="N52" s="340">
        <v>2.14</v>
      </c>
      <c r="O52" s="340">
        <v>2.04</v>
      </c>
      <c r="P52" s="340">
        <v>1.95</v>
      </c>
      <c r="Q52" s="340">
        <v>1.92</v>
      </c>
      <c r="R52" s="340">
        <v>2.0099999999999998</v>
      </c>
    </row>
    <row r="53" spans="1:18">
      <c r="A53" s="338" t="s">
        <v>338</v>
      </c>
      <c r="B53" s="237">
        <f>'Plant loading'!G117</f>
        <v>0</v>
      </c>
      <c r="C53" s="233">
        <v>224.2</v>
      </c>
      <c r="D53" s="233">
        <v>5</v>
      </c>
      <c r="E53" s="315" t="e">
        <f t="shared" si="1"/>
        <v>#DIV/0!</v>
      </c>
      <c r="F53" s="219" t="s">
        <v>1584</v>
      </c>
      <c r="G53" s="316">
        <v>1.74</v>
      </c>
      <c r="H53" s="316">
        <v>1.8</v>
      </c>
      <c r="I53" s="316">
        <v>1.84</v>
      </c>
      <c r="J53" s="316">
        <v>1.86</v>
      </c>
      <c r="K53" s="317">
        <v>1.81</v>
      </c>
      <c r="L53" s="233">
        <v>1.77</v>
      </c>
      <c r="M53" s="316">
        <v>1.74</v>
      </c>
      <c r="N53" s="316">
        <v>1.75</v>
      </c>
      <c r="O53" s="316">
        <v>1.75</v>
      </c>
      <c r="P53" s="316">
        <v>1.76</v>
      </c>
      <c r="Q53" s="316">
        <v>1.75</v>
      </c>
      <c r="R53" s="316">
        <v>1.75</v>
      </c>
    </row>
    <row r="54" spans="1:18">
      <c r="A54" s="337" t="s">
        <v>341</v>
      </c>
      <c r="B54" s="237" t="e">
        <f>'Plant loading'!#REF!</f>
        <v>#REF!</v>
      </c>
      <c r="C54" s="233">
        <v>225.9</v>
      </c>
      <c r="D54" s="233">
        <v>5</v>
      </c>
      <c r="E54" s="315" t="e">
        <f t="shared" si="1"/>
        <v>#REF!</v>
      </c>
      <c r="F54" s="219" t="s">
        <v>1584</v>
      </c>
      <c r="G54" s="316">
        <v>1.42</v>
      </c>
      <c r="H54" s="316">
        <v>1.38</v>
      </c>
      <c r="I54" s="316">
        <v>1.42</v>
      </c>
      <c r="J54" s="316">
        <v>1.5</v>
      </c>
      <c r="K54" s="317">
        <v>1.51</v>
      </c>
      <c r="L54" s="273">
        <v>1.51</v>
      </c>
      <c r="M54" s="346">
        <v>1.49</v>
      </c>
      <c r="N54" s="346">
        <v>1.49</v>
      </c>
      <c r="O54" s="346">
        <v>1.55</v>
      </c>
      <c r="P54" s="346">
        <v>1.45</v>
      </c>
      <c r="Q54" s="346">
        <v>1.4</v>
      </c>
      <c r="R54" s="346">
        <v>1.4</v>
      </c>
    </row>
    <row r="55" spans="1:18">
      <c r="G55" s="1298">
        <v>2015</v>
      </c>
      <c r="H55" s="1298"/>
      <c r="I55" s="1298"/>
      <c r="J55" s="1298"/>
      <c r="K55" s="1298"/>
      <c r="L55" s="1298"/>
      <c r="M55" s="1298"/>
      <c r="N55" s="1298"/>
      <c r="O55" s="1298"/>
      <c r="P55" s="1298"/>
      <c r="Q55" s="1298"/>
      <c r="R55" s="1298"/>
    </row>
    <row r="56" spans="1:18" ht="13.9" thickBot="1">
      <c r="A56" s="310" t="s">
        <v>515</v>
      </c>
      <c r="B56" s="311" t="s">
        <v>680</v>
      </c>
      <c r="C56" s="311" t="s">
        <v>1567</v>
      </c>
      <c r="D56" s="311" t="s">
        <v>1568</v>
      </c>
      <c r="E56" s="312" t="s">
        <v>1569</v>
      </c>
      <c r="F56" s="219"/>
      <c r="G56" s="801" t="s">
        <v>1570</v>
      </c>
      <c r="H56" s="801" t="s">
        <v>1571</v>
      </c>
      <c r="I56" s="801" t="s">
        <v>1572</v>
      </c>
      <c r="J56" s="801" t="s">
        <v>1573</v>
      </c>
      <c r="K56" s="801" t="s">
        <v>1574</v>
      </c>
      <c r="L56" s="311" t="s">
        <v>1596</v>
      </c>
      <c r="M56" s="311" t="s">
        <v>1597</v>
      </c>
      <c r="N56" s="311" t="s">
        <v>1577</v>
      </c>
      <c r="O56" s="311" t="s">
        <v>1578</v>
      </c>
      <c r="P56" s="311" t="s">
        <v>1598</v>
      </c>
      <c r="Q56" s="311" t="s">
        <v>1599</v>
      </c>
      <c r="R56" s="311" t="s">
        <v>1600</v>
      </c>
    </row>
    <row r="57" spans="1:18">
      <c r="A57" s="331" t="s">
        <v>277</v>
      </c>
      <c r="B57" s="314">
        <f>'Plant loading'!G49</f>
        <v>0</v>
      </c>
      <c r="C57" s="233">
        <v>583.79999999999995</v>
      </c>
      <c r="D57" s="233">
        <v>33</v>
      </c>
      <c r="E57" s="315" t="e">
        <f t="shared" ref="E57:E70" si="2">(C57-D57)/B57</f>
        <v>#DIV/0!</v>
      </c>
      <c r="F57" s="219" t="s">
        <v>1579</v>
      </c>
      <c r="G57" s="316">
        <v>1.59</v>
      </c>
      <c r="H57" s="316">
        <v>1.5</v>
      </c>
      <c r="I57" s="316">
        <v>1.46</v>
      </c>
      <c r="J57" s="316">
        <v>1.49</v>
      </c>
      <c r="K57" s="317">
        <v>1.49</v>
      </c>
      <c r="L57" s="340">
        <v>1.5</v>
      </c>
      <c r="M57" s="340">
        <v>1.51</v>
      </c>
      <c r="N57" s="340">
        <v>1.5</v>
      </c>
      <c r="O57" s="340">
        <v>1.48</v>
      </c>
      <c r="P57" s="340">
        <v>1.46</v>
      </c>
      <c r="Q57" s="340">
        <v>1.46</v>
      </c>
      <c r="R57" s="340">
        <v>1.47</v>
      </c>
    </row>
    <row r="58" spans="1:18">
      <c r="A58" s="318" t="s">
        <v>297</v>
      </c>
      <c r="B58" s="314">
        <v>339</v>
      </c>
      <c r="C58" s="233">
        <v>564</v>
      </c>
      <c r="D58" s="233">
        <v>0</v>
      </c>
      <c r="E58" s="315">
        <f t="shared" si="2"/>
        <v>1.663716814159292</v>
      </c>
      <c r="F58" s="219" t="s">
        <v>1580</v>
      </c>
      <c r="G58" s="316">
        <v>1.51</v>
      </c>
      <c r="H58" s="316">
        <v>1.34</v>
      </c>
      <c r="I58" s="316">
        <v>1.37</v>
      </c>
      <c r="J58" s="316">
        <v>1.42</v>
      </c>
      <c r="K58" s="317">
        <v>1.45</v>
      </c>
      <c r="L58" s="218">
        <v>1.48</v>
      </c>
      <c r="M58" s="340">
        <v>1.5</v>
      </c>
      <c r="N58" s="340">
        <v>1.49</v>
      </c>
      <c r="O58" s="340">
        <v>1.52</v>
      </c>
      <c r="P58" s="340">
        <v>1.45</v>
      </c>
      <c r="Q58" s="340">
        <v>1.44</v>
      </c>
      <c r="R58" s="340">
        <v>1.39</v>
      </c>
    </row>
    <row r="59" spans="1:18">
      <c r="A59" s="319" t="s">
        <v>317</v>
      </c>
      <c r="B59" s="314">
        <v>275</v>
      </c>
      <c r="C59" s="233">
        <v>445.5</v>
      </c>
      <c r="D59" s="233">
        <v>5</v>
      </c>
      <c r="E59" s="316">
        <f t="shared" si="2"/>
        <v>1.6018181818181818</v>
      </c>
      <c r="F59" s="219"/>
      <c r="G59" s="316">
        <v>1.43</v>
      </c>
      <c r="H59" s="316">
        <v>1.39</v>
      </c>
      <c r="I59" s="316">
        <v>1.41</v>
      </c>
      <c r="J59" s="316">
        <v>1.4</v>
      </c>
      <c r="K59" s="317">
        <v>1.48</v>
      </c>
      <c r="L59" s="218">
        <v>1.51</v>
      </c>
      <c r="M59" s="340">
        <v>1.53</v>
      </c>
      <c r="N59" s="340">
        <v>1.55</v>
      </c>
      <c r="O59" s="340">
        <v>1.55</v>
      </c>
      <c r="P59" s="340">
        <v>1.54</v>
      </c>
      <c r="Q59" s="340">
        <v>1.47</v>
      </c>
      <c r="R59" s="340">
        <v>1.41</v>
      </c>
    </row>
    <row r="60" spans="1:18">
      <c r="A60" s="319" t="s">
        <v>322</v>
      </c>
      <c r="B60" s="314" t="e">
        <f>'Plant loading'!#REF!</f>
        <v>#REF!</v>
      </c>
      <c r="C60" s="233">
        <v>402.6</v>
      </c>
      <c r="D60" s="233">
        <v>0</v>
      </c>
      <c r="E60" s="315" t="e">
        <f t="shared" si="2"/>
        <v>#REF!</v>
      </c>
      <c r="F60" s="219"/>
      <c r="G60" s="316">
        <v>1.3</v>
      </c>
      <c r="H60" s="316">
        <v>1.32</v>
      </c>
      <c r="I60" s="316">
        <v>1.34</v>
      </c>
      <c r="J60" s="316">
        <v>1.39</v>
      </c>
      <c r="K60" s="317">
        <v>1.4</v>
      </c>
      <c r="L60" s="218">
        <v>1.43</v>
      </c>
      <c r="M60" s="340">
        <v>1.43</v>
      </c>
      <c r="N60" s="340">
        <v>1.45</v>
      </c>
      <c r="O60" s="340">
        <v>1.38</v>
      </c>
      <c r="P60" s="340">
        <v>1.38</v>
      </c>
      <c r="Q60" s="340">
        <v>1.42</v>
      </c>
      <c r="R60" s="340">
        <v>1.27</v>
      </c>
    </row>
    <row r="61" spans="1:18">
      <c r="A61" s="336" t="s">
        <v>271</v>
      </c>
      <c r="B61" s="314">
        <f>'Plant loading'!G44</f>
        <v>0</v>
      </c>
      <c r="C61" s="233">
        <v>240</v>
      </c>
      <c r="D61" s="233">
        <v>10</v>
      </c>
      <c r="E61" s="315" t="e">
        <f t="shared" si="2"/>
        <v>#DIV/0!</v>
      </c>
      <c r="F61" s="219" t="s">
        <v>1579</v>
      </c>
      <c r="G61" s="316">
        <v>1.55</v>
      </c>
      <c r="H61" s="316">
        <v>1.52</v>
      </c>
      <c r="I61" s="316">
        <v>1.52</v>
      </c>
      <c r="J61" s="316">
        <v>1.67</v>
      </c>
      <c r="K61" s="317">
        <v>1.68</v>
      </c>
      <c r="L61" s="233">
        <v>1.72</v>
      </c>
      <c r="M61" s="316">
        <v>1.7</v>
      </c>
      <c r="N61" s="316">
        <v>1.68</v>
      </c>
      <c r="O61" s="316">
        <v>1.68</v>
      </c>
      <c r="P61" s="316">
        <v>1.63</v>
      </c>
      <c r="Q61" s="316">
        <v>1.61</v>
      </c>
      <c r="R61" s="316">
        <v>1.69</v>
      </c>
    </row>
    <row r="62" spans="1:18">
      <c r="A62" s="319" t="s">
        <v>284</v>
      </c>
      <c r="B62" s="314">
        <f>'Plant loading'!G57</f>
        <v>0</v>
      </c>
      <c r="C62" s="233">
        <v>199.3</v>
      </c>
      <c r="D62" s="233">
        <v>5</v>
      </c>
      <c r="E62" s="315" t="e">
        <f t="shared" si="2"/>
        <v>#DIV/0!</v>
      </c>
      <c r="F62" s="219" t="s">
        <v>1579</v>
      </c>
      <c r="G62" s="316">
        <v>1.52</v>
      </c>
      <c r="H62" s="316">
        <v>1.46</v>
      </c>
      <c r="I62" s="316">
        <v>1.54</v>
      </c>
      <c r="J62" s="316">
        <v>1.43</v>
      </c>
      <c r="K62" s="317">
        <v>1.42</v>
      </c>
      <c r="L62" s="233">
        <v>1.5</v>
      </c>
      <c r="M62" s="316">
        <v>1.5</v>
      </c>
      <c r="N62" s="316">
        <v>1.5</v>
      </c>
      <c r="O62" s="316">
        <v>1.49</v>
      </c>
      <c r="P62" s="316">
        <v>1.46</v>
      </c>
      <c r="Q62" s="316">
        <v>1.42</v>
      </c>
      <c r="R62" s="316">
        <v>1.63</v>
      </c>
    </row>
    <row r="63" spans="1:18">
      <c r="A63" s="319" t="s">
        <v>305</v>
      </c>
      <c r="B63" s="314">
        <f>'Plant loading'!G75</f>
        <v>0.63348924731182799</v>
      </c>
      <c r="C63" s="233">
        <v>254</v>
      </c>
      <c r="D63" s="233">
        <v>0</v>
      </c>
      <c r="E63" s="316">
        <f t="shared" si="2"/>
        <v>400.95392475536579</v>
      </c>
      <c r="F63" s="219"/>
      <c r="G63" s="316">
        <v>1.54</v>
      </c>
      <c r="H63" s="316">
        <v>1.47</v>
      </c>
      <c r="I63" s="316">
        <v>1.43</v>
      </c>
      <c r="J63" s="316">
        <v>1.45</v>
      </c>
      <c r="K63" s="317">
        <v>1.48</v>
      </c>
      <c r="L63" s="339">
        <v>1.53</v>
      </c>
      <c r="M63" s="345">
        <v>1.57</v>
      </c>
      <c r="N63" s="345">
        <v>1.53</v>
      </c>
      <c r="O63" s="345">
        <v>1.52</v>
      </c>
      <c r="P63" s="345">
        <v>1.52</v>
      </c>
      <c r="Q63" s="345">
        <v>1.51</v>
      </c>
      <c r="R63" s="345">
        <v>1.51</v>
      </c>
    </row>
    <row r="64" spans="1:18">
      <c r="A64" s="319" t="s">
        <v>330</v>
      </c>
      <c r="B64" s="314">
        <f>'Plant loading'!G107</f>
        <v>33.735500000000002</v>
      </c>
      <c r="C64" s="233">
        <v>419.5</v>
      </c>
      <c r="D64" s="320">
        <v>5</v>
      </c>
      <c r="E64" s="315">
        <f t="shared" si="2"/>
        <v>12.286760237731766</v>
      </c>
      <c r="F64" s="219" t="s">
        <v>1580</v>
      </c>
      <c r="G64" s="316">
        <v>1.62</v>
      </c>
      <c r="H64" s="316">
        <v>1.62</v>
      </c>
      <c r="I64" s="316">
        <v>1.61</v>
      </c>
      <c r="J64" s="316">
        <v>1.56</v>
      </c>
      <c r="K64" s="317">
        <v>1.58</v>
      </c>
      <c r="L64" s="218">
        <v>1.58</v>
      </c>
      <c r="M64" s="340">
        <v>1.57</v>
      </c>
      <c r="N64" s="340">
        <v>1.57</v>
      </c>
      <c r="O64" s="340">
        <v>1.51</v>
      </c>
      <c r="P64" s="340">
        <v>1.49</v>
      </c>
      <c r="Q64" s="340">
        <v>1.49</v>
      </c>
      <c r="R64" s="340">
        <v>1.42</v>
      </c>
    </row>
    <row r="65" spans="1:18" ht="13.9" thickBot="1">
      <c r="A65" s="330" t="s">
        <v>335</v>
      </c>
      <c r="B65" s="314">
        <f>'Plant loading'!G111</f>
        <v>0</v>
      </c>
      <c r="C65" s="233">
        <v>309.89999999999998</v>
      </c>
      <c r="D65" s="320">
        <v>10</v>
      </c>
      <c r="E65" s="315" t="e">
        <f t="shared" si="2"/>
        <v>#DIV/0!</v>
      </c>
      <c r="F65" s="219"/>
      <c r="G65" s="316">
        <v>1.6</v>
      </c>
      <c r="H65" s="316">
        <v>1.46</v>
      </c>
      <c r="I65" s="316">
        <v>1.38</v>
      </c>
      <c r="J65" s="316">
        <v>1.42</v>
      </c>
      <c r="K65" s="317">
        <v>1.43</v>
      </c>
      <c r="L65" s="218">
        <v>1.47</v>
      </c>
      <c r="M65" s="340">
        <v>1.51</v>
      </c>
      <c r="N65" s="340">
        <v>1.5</v>
      </c>
      <c r="O65" s="340">
        <v>1.56</v>
      </c>
      <c r="P65" s="340">
        <v>1.59</v>
      </c>
      <c r="Q65" s="340">
        <v>1.54</v>
      </c>
      <c r="R65" s="340">
        <v>1.48</v>
      </c>
    </row>
    <row r="66" spans="1:18">
      <c r="A66" s="801" t="s">
        <v>288</v>
      </c>
      <c r="B66" s="237">
        <f>'Plant loading'!G64</f>
        <v>368.14749999999998</v>
      </c>
      <c r="C66" s="233">
        <v>317.5</v>
      </c>
      <c r="D66" s="320">
        <v>15</v>
      </c>
      <c r="E66" s="315">
        <f t="shared" si="2"/>
        <v>0.82168152710530429</v>
      </c>
      <c r="F66" s="219" t="s">
        <v>1583</v>
      </c>
      <c r="G66" s="316">
        <v>1.92</v>
      </c>
      <c r="H66" s="316">
        <v>1.91</v>
      </c>
      <c r="I66" s="316">
        <v>1.9</v>
      </c>
      <c r="J66" s="316">
        <v>1.92</v>
      </c>
      <c r="K66" s="317">
        <v>1.89</v>
      </c>
      <c r="L66" s="218">
        <v>1.84</v>
      </c>
      <c r="M66" s="340">
        <v>1.52</v>
      </c>
      <c r="N66" s="340">
        <v>1.57</v>
      </c>
      <c r="O66" s="340">
        <v>1.58</v>
      </c>
      <c r="P66" s="340">
        <v>1.58</v>
      </c>
      <c r="Q66" s="340">
        <v>1.58</v>
      </c>
      <c r="R66" s="340">
        <v>1.38</v>
      </c>
    </row>
    <row r="67" spans="1:18">
      <c r="A67" s="338" t="s">
        <v>293</v>
      </c>
      <c r="B67" s="237">
        <f>'Plant loading'!G69</f>
        <v>0</v>
      </c>
      <c r="C67" s="233">
        <v>224.5</v>
      </c>
      <c r="D67" s="233">
        <v>10</v>
      </c>
      <c r="E67" s="315" t="e">
        <f t="shared" si="2"/>
        <v>#DIV/0!</v>
      </c>
      <c r="F67" s="219" t="s">
        <v>1580</v>
      </c>
      <c r="G67" s="316">
        <v>1.6</v>
      </c>
      <c r="H67" s="316">
        <v>1.59</v>
      </c>
      <c r="I67" s="316">
        <v>1.67</v>
      </c>
      <c r="J67" s="316">
        <v>2</v>
      </c>
      <c r="K67" s="317">
        <v>1.92</v>
      </c>
      <c r="L67" s="340">
        <v>2</v>
      </c>
      <c r="M67" s="340">
        <v>2.0099999999999998</v>
      </c>
      <c r="N67" s="340">
        <v>2.09</v>
      </c>
      <c r="O67" s="340">
        <v>1.95</v>
      </c>
      <c r="P67" s="340">
        <v>1.95</v>
      </c>
      <c r="Q67" s="340">
        <v>2.0699999999999998</v>
      </c>
      <c r="R67" s="340">
        <v>2.0699999999999998</v>
      </c>
    </row>
    <row r="68" spans="1:18">
      <c r="A68" s="801" t="s">
        <v>314</v>
      </c>
      <c r="B68" s="237">
        <f>'Plant loading'!G88</f>
        <v>0</v>
      </c>
      <c r="C68" s="233">
        <v>399</v>
      </c>
      <c r="D68" s="233">
        <v>0</v>
      </c>
      <c r="E68" s="315" t="e">
        <f t="shared" si="2"/>
        <v>#DIV/0!</v>
      </c>
      <c r="F68" s="219"/>
      <c r="G68" s="316">
        <v>1.9</v>
      </c>
      <c r="H68" s="316">
        <v>1.9</v>
      </c>
      <c r="I68" s="316">
        <v>1.91</v>
      </c>
      <c r="J68" s="316">
        <v>1.93</v>
      </c>
      <c r="K68" s="317">
        <v>1.94</v>
      </c>
      <c r="L68" s="218">
        <v>1.99</v>
      </c>
      <c r="M68" s="340">
        <v>2.06</v>
      </c>
      <c r="N68" s="340">
        <v>2.0699999999999998</v>
      </c>
      <c r="O68" s="340">
        <v>2.0699999999999998</v>
      </c>
      <c r="P68" s="340">
        <v>2.0699999999999998</v>
      </c>
      <c r="Q68" s="340">
        <v>1.94</v>
      </c>
      <c r="R68" s="340">
        <v>1.97</v>
      </c>
    </row>
    <row r="69" spans="1:18">
      <c r="A69" s="801" t="s">
        <v>338</v>
      </c>
      <c r="B69" s="237">
        <f>'Plant loading'!G116</f>
        <v>39.512500000000003</v>
      </c>
      <c r="C69" s="233">
        <v>224.2</v>
      </c>
      <c r="D69" s="233">
        <v>5</v>
      </c>
      <c r="E69" s="315">
        <f t="shared" si="2"/>
        <v>5.5476115153432453</v>
      </c>
      <c r="F69" s="219" t="s">
        <v>1584</v>
      </c>
      <c r="G69" s="316">
        <v>1.82</v>
      </c>
      <c r="H69" s="316">
        <v>1.82</v>
      </c>
      <c r="I69" s="316">
        <v>1.75</v>
      </c>
      <c r="J69" s="316">
        <v>1.66</v>
      </c>
      <c r="K69" s="317">
        <v>1.7</v>
      </c>
      <c r="L69" s="233">
        <v>1.72</v>
      </c>
      <c r="M69" s="316">
        <v>1.75</v>
      </c>
      <c r="N69" s="316">
        <v>1.75</v>
      </c>
      <c r="O69" s="316">
        <v>1.72</v>
      </c>
      <c r="P69" s="316">
        <v>1.72</v>
      </c>
      <c r="Q69" s="316">
        <v>1.73</v>
      </c>
      <c r="R69" s="316">
        <v>1.74</v>
      </c>
    </row>
    <row r="70" spans="1:18">
      <c r="A70" s="337" t="s">
        <v>341</v>
      </c>
      <c r="B70" s="237">
        <f>'Plant loading'!G119</f>
        <v>0</v>
      </c>
      <c r="C70" s="233">
        <v>225.9</v>
      </c>
      <c r="D70" s="233">
        <v>5</v>
      </c>
      <c r="E70" s="315" t="e">
        <f t="shared" si="2"/>
        <v>#DIV/0!</v>
      </c>
      <c r="F70" s="219" t="s">
        <v>1584</v>
      </c>
      <c r="G70" s="316">
        <v>1.61</v>
      </c>
      <c r="H70" s="316">
        <v>1.58</v>
      </c>
      <c r="I70" s="316">
        <v>1.6</v>
      </c>
      <c r="J70" s="316">
        <v>1.69</v>
      </c>
      <c r="K70" s="317">
        <v>1.68</v>
      </c>
      <c r="L70" s="273">
        <v>1.52</v>
      </c>
      <c r="M70" s="346">
        <v>1.49</v>
      </c>
      <c r="N70" s="346">
        <v>1.5</v>
      </c>
      <c r="O70" s="346">
        <v>1.49</v>
      </c>
      <c r="P70" s="346">
        <v>1.49</v>
      </c>
      <c r="Q70" s="346">
        <v>1.47</v>
      </c>
      <c r="R70" s="346">
        <v>1.48</v>
      </c>
    </row>
    <row r="71" spans="1:18">
      <c r="G71" s="1298">
        <v>2014</v>
      </c>
      <c r="H71" s="1298"/>
      <c r="I71" s="1298"/>
      <c r="J71" s="1298"/>
      <c r="K71" s="1298"/>
      <c r="L71" s="1298"/>
      <c r="M71" s="1298"/>
      <c r="N71" s="1298"/>
      <c r="O71" s="1298"/>
      <c r="P71" s="1298"/>
      <c r="Q71" s="1298"/>
      <c r="R71" s="1298"/>
    </row>
    <row r="72" spans="1:18" ht="13.9" thickBot="1">
      <c r="A72" s="310" t="s">
        <v>515</v>
      </c>
      <c r="B72" s="311" t="s">
        <v>680</v>
      </c>
      <c r="C72" s="311" t="s">
        <v>1567</v>
      </c>
      <c r="D72" s="311" t="s">
        <v>1568</v>
      </c>
      <c r="E72" s="312" t="s">
        <v>1569</v>
      </c>
      <c r="F72" s="219"/>
      <c r="G72" s="801" t="s">
        <v>1570</v>
      </c>
      <c r="H72" s="801" t="s">
        <v>1571</v>
      </c>
      <c r="I72" s="801" t="s">
        <v>1602</v>
      </c>
      <c r="J72" s="801" t="s">
        <v>1603</v>
      </c>
      <c r="K72" s="801" t="s">
        <v>1574</v>
      </c>
      <c r="L72" s="801" t="s">
        <v>1575</v>
      </c>
      <c r="M72" s="801" t="s">
        <v>1576</v>
      </c>
      <c r="N72" s="313" t="s">
        <v>1577</v>
      </c>
      <c r="O72" s="801" t="s">
        <v>1578</v>
      </c>
      <c r="P72" s="801" t="s">
        <v>1598</v>
      </c>
      <c r="Q72" s="801" t="s">
        <v>1599</v>
      </c>
      <c r="R72" s="801" t="s">
        <v>1600</v>
      </c>
    </row>
    <row r="73" spans="1:18">
      <c r="A73" s="331" t="s">
        <v>277</v>
      </c>
      <c r="B73" s="314">
        <f>'Plant loading'!G49</f>
        <v>0</v>
      </c>
      <c r="C73" s="233">
        <v>583.79999999999995</v>
      </c>
      <c r="D73" s="233">
        <v>33</v>
      </c>
      <c r="E73" s="315" t="e">
        <f t="shared" ref="E73:E86" si="3">(C73-D73)/B73</f>
        <v>#DIV/0!</v>
      </c>
      <c r="F73" s="219" t="s">
        <v>1579</v>
      </c>
      <c r="G73" s="233">
        <v>1.61</v>
      </c>
      <c r="H73" s="233">
        <v>1.55</v>
      </c>
      <c r="I73" s="316">
        <v>1.63</v>
      </c>
      <c r="J73" s="316">
        <v>1.64</v>
      </c>
      <c r="K73" s="233">
        <v>1.66</v>
      </c>
      <c r="L73" s="233">
        <v>1.66</v>
      </c>
      <c r="M73" s="233">
        <v>1.69</v>
      </c>
      <c r="N73" s="316">
        <v>1.69</v>
      </c>
      <c r="O73" s="317">
        <v>1.66</v>
      </c>
      <c r="P73" s="316">
        <v>1.61</v>
      </c>
      <c r="Q73" s="316">
        <v>1.59</v>
      </c>
      <c r="R73" s="316">
        <v>1.59</v>
      </c>
    </row>
    <row r="74" spans="1:18">
      <c r="A74" s="318" t="s">
        <v>297</v>
      </c>
      <c r="B74" s="314">
        <v>339</v>
      </c>
      <c r="C74" s="233">
        <v>564</v>
      </c>
      <c r="D74" s="233">
        <v>0</v>
      </c>
      <c r="E74" s="315">
        <f t="shared" si="3"/>
        <v>1.663716814159292</v>
      </c>
      <c r="F74" s="219" t="s">
        <v>1580</v>
      </c>
      <c r="G74" s="233">
        <v>1.62</v>
      </c>
      <c r="H74" s="233">
        <v>1.65</v>
      </c>
      <c r="I74" s="316">
        <v>1.76</v>
      </c>
      <c r="J74" s="316">
        <v>1.77</v>
      </c>
      <c r="K74" s="233">
        <v>1.66</v>
      </c>
      <c r="L74" s="233">
        <v>1.65</v>
      </c>
      <c r="M74" s="233">
        <v>1.68</v>
      </c>
      <c r="N74" s="316">
        <v>1.65</v>
      </c>
      <c r="O74" s="316">
        <v>1.66</v>
      </c>
      <c r="P74" s="316">
        <v>1.65</v>
      </c>
      <c r="Q74" s="316">
        <v>1.65</v>
      </c>
      <c r="R74" s="316">
        <v>1.63</v>
      </c>
    </row>
    <row r="75" spans="1:18">
      <c r="A75" s="319" t="s">
        <v>317</v>
      </c>
      <c r="B75" s="314">
        <v>275</v>
      </c>
      <c r="C75" s="233">
        <v>445.5</v>
      </c>
      <c r="D75" s="233">
        <v>5</v>
      </c>
      <c r="E75" s="316">
        <f t="shared" si="3"/>
        <v>1.6018181818181818</v>
      </c>
      <c r="F75" s="219"/>
      <c r="G75" s="233">
        <v>1.61</v>
      </c>
      <c r="H75" s="233">
        <v>1.57</v>
      </c>
      <c r="I75" s="316">
        <v>1.74</v>
      </c>
      <c r="J75" s="316">
        <v>1.73</v>
      </c>
      <c r="K75" s="233">
        <v>1.65</v>
      </c>
      <c r="L75" s="233">
        <v>1.72</v>
      </c>
      <c r="M75" s="233">
        <v>1.77</v>
      </c>
      <c r="N75" s="316">
        <v>1.79</v>
      </c>
      <c r="O75" s="316">
        <v>1.8</v>
      </c>
      <c r="P75" s="316">
        <v>1.78</v>
      </c>
      <c r="Q75" s="316">
        <v>1.66</v>
      </c>
      <c r="R75" s="316">
        <v>1.45</v>
      </c>
    </row>
    <row r="76" spans="1:18">
      <c r="A76" s="319" t="s">
        <v>322</v>
      </c>
      <c r="B76" s="314" t="e">
        <f>'Plant loading'!#REF!</f>
        <v>#REF!</v>
      </c>
      <c r="C76" s="233">
        <v>402.6</v>
      </c>
      <c r="D76" s="233">
        <v>0</v>
      </c>
      <c r="E76" s="315" t="e">
        <f t="shared" si="3"/>
        <v>#REF!</v>
      </c>
      <c r="F76" s="219"/>
      <c r="G76" s="233">
        <v>1.54</v>
      </c>
      <c r="H76" s="233">
        <v>1.62</v>
      </c>
      <c r="I76" s="316">
        <v>1.78</v>
      </c>
      <c r="J76" s="316">
        <v>1.81</v>
      </c>
      <c r="K76" s="233">
        <v>1.76</v>
      </c>
      <c r="L76" s="233">
        <v>1.77</v>
      </c>
      <c r="M76" s="233">
        <v>1.83</v>
      </c>
      <c r="N76" s="316">
        <v>1.83</v>
      </c>
      <c r="O76" s="316">
        <v>1.57</v>
      </c>
      <c r="P76" s="316">
        <v>1.54</v>
      </c>
      <c r="Q76" s="316">
        <v>1.53</v>
      </c>
      <c r="R76" s="316">
        <v>1.35</v>
      </c>
    </row>
    <row r="77" spans="1:18">
      <c r="A77" s="336" t="s">
        <v>271</v>
      </c>
      <c r="B77" s="314">
        <f>'Plant loading'!G44</f>
        <v>0</v>
      </c>
      <c r="C77" s="233">
        <v>240</v>
      </c>
      <c r="D77" s="233">
        <v>10</v>
      </c>
      <c r="E77" s="315" t="e">
        <f t="shared" si="3"/>
        <v>#DIV/0!</v>
      </c>
      <c r="F77" s="219" t="s">
        <v>1579</v>
      </c>
      <c r="G77" s="233">
        <v>1.73</v>
      </c>
      <c r="H77" s="233">
        <v>1.71</v>
      </c>
      <c r="I77" s="316">
        <v>1.71</v>
      </c>
      <c r="J77" s="316">
        <v>1.76</v>
      </c>
      <c r="K77" s="233">
        <v>1.76</v>
      </c>
      <c r="L77" s="233">
        <v>1.74</v>
      </c>
      <c r="M77" s="233">
        <v>1.72</v>
      </c>
      <c r="N77" s="316">
        <v>1.72</v>
      </c>
      <c r="O77" s="317">
        <v>1.74</v>
      </c>
      <c r="P77" s="316">
        <v>1.73</v>
      </c>
      <c r="Q77" s="316">
        <v>1.64</v>
      </c>
      <c r="R77" s="316">
        <v>1.59</v>
      </c>
    </row>
    <row r="78" spans="1:18">
      <c r="A78" s="319" t="s">
        <v>284</v>
      </c>
      <c r="B78" s="314">
        <f>'Plant loading'!G57</f>
        <v>0</v>
      </c>
      <c r="C78" s="233">
        <v>199.3</v>
      </c>
      <c r="D78" s="233">
        <v>5</v>
      </c>
      <c r="E78" s="315" t="e">
        <f t="shared" si="3"/>
        <v>#DIV/0!</v>
      </c>
      <c r="F78" s="219" t="s">
        <v>1579</v>
      </c>
      <c r="G78" s="233">
        <v>1.69</v>
      </c>
      <c r="H78" s="233">
        <v>1.77</v>
      </c>
      <c r="I78" s="316">
        <v>1.79</v>
      </c>
      <c r="J78" s="316">
        <v>1.78</v>
      </c>
      <c r="K78" s="233">
        <v>1.77</v>
      </c>
      <c r="L78" s="233">
        <v>1.77</v>
      </c>
      <c r="M78" s="316">
        <v>1.8</v>
      </c>
      <c r="N78" s="316">
        <v>1.8</v>
      </c>
      <c r="O78" s="317">
        <v>1.53</v>
      </c>
      <c r="P78" s="316">
        <v>1.48</v>
      </c>
      <c r="Q78" s="316">
        <v>1.5</v>
      </c>
      <c r="R78" s="316">
        <v>1.52</v>
      </c>
    </row>
    <row r="79" spans="1:18">
      <c r="A79" s="319" t="s">
        <v>305</v>
      </c>
      <c r="B79" s="314">
        <f>'Plant loading'!G75</f>
        <v>0.63348924731182799</v>
      </c>
      <c r="C79" s="233">
        <v>254</v>
      </c>
      <c r="D79" s="233">
        <v>0</v>
      </c>
      <c r="E79" s="316">
        <f t="shared" si="3"/>
        <v>400.95392475536579</v>
      </c>
      <c r="F79" s="219"/>
      <c r="G79" s="233">
        <v>1.67</v>
      </c>
      <c r="H79" s="233">
        <v>1.69</v>
      </c>
      <c r="I79" s="316">
        <v>1.71</v>
      </c>
      <c r="J79" s="316">
        <v>1.55</v>
      </c>
      <c r="K79" s="233">
        <v>1.52</v>
      </c>
      <c r="L79" s="233">
        <v>1.53</v>
      </c>
      <c r="M79" s="233">
        <v>1.55</v>
      </c>
      <c r="N79" s="316">
        <v>1.55</v>
      </c>
      <c r="O79" s="317">
        <v>1.56</v>
      </c>
      <c r="P79" s="316">
        <v>1.52</v>
      </c>
      <c r="Q79" s="316">
        <v>1.57</v>
      </c>
      <c r="R79" s="316">
        <v>1.56</v>
      </c>
    </row>
    <row r="80" spans="1:18">
      <c r="A80" s="319" t="s">
        <v>330</v>
      </c>
      <c r="B80" s="314">
        <f>'Plant loading'!G107</f>
        <v>33.735500000000002</v>
      </c>
      <c r="C80" s="233">
        <v>419.5</v>
      </c>
      <c r="D80" s="320">
        <v>5</v>
      </c>
      <c r="E80" s="315">
        <f t="shared" si="3"/>
        <v>12.286760237731766</v>
      </c>
      <c r="F80" s="219" t="s">
        <v>1580</v>
      </c>
      <c r="G80" s="233">
        <v>1.74</v>
      </c>
      <c r="H80" s="233">
        <v>1.69</v>
      </c>
      <c r="I80" s="316">
        <v>1.75</v>
      </c>
      <c r="J80" s="316">
        <v>1.77</v>
      </c>
      <c r="K80" s="233">
        <v>1.66</v>
      </c>
      <c r="L80" s="233">
        <v>1.69</v>
      </c>
      <c r="M80" s="233">
        <v>1.75</v>
      </c>
      <c r="N80" s="316">
        <v>1.81</v>
      </c>
      <c r="O80" s="316">
        <v>1.81</v>
      </c>
      <c r="P80" s="316">
        <v>1.8</v>
      </c>
      <c r="Q80" s="316">
        <v>1.77</v>
      </c>
      <c r="R80" s="316">
        <v>1.61</v>
      </c>
    </row>
    <row r="81" spans="1:18" ht="13.9" thickBot="1">
      <c r="A81" s="330" t="s">
        <v>335</v>
      </c>
      <c r="B81" s="314">
        <f>'Plant loading'!G111</f>
        <v>0</v>
      </c>
      <c r="C81" s="233">
        <v>309.89999999999998</v>
      </c>
      <c r="D81" s="320">
        <v>10</v>
      </c>
      <c r="E81" s="315" t="e">
        <f t="shared" si="3"/>
        <v>#DIV/0!</v>
      </c>
      <c r="F81" s="219"/>
      <c r="G81" s="233">
        <v>1.8</v>
      </c>
      <c r="H81" s="233">
        <v>1.75</v>
      </c>
      <c r="I81" s="316">
        <v>1.77</v>
      </c>
      <c r="J81" s="316">
        <v>1.86</v>
      </c>
      <c r="K81" s="233">
        <v>1.75</v>
      </c>
      <c r="L81" s="316">
        <v>1.7</v>
      </c>
      <c r="M81" s="233">
        <v>1.76</v>
      </c>
      <c r="N81" s="316">
        <v>1.79</v>
      </c>
      <c r="O81" s="316">
        <v>1.8</v>
      </c>
      <c r="P81" s="316">
        <v>1.8</v>
      </c>
      <c r="Q81" s="316">
        <v>1.8</v>
      </c>
      <c r="R81" s="316">
        <v>1.71</v>
      </c>
    </row>
    <row r="82" spans="1:18">
      <c r="A82" s="801" t="s">
        <v>288</v>
      </c>
      <c r="B82" s="237">
        <f>'Plant loading'!G64</f>
        <v>368.14749999999998</v>
      </c>
      <c r="C82" s="233">
        <v>317.5</v>
      </c>
      <c r="D82" s="320">
        <v>15</v>
      </c>
      <c r="E82" s="315">
        <f t="shared" si="3"/>
        <v>0.82168152710530429</v>
      </c>
      <c r="F82" s="219" t="s">
        <v>1583</v>
      </c>
      <c r="G82" s="233">
        <v>2.04</v>
      </c>
      <c r="H82" s="233">
        <v>2.0499999999999998</v>
      </c>
      <c r="I82" s="316">
        <v>2.0099999999999998</v>
      </c>
      <c r="J82" s="316">
        <v>1.97</v>
      </c>
      <c r="K82" s="233">
        <v>1.99</v>
      </c>
      <c r="L82" s="233">
        <v>2.0499999999999998</v>
      </c>
      <c r="M82" s="233">
        <v>2.0299999999999998</v>
      </c>
      <c r="N82" s="316">
        <v>2</v>
      </c>
      <c r="O82" s="317">
        <v>2</v>
      </c>
      <c r="P82" s="316">
        <v>1.99</v>
      </c>
      <c r="Q82" s="316">
        <v>2.0099999999999998</v>
      </c>
      <c r="R82" s="316">
        <v>1.93</v>
      </c>
    </row>
    <row r="83" spans="1:18">
      <c r="A83" s="338" t="s">
        <v>293</v>
      </c>
      <c r="B83" s="237">
        <f>'Plant loading'!G69</f>
        <v>0</v>
      </c>
      <c r="C83" s="233">
        <v>224.5</v>
      </c>
      <c r="D83" s="233">
        <v>10</v>
      </c>
      <c r="E83" s="315" t="e">
        <f t="shared" si="3"/>
        <v>#DIV/0!</v>
      </c>
      <c r="F83" s="219" t="s">
        <v>1580</v>
      </c>
      <c r="G83" s="233">
        <v>1.84</v>
      </c>
      <c r="H83" s="233">
        <v>1.74</v>
      </c>
      <c r="I83" s="316">
        <v>1.83</v>
      </c>
      <c r="J83" s="316">
        <v>1.84</v>
      </c>
      <c r="K83" s="233">
        <v>1.95</v>
      </c>
      <c r="L83" s="233">
        <v>2.2200000000000002</v>
      </c>
      <c r="M83" s="233">
        <v>2.29</v>
      </c>
      <c r="N83" s="316">
        <v>2.29</v>
      </c>
      <c r="O83" s="317">
        <v>1.79</v>
      </c>
      <c r="P83" s="316">
        <v>1.76</v>
      </c>
      <c r="Q83" s="316">
        <v>1.88</v>
      </c>
      <c r="R83" s="316">
        <v>1.78</v>
      </c>
    </row>
    <row r="84" spans="1:18">
      <c r="A84" s="801" t="s">
        <v>314</v>
      </c>
      <c r="B84" s="237">
        <f>'Plant loading'!G88</f>
        <v>0</v>
      </c>
      <c r="C84" s="233">
        <v>399</v>
      </c>
      <c r="D84" s="233">
        <v>0</v>
      </c>
      <c r="E84" s="315" t="e">
        <f t="shared" si="3"/>
        <v>#DIV/0!</v>
      </c>
      <c r="F84" s="219"/>
      <c r="G84" s="233">
        <v>2.0699999999999998</v>
      </c>
      <c r="H84" s="233">
        <v>1.97</v>
      </c>
      <c r="I84" s="316">
        <v>1.93</v>
      </c>
      <c r="J84" s="316">
        <v>1.91</v>
      </c>
      <c r="K84" s="233">
        <v>1.93</v>
      </c>
      <c r="L84" s="233">
        <v>1.92</v>
      </c>
      <c r="M84" s="233">
        <v>1.92</v>
      </c>
      <c r="N84" s="316">
        <v>1.92</v>
      </c>
      <c r="O84" s="316">
        <v>1.93</v>
      </c>
      <c r="P84" s="316">
        <v>1.91</v>
      </c>
      <c r="Q84" s="316">
        <v>1.91</v>
      </c>
      <c r="R84" s="316">
        <v>1.9</v>
      </c>
    </row>
    <row r="85" spans="1:18">
      <c r="A85" s="801" t="s">
        <v>338</v>
      </c>
      <c r="B85" s="237">
        <f>'Plant loading'!G116</f>
        <v>39.512500000000003</v>
      </c>
      <c r="C85" s="233">
        <v>224.2</v>
      </c>
      <c r="D85" s="233">
        <v>5</v>
      </c>
      <c r="E85" s="315">
        <f t="shared" si="3"/>
        <v>5.5476115153432453</v>
      </c>
      <c r="F85" s="219" t="s">
        <v>1584</v>
      </c>
      <c r="G85" s="233">
        <v>1.62</v>
      </c>
      <c r="H85" s="233">
        <v>1.61</v>
      </c>
      <c r="I85" s="316">
        <v>1.58</v>
      </c>
      <c r="J85" s="316">
        <v>1.64</v>
      </c>
      <c r="K85" s="316">
        <v>1.7</v>
      </c>
      <c r="L85" s="233">
        <v>1.78</v>
      </c>
      <c r="M85" s="233">
        <v>1.76</v>
      </c>
      <c r="N85" s="316">
        <v>1.76</v>
      </c>
      <c r="O85" s="316">
        <v>1.79</v>
      </c>
      <c r="P85" s="316">
        <v>1.8</v>
      </c>
      <c r="Q85" s="316">
        <v>1.82</v>
      </c>
      <c r="R85" s="316">
        <v>1.82</v>
      </c>
    </row>
    <row r="86" spans="1:18">
      <c r="A86" s="337" t="s">
        <v>341</v>
      </c>
      <c r="B86" s="237">
        <f>'Plant loading'!G119</f>
        <v>0</v>
      </c>
      <c r="C86" s="233">
        <v>225.9</v>
      </c>
      <c r="D86" s="233">
        <v>5</v>
      </c>
      <c r="E86" s="315" t="e">
        <f t="shared" si="3"/>
        <v>#DIV/0!</v>
      </c>
      <c r="F86" s="219" t="s">
        <v>1584</v>
      </c>
      <c r="G86" s="233">
        <v>1.72</v>
      </c>
      <c r="H86" s="233">
        <v>1.69</v>
      </c>
      <c r="I86" s="316">
        <v>1.61</v>
      </c>
      <c r="J86" s="316">
        <v>1.61</v>
      </c>
      <c r="K86" s="233">
        <v>1.61</v>
      </c>
      <c r="L86" s="233">
        <v>1.59</v>
      </c>
      <c r="M86" s="233">
        <v>1.58</v>
      </c>
      <c r="N86" s="316">
        <v>1.58</v>
      </c>
      <c r="O86" s="316">
        <v>1.66</v>
      </c>
      <c r="P86" s="316">
        <v>1.6</v>
      </c>
      <c r="Q86" s="316">
        <v>1.6</v>
      </c>
      <c r="R86" s="316">
        <v>1.6</v>
      </c>
    </row>
    <row r="87" spans="1:18">
      <c r="B87" s="308"/>
      <c r="C87" s="308"/>
      <c r="D87" s="308"/>
      <c r="E87" s="308"/>
      <c r="F87" s="308"/>
      <c r="G87" s="308"/>
    </row>
    <row r="96" spans="1:18">
      <c r="A96" s="311" t="s">
        <v>515</v>
      </c>
      <c r="B96" s="311" t="s">
        <v>680</v>
      </c>
      <c r="C96" s="311" t="s">
        <v>1567</v>
      </c>
      <c r="D96" s="311" t="s">
        <v>1604</v>
      </c>
      <c r="E96" s="801" t="s">
        <v>1569</v>
      </c>
    </row>
    <row r="97" spans="1:5">
      <c r="A97" s="801" t="s">
        <v>350</v>
      </c>
      <c r="B97" s="237">
        <f>'Plant loading'!G94</f>
        <v>43.817999999999998</v>
      </c>
      <c r="C97" s="219">
        <v>94</v>
      </c>
      <c r="D97" s="233">
        <v>0</v>
      </c>
      <c r="E97" s="233">
        <f>(C97-D97)/B97</f>
        <v>2.1452371171664613</v>
      </c>
    </row>
    <row r="98" spans="1:5">
      <c r="A98" s="801" t="s">
        <v>355</v>
      </c>
      <c r="B98" s="237">
        <f>'Plant loading'!G103</f>
        <v>9.5374999999999996</v>
      </c>
      <c r="C98" s="219">
        <v>124</v>
      </c>
      <c r="D98" s="233">
        <v>0</v>
      </c>
      <c r="E98" s="233">
        <f t="shared" ref="E98:E108" si="4">(C98-D98)/B98</f>
        <v>13.001310615989516</v>
      </c>
    </row>
    <row r="99" spans="1:5">
      <c r="A99" s="801" t="s">
        <v>352</v>
      </c>
      <c r="B99" s="237">
        <f>'Plant loading'!G96</f>
        <v>39.893999999999998</v>
      </c>
      <c r="C99" s="219">
        <v>79</v>
      </c>
      <c r="D99" s="233">
        <v>0</v>
      </c>
      <c r="E99" s="233">
        <f t="shared" si="4"/>
        <v>1.9802476562891664</v>
      </c>
    </row>
    <row r="100" spans="1:5">
      <c r="A100" s="801" t="s">
        <v>357</v>
      </c>
      <c r="B100" s="237" t="e">
        <f>'Plant loading'!#REF!</f>
        <v>#REF!</v>
      </c>
      <c r="C100" s="219"/>
      <c r="D100" s="233">
        <v>0</v>
      </c>
      <c r="E100" s="233" t="e">
        <f t="shared" si="4"/>
        <v>#REF!</v>
      </c>
    </row>
    <row r="101" spans="1:5">
      <c r="A101" s="801" t="s">
        <v>359</v>
      </c>
      <c r="B101" s="237">
        <f>'Plant loading'!G103</f>
        <v>9.5374999999999996</v>
      </c>
      <c r="C101" s="219">
        <v>32</v>
      </c>
      <c r="D101" s="233">
        <v>0</v>
      </c>
      <c r="E101" s="233">
        <f t="shared" si="4"/>
        <v>3.3551769331585848</v>
      </c>
    </row>
    <row r="102" spans="1:5">
      <c r="A102" s="801" t="s">
        <v>1471</v>
      </c>
      <c r="B102" s="237" t="e">
        <f>'Plant loading'!#REF!</f>
        <v>#REF!</v>
      </c>
      <c r="C102" s="219"/>
      <c r="D102" s="233">
        <v>0</v>
      </c>
      <c r="E102" s="233" t="e">
        <f t="shared" si="4"/>
        <v>#REF!</v>
      </c>
    </row>
    <row r="103" spans="1:5">
      <c r="A103" s="324" t="s">
        <v>361</v>
      </c>
      <c r="B103" s="237" t="e">
        <f>'Plant loading'!#REF!</f>
        <v>#REF!</v>
      </c>
      <c r="C103" s="219"/>
      <c r="D103" s="233">
        <v>0</v>
      </c>
      <c r="E103" s="233" t="e">
        <f t="shared" si="4"/>
        <v>#REF!</v>
      </c>
    </row>
    <row r="104" spans="1:5">
      <c r="A104" s="801" t="s">
        <v>363</v>
      </c>
      <c r="B104" s="237" t="e">
        <f>'Plant loading'!#REF!</f>
        <v>#REF!</v>
      </c>
      <c r="C104" s="219">
        <v>149</v>
      </c>
      <c r="D104" s="233">
        <v>0</v>
      </c>
      <c r="E104" s="233" t="e">
        <f t="shared" si="4"/>
        <v>#REF!</v>
      </c>
    </row>
    <row r="105" spans="1:5">
      <c r="A105" s="801" t="s">
        <v>365</v>
      </c>
      <c r="B105" s="237" t="e">
        <f>'Plant loading'!#REF!</f>
        <v>#REF!</v>
      </c>
      <c r="C105" s="219"/>
      <c r="D105" s="233">
        <v>0</v>
      </c>
      <c r="E105" s="233" t="e">
        <f t="shared" si="4"/>
        <v>#REF!</v>
      </c>
    </row>
    <row r="106" spans="1:5">
      <c r="A106" s="801" t="s">
        <v>370</v>
      </c>
      <c r="B106" s="237" t="e">
        <f>'Plant loading'!#REF!</f>
        <v>#REF!</v>
      </c>
      <c r="C106" s="219">
        <v>78</v>
      </c>
      <c r="D106" s="233">
        <v>0</v>
      </c>
      <c r="E106" s="233" t="e">
        <f t="shared" si="4"/>
        <v>#REF!</v>
      </c>
    </row>
    <row r="107" spans="1:5">
      <c r="A107" s="801" t="s">
        <v>372</v>
      </c>
      <c r="B107" s="237" t="e">
        <f>'Plant loading'!#REF!</f>
        <v>#REF!</v>
      </c>
      <c r="C107" s="219">
        <v>174</v>
      </c>
      <c r="D107" s="233">
        <v>0</v>
      </c>
      <c r="E107" s="233" t="e">
        <f t="shared" si="4"/>
        <v>#REF!</v>
      </c>
    </row>
    <row r="108" spans="1:5">
      <c r="A108" s="801" t="s">
        <v>374</v>
      </c>
      <c r="B108" s="237">
        <f>'Plant loading'!G116</f>
        <v>39.512500000000003</v>
      </c>
      <c r="C108" s="219"/>
      <c r="D108" s="233">
        <v>0</v>
      </c>
      <c r="E108" s="233">
        <f t="shared" si="4"/>
        <v>0</v>
      </c>
    </row>
    <row r="141" spans="1:14">
      <c r="H141" s="231"/>
      <c r="I141" s="231"/>
      <c r="J141" s="231"/>
      <c r="K141" s="231"/>
      <c r="L141" s="231"/>
      <c r="M141" s="231"/>
      <c r="N141" s="231"/>
    </row>
    <row r="142" spans="1:14">
      <c r="A142" s="231"/>
      <c r="B142" s="231"/>
      <c r="C142" s="231"/>
      <c r="D142" s="231"/>
      <c r="E142" s="231"/>
      <c r="F142" s="231"/>
      <c r="G142" s="231"/>
      <c r="H142" s="231"/>
      <c r="I142" s="231"/>
      <c r="J142" s="231"/>
      <c r="K142" s="231"/>
      <c r="L142" s="231"/>
      <c r="M142" s="231"/>
      <c r="N142" s="231"/>
    </row>
    <row r="143" spans="1:14">
      <c r="A143" s="231"/>
      <c r="B143" s="231"/>
      <c r="C143" s="231"/>
      <c r="D143" s="231"/>
      <c r="E143" s="231"/>
      <c r="F143" s="231"/>
      <c r="G143" s="231"/>
      <c r="H143" s="231"/>
      <c r="I143" s="231"/>
      <c r="J143" s="231"/>
      <c r="K143" s="231"/>
      <c r="L143" s="231"/>
      <c r="M143" s="231"/>
      <c r="N143" s="231"/>
    </row>
    <row r="144" spans="1:14">
      <c r="A144" s="231"/>
      <c r="B144" s="231"/>
      <c r="C144" s="231"/>
      <c r="D144" s="231"/>
      <c r="E144" s="231"/>
      <c r="F144" s="231"/>
      <c r="G144" s="231"/>
      <c r="H144" s="231"/>
      <c r="I144" s="231"/>
      <c r="J144" s="231"/>
      <c r="K144" s="231"/>
      <c r="L144" s="231"/>
      <c r="M144" s="231"/>
      <c r="N144" s="231"/>
    </row>
    <row r="145" spans="1:14">
      <c r="A145" s="231"/>
      <c r="B145" s="231"/>
      <c r="C145" s="231"/>
      <c r="D145" s="231"/>
      <c r="E145" s="231"/>
      <c r="F145" s="231"/>
      <c r="G145" s="231"/>
      <c r="H145" s="231"/>
      <c r="I145" s="231"/>
      <c r="J145" s="231"/>
      <c r="K145" s="231"/>
      <c r="L145" s="231"/>
      <c r="M145" s="231"/>
      <c r="N145" s="231"/>
    </row>
    <row r="146" spans="1:14">
      <c r="A146" s="231"/>
      <c r="B146" s="231"/>
      <c r="C146" s="231"/>
      <c r="D146" s="231"/>
      <c r="E146" s="231"/>
      <c r="F146" s="231"/>
      <c r="G146" s="231"/>
      <c r="H146" s="231"/>
      <c r="I146" s="231"/>
      <c r="J146" s="231"/>
      <c r="K146" s="231"/>
      <c r="L146" s="231"/>
      <c r="M146" s="231"/>
      <c r="N146" s="231"/>
    </row>
    <row r="147" spans="1:14">
      <c r="A147" s="231"/>
      <c r="B147" s="231"/>
      <c r="C147" s="231"/>
      <c r="D147" s="231"/>
      <c r="E147" s="231"/>
      <c r="F147" s="231"/>
      <c r="G147" s="231"/>
      <c r="H147" s="231"/>
      <c r="I147" s="231"/>
      <c r="J147" s="231"/>
      <c r="K147" s="231"/>
      <c r="L147" s="231"/>
      <c r="M147" s="231"/>
      <c r="N147" s="231"/>
    </row>
    <row r="148" spans="1:14">
      <c r="A148" s="231"/>
      <c r="B148" s="231"/>
      <c r="C148" s="231"/>
      <c r="D148" s="231"/>
      <c r="E148" s="231"/>
      <c r="F148" s="231"/>
      <c r="G148" s="231"/>
      <c r="H148" s="231"/>
      <c r="I148" s="231"/>
      <c r="J148" s="231"/>
      <c r="K148" s="231"/>
      <c r="L148" s="231"/>
      <c r="M148" s="231"/>
      <c r="N148" s="231"/>
    </row>
    <row r="149" spans="1:14">
      <c r="A149" s="231"/>
      <c r="B149" s="231"/>
      <c r="C149" s="231"/>
      <c r="D149" s="231"/>
      <c r="E149" s="231"/>
      <c r="F149" s="231"/>
      <c r="G149" s="231"/>
      <c r="H149" s="231"/>
      <c r="I149" s="231"/>
      <c r="J149" s="231"/>
      <c r="K149" s="231"/>
      <c r="L149" s="231"/>
      <c r="M149" s="231"/>
      <c r="N149" s="231"/>
    </row>
    <row r="150" spans="1:14">
      <c r="A150" s="231"/>
      <c r="B150" s="231"/>
      <c r="C150" s="231"/>
      <c r="D150" s="231"/>
      <c r="E150" s="231"/>
      <c r="F150" s="231"/>
      <c r="G150" s="231"/>
      <c r="H150" s="231"/>
      <c r="I150" s="231"/>
      <c r="J150" s="231"/>
      <c r="K150" s="231"/>
      <c r="L150" s="231"/>
      <c r="M150" s="231"/>
      <c r="N150" s="231"/>
    </row>
    <row r="151" spans="1:14">
      <c r="A151" s="231"/>
      <c r="B151" s="231"/>
      <c r="C151" s="231"/>
      <c r="D151" s="231"/>
      <c r="E151" s="231"/>
      <c r="F151" s="231"/>
      <c r="G151" s="231"/>
      <c r="H151" s="231"/>
      <c r="I151" s="231"/>
      <c r="J151" s="231"/>
      <c r="K151" s="231"/>
      <c r="L151" s="231"/>
      <c r="M151" s="231"/>
      <c r="N151" s="231"/>
    </row>
    <row r="152" spans="1:14">
      <c r="A152" s="231"/>
      <c r="B152" s="231"/>
      <c r="C152" s="231"/>
      <c r="D152" s="231"/>
      <c r="E152" s="231"/>
      <c r="F152" s="231"/>
      <c r="G152" s="231"/>
      <c r="H152" s="231"/>
      <c r="I152" s="231"/>
      <c r="J152" s="231"/>
      <c r="K152" s="231"/>
      <c r="L152" s="231"/>
      <c r="M152" s="231"/>
      <c r="N152" s="231"/>
    </row>
    <row r="153" spans="1:14">
      <c r="A153" s="231"/>
      <c r="B153" s="231"/>
      <c r="C153" s="231"/>
      <c r="D153" s="231"/>
      <c r="E153" s="231"/>
      <c r="F153" s="231"/>
      <c r="G153" s="231"/>
      <c r="H153" s="231"/>
      <c r="I153" s="231"/>
      <c r="J153" s="231"/>
      <c r="K153" s="231"/>
      <c r="L153" s="231"/>
      <c r="M153" s="231"/>
      <c r="N153" s="231"/>
    </row>
    <row r="154" spans="1:14">
      <c r="A154" s="231"/>
      <c r="B154" s="231"/>
      <c r="C154" s="231"/>
      <c r="D154" s="231"/>
      <c r="E154" s="231"/>
      <c r="F154" s="231"/>
      <c r="G154" s="231"/>
      <c r="H154" s="231"/>
      <c r="I154" s="231"/>
      <c r="J154" s="231"/>
      <c r="K154" s="231"/>
      <c r="L154" s="231"/>
      <c r="M154" s="231"/>
      <c r="N154" s="231"/>
    </row>
    <row r="155" spans="1:14">
      <c r="A155" s="231"/>
      <c r="B155" s="231"/>
      <c r="C155" s="231"/>
      <c r="D155" s="231"/>
      <c r="E155" s="231"/>
      <c r="F155" s="231"/>
      <c r="G155" s="231"/>
      <c r="H155" s="231"/>
      <c r="I155" s="231"/>
      <c r="J155" s="231"/>
      <c r="K155" s="231"/>
      <c r="L155" s="231"/>
      <c r="M155" s="231"/>
      <c r="N155" s="231"/>
    </row>
    <row r="156" spans="1:14">
      <c r="A156" s="231"/>
      <c r="B156" s="231"/>
      <c r="C156" s="231"/>
      <c r="D156" s="231"/>
      <c r="E156" s="231"/>
      <c r="F156" s="231"/>
      <c r="G156" s="231"/>
    </row>
  </sheetData>
  <mergeCells count="5">
    <mergeCell ref="G1:K1"/>
    <mergeCell ref="G39:R39"/>
    <mergeCell ref="G55:R55"/>
    <mergeCell ref="G71:R71"/>
    <mergeCell ref="K24:V32"/>
  </mergeCells>
  <phoneticPr fontId="0" type="noConversion"/>
  <pageMargins left="0.7" right="0.7" top="0.75" bottom="0.75" header="0.3" footer="0.3"/>
  <pageSetup paperSize="9" orientation="portrait" r:id="rId1"/>
  <headerFooter>
    <oddFooter>&amp;L&amp;1#&amp;"Calibri"&amp;7&amp;K000000C2 General</oddFooter>
  </headerFooter>
  <ignoredErrors>
    <ignoredError sqref="I9:J9 I11 I15 H4" numberStoredAsText="1"/>
  </ignoredErrors>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BB45-F333-46EA-AC88-CB6416A95FC0}">
  <sheetPr codeName="Sheet29"/>
  <dimension ref="A1:D26"/>
  <sheetViews>
    <sheetView workbookViewId="0">
      <selection activeCell="D11" sqref="D11"/>
    </sheetView>
  </sheetViews>
  <sheetFormatPr defaultRowHeight="10.15"/>
  <cols>
    <col min="1" max="1" width="10.5" style="23" bestFit="1" customWidth="1"/>
    <col min="2" max="2" width="13.6640625" style="23" bestFit="1" customWidth="1"/>
    <col min="3" max="3" width="23.33203125" style="23" customWidth="1"/>
    <col min="4" max="4" width="208.6640625" bestFit="1" customWidth="1"/>
  </cols>
  <sheetData>
    <row r="1" spans="1:4">
      <c r="A1" s="928" t="s">
        <v>1605</v>
      </c>
      <c r="B1" s="928" t="s">
        <v>1606</v>
      </c>
      <c r="C1" s="928" t="s">
        <v>1607</v>
      </c>
      <c r="D1" s="929" t="s">
        <v>787</v>
      </c>
    </row>
    <row r="2" spans="1:4">
      <c r="A2" s="927">
        <v>44754</v>
      </c>
      <c r="B2" s="925" t="s">
        <v>1608</v>
      </c>
      <c r="C2" s="925">
        <v>22010</v>
      </c>
      <c r="D2" s="926" t="s">
        <v>1609</v>
      </c>
    </row>
    <row r="3" spans="1:4">
      <c r="A3" s="927">
        <v>44782</v>
      </c>
      <c r="B3" s="925" t="s">
        <v>1610</v>
      </c>
      <c r="C3" s="925">
        <v>22013</v>
      </c>
      <c r="D3" s="926" t="s">
        <v>1611</v>
      </c>
    </row>
    <row r="4" spans="1:4">
      <c r="A4" s="927">
        <v>44897</v>
      </c>
      <c r="B4" s="925" t="s">
        <v>1612</v>
      </c>
      <c r="C4" s="925">
        <v>22027</v>
      </c>
      <c r="D4" s="926" t="s">
        <v>1613</v>
      </c>
    </row>
    <row r="5" spans="1:4">
      <c r="A5" s="927">
        <v>44901</v>
      </c>
      <c r="B5" s="925" t="s">
        <v>305</v>
      </c>
      <c r="C5" s="925">
        <v>22028</v>
      </c>
      <c r="D5" s="926" t="s">
        <v>1614</v>
      </c>
    </row>
    <row r="6" spans="1:4">
      <c r="A6" s="927">
        <v>44910</v>
      </c>
      <c r="B6" s="925" t="s">
        <v>322</v>
      </c>
      <c r="C6" s="925" t="s">
        <v>1615</v>
      </c>
      <c r="D6" s="926" t="s">
        <v>1616</v>
      </c>
    </row>
    <row r="7" spans="1:4">
      <c r="A7" s="927">
        <v>44910</v>
      </c>
      <c r="B7" s="925" t="s">
        <v>277</v>
      </c>
      <c r="C7" s="925">
        <v>22007</v>
      </c>
      <c r="D7" s="926" t="s">
        <v>1617</v>
      </c>
    </row>
    <row r="8" spans="1:4">
      <c r="A8" s="927">
        <v>45181</v>
      </c>
      <c r="B8" s="925" t="s">
        <v>305</v>
      </c>
      <c r="C8" s="925">
        <v>23024</v>
      </c>
      <c r="D8" s="926" t="s">
        <v>1618</v>
      </c>
    </row>
    <row r="9" spans="1:4">
      <c r="A9" s="927">
        <v>45197</v>
      </c>
      <c r="B9" s="925" t="s">
        <v>1619</v>
      </c>
      <c r="C9" s="925">
        <v>23018</v>
      </c>
      <c r="D9" s="926" t="s">
        <v>1620</v>
      </c>
    </row>
    <row r="10" spans="1:4">
      <c r="A10" s="927">
        <v>45209</v>
      </c>
      <c r="B10" s="925" t="s">
        <v>1621</v>
      </c>
      <c r="C10" s="925">
        <v>23026</v>
      </c>
      <c r="D10" s="926" t="s">
        <v>1622</v>
      </c>
    </row>
    <row r="11" spans="1:4">
      <c r="A11" s="927">
        <v>45211</v>
      </c>
      <c r="B11" s="925" t="s">
        <v>288</v>
      </c>
      <c r="C11" s="925" t="s">
        <v>1623</v>
      </c>
      <c r="D11" s="926" t="s">
        <v>1624</v>
      </c>
    </row>
    <row r="12" spans="1:4">
      <c r="A12" s="925"/>
      <c r="B12" s="925"/>
      <c r="C12" s="925"/>
      <c r="D12" s="926"/>
    </row>
    <row r="13" spans="1:4">
      <c r="A13" s="925"/>
      <c r="B13" s="925"/>
      <c r="C13" s="925"/>
      <c r="D13" s="926"/>
    </row>
    <row r="14" spans="1:4">
      <c r="A14" s="925"/>
      <c r="B14" s="925"/>
      <c r="C14" s="925"/>
      <c r="D14" s="926"/>
    </row>
    <row r="15" spans="1:4">
      <c r="A15" s="925"/>
      <c r="B15" s="925"/>
      <c r="C15" s="925"/>
      <c r="D15" s="926"/>
    </row>
    <row r="16" spans="1:4">
      <c r="A16" s="925"/>
      <c r="B16" s="925"/>
      <c r="C16" s="925"/>
      <c r="D16" s="926"/>
    </row>
    <row r="17" spans="1:4">
      <c r="A17" s="925"/>
      <c r="B17" s="925"/>
      <c r="C17" s="925"/>
      <c r="D17" s="926"/>
    </row>
    <row r="18" spans="1:4">
      <c r="A18" s="925"/>
      <c r="B18" s="925"/>
      <c r="C18" s="925"/>
      <c r="D18" s="926"/>
    </row>
    <row r="19" spans="1:4">
      <c r="A19" s="925"/>
      <c r="B19" s="925"/>
      <c r="C19" s="925"/>
      <c r="D19" s="926"/>
    </row>
    <row r="20" spans="1:4">
      <c r="A20" s="925"/>
      <c r="B20" s="925"/>
      <c r="C20" s="925"/>
      <c r="D20" s="926"/>
    </row>
    <row r="21" spans="1:4">
      <c r="A21" s="925"/>
      <c r="B21" s="925"/>
      <c r="C21" s="925"/>
      <c r="D21" s="926"/>
    </row>
    <row r="22" spans="1:4">
      <c r="A22" s="925"/>
      <c r="B22" s="925"/>
      <c r="C22" s="925"/>
      <c r="D22" s="926"/>
    </row>
    <row r="23" spans="1:4">
      <c r="A23" s="925"/>
      <c r="B23" s="925"/>
      <c r="C23" s="925"/>
      <c r="D23" s="926"/>
    </row>
    <row r="24" spans="1:4">
      <c r="A24" s="925"/>
      <c r="B24" s="925"/>
      <c r="C24" s="925"/>
      <c r="D24" s="926"/>
    </row>
    <row r="25" spans="1:4">
      <c r="A25" s="925"/>
      <c r="B25" s="925"/>
      <c r="C25" s="925"/>
      <c r="D25" s="926"/>
    </row>
    <row r="26" spans="1:4">
      <c r="A26" s="925"/>
      <c r="B26" s="925"/>
      <c r="C26" s="925"/>
      <c r="D26" s="926"/>
    </row>
  </sheetData>
  <pageMargins left="0.7" right="0.7" top="0.75" bottom="0.75" header="0.3" footer="0.3"/>
  <pageSetup paperSize="9" orientation="portrait" r:id="rId1"/>
  <headerFooter>
    <oddFooter>&amp;L&amp;1#&amp;"Calibri"&amp;7&amp;K000000C2 General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B41F-F9B2-49D1-985C-3DC687C61E01}">
  <sheetPr codeName="Sheet30"/>
  <dimension ref="A1:C845"/>
  <sheetViews>
    <sheetView workbookViewId="0">
      <selection activeCell="D9" sqref="D9"/>
    </sheetView>
  </sheetViews>
  <sheetFormatPr defaultRowHeight="10.15"/>
  <cols>
    <col min="1" max="1" width="16.83203125" customWidth="1"/>
    <col min="2" max="2" width="19.33203125" customWidth="1"/>
    <col min="3" max="3" width="17" customWidth="1"/>
  </cols>
  <sheetData>
    <row r="1" spans="1:3">
      <c r="A1" s="347" t="s">
        <v>1625</v>
      </c>
      <c r="B1" s="347" t="s">
        <v>1626</v>
      </c>
      <c r="C1" t="s">
        <v>1627</v>
      </c>
    </row>
    <row r="2" spans="1:3">
      <c r="A2" t="s">
        <v>272</v>
      </c>
      <c r="B2" t="s">
        <v>1628</v>
      </c>
    </row>
    <row r="3" spans="1:3">
      <c r="A3" t="s">
        <v>272</v>
      </c>
      <c r="B3" t="s">
        <v>1629</v>
      </c>
    </row>
    <row r="4" spans="1:3">
      <c r="A4" t="s">
        <v>272</v>
      </c>
      <c r="B4" t="s">
        <v>1630</v>
      </c>
    </row>
    <row r="5" spans="1:3">
      <c r="A5" t="s">
        <v>272</v>
      </c>
      <c r="B5" t="s">
        <v>1631</v>
      </c>
    </row>
    <row r="6" spans="1:3">
      <c r="A6" t="s">
        <v>272</v>
      </c>
      <c r="B6" t="s">
        <v>1632</v>
      </c>
    </row>
    <row r="7" spans="1:3">
      <c r="A7" t="s">
        <v>272</v>
      </c>
      <c r="B7" t="s">
        <v>1633</v>
      </c>
    </row>
    <row r="8" spans="1:3">
      <c r="A8" t="s">
        <v>272</v>
      </c>
      <c r="B8" t="s">
        <v>1634</v>
      </c>
    </row>
    <row r="9" spans="1:3">
      <c r="A9" t="s">
        <v>272</v>
      </c>
      <c r="B9" t="s">
        <v>1635</v>
      </c>
    </row>
    <row r="10" spans="1:3">
      <c r="A10" t="s">
        <v>272</v>
      </c>
      <c r="B10" t="s">
        <v>1636</v>
      </c>
    </row>
    <row r="11" spans="1:3">
      <c r="A11" t="s">
        <v>272</v>
      </c>
      <c r="B11" t="s">
        <v>1637</v>
      </c>
    </row>
    <row r="12" spans="1:3">
      <c r="A12" t="s">
        <v>272</v>
      </c>
      <c r="B12" t="s">
        <v>1638</v>
      </c>
    </row>
    <row r="13" spans="1:3">
      <c r="A13" t="s">
        <v>272</v>
      </c>
      <c r="B13" t="s">
        <v>1639</v>
      </c>
    </row>
    <row r="14" spans="1:3">
      <c r="A14" t="s">
        <v>272</v>
      </c>
      <c r="B14" t="s">
        <v>1640</v>
      </c>
    </row>
    <row r="15" spans="1:3">
      <c r="A15" t="s">
        <v>272</v>
      </c>
      <c r="B15" t="s">
        <v>1641</v>
      </c>
    </row>
    <row r="16" spans="1:3">
      <c r="A16" t="s">
        <v>272</v>
      </c>
      <c r="B16" t="s">
        <v>1642</v>
      </c>
    </row>
    <row r="17" spans="1:2">
      <c r="A17" t="s">
        <v>272</v>
      </c>
      <c r="B17" t="s">
        <v>1643</v>
      </c>
    </row>
    <row r="18" spans="1:2">
      <c r="A18" t="s">
        <v>272</v>
      </c>
      <c r="B18" t="s">
        <v>1644</v>
      </c>
    </row>
    <row r="19" spans="1:2">
      <c r="A19" t="s">
        <v>272</v>
      </c>
      <c r="B19" t="s">
        <v>1645</v>
      </c>
    </row>
    <row r="20" spans="1:2">
      <c r="A20" t="s">
        <v>272</v>
      </c>
      <c r="B20" t="s">
        <v>1646</v>
      </c>
    </row>
    <row r="21" spans="1:2">
      <c r="A21" t="s">
        <v>276</v>
      </c>
      <c r="B21" t="s">
        <v>1628</v>
      </c>
    </row>
    <row r="22" spans="1:2">
      <c r="A22" t="s">
        <v>276</v>
      </c>
      <c r="B22" t="s">
        <v>1629</v>
      </c>
    </row>
    <row r="23" spans="1:2">
      <c r="A23" t="s">
        <v>276</v>
      </c>
      <c r="B23" t="s">
        <v>1630</v>
      </c>
    </row>
    <row r="24" spans="1:2">
      <c r="A24" t="s">
        <v>276</v>
      </c>
      <c r="B24" t="s">
        <v>1631</v>
      </c>
    </row>
    <row r="25" spans="1:2">
      <c r="A25" t="s">
        <v>276</v>
      </c>
      <c r="B25" t="s">
        <v>1632</v>
      </c>
    </row>
    <row r="26" spans="1:2">
      <c r="A26" t="s">
        <v>276</v>
      </c>
      <c r="B26" t="s">
        <v>1647</v>
      </c>
    </row>
    <row r="27" spans="1:2">
      <c r="A27" t="s">
        <v>276</v>
      </c>
      <c r="B27" t="s">
        <v>1648</v>
      </c>
    </row>
    <row r="28" spans="1:2">
      <c r="A28" t="s">
        <v>276</v>
      </c>
      <c r="B28" t="s">
        <v>1649</v>
      </c>
    </row>
    <row r="29" spans="1:2">
      <c r="A29" t="s">
        <v>276</v>
      </c>
      <c r="B29" t="s">
        <v>1650</v>
      </c>
    </row>
    <row r="30" spans="1:2">
      <c r="A30" t="s">
        <v>276</v>
      </c>
      <c r="B30" t="s">
        <v>1651</v>
      </c>
    </row>
    <row r="31" spans="1:2">
      <c r="A31" t="s">
        <v>276</v>
      </c>
      <c r="B31" t="s">
        <v>1638</v>
      </c>
    </row>
    <row r="32" spans="1:2">
      <c r="A32" t="s">
        <v>276</v>
      </c>
      <c r="B32" t="s">
        <v>1639</v>
      </c>
    </row>
    <row r="33" spans="1:3">
      <c r="A33" t="s">
        <v>276</v>
      </c>
      <c r="B33" t="s">
        <v>1640</v>
      </c>
    </row>
    <row r="34" spans="1:3">
      <c r="A34" t="s">
        <v>276</v>
      </c>
      <c r="B34" t="s">
        <v>1641</v>
      </c>
    </row>
    <row r="35" spans="1:3">
      <c r="A35" t="s">
        <v>276</v>
      </c>
      <c r="B35" t="s">
        <v>1642</v>
      </c>
    </row>
    <row r="36" spans="1:3">
      <c r="A36" t="s">
        <v>276</v>
      </c>
      <c r="B36" t="s">
        <v>1643</v>
      </c>
    </row>
    <row r="37" spans="1:3">
      <c r="A37" t="s">
        <v>276</v>
      </c>
      <c r="B37" t="s">
        <v>1644</v>
      </c>
    </row>
    <row r="38" spans="1:3">
      <c r="A38" t="s">
        <v>276</v>
      </c>
      <c r="B38" t="s">
        <v>1645</v>
      </c>
    </row>
    <row r="39" spans="1:3">
      <c r="A39" t="s">
        <v>276</v>
      </c>
      <c r="B39" t="s">
        <v>1646</v>
      </c>
    </row>
    <row r="40" spans="1:3">
      <c r="A40" t="s">
        <v>278</v>
      </c>
      <c r="B40" t="s">
        <v>1628</v>
      </c>
    </row>
    <row r="41" spans="1:3">
      <c r="A41" t="s">
        <v>278</v>
      </c>
      <c r="B41" t="s">
        <v>1629</v>
      </c>
    </row>
    <row r="42" spans="1:3">
      <c r="A42" t="s">
        <v>278</v>
      </c>
      <c r="B42" t="s">
        <v>1630</v>
      </c>
    </row>
    <row r="43" spans="1:3">
      <c r="A43" t="s">
        <v>278</v>
      </c>
      <c r="B43" t="s">
        <v>1631</v>
      </c>
    </row>
    <row r="44" spans="1:3">
      <c r="A44" t="s">
        <v>278</v>
      </c>
      <c r="B44" t="s">
        <v>1632</v>
      </c>
    </row>
    <row r="45" spans="1:3">
      <c r="A45" t="s">
        <v>278</v>
      </c>
      <c r="B45" t="s">
        <v>1647</v>
      </c>
    </row>
    <row r="46" spans="1:3">
      <c r="A46" t="s">
        <v>278</v>
      </c>
      <c r="B46" t="s">
        <v>1648</v>
      </c>
    </row>
    <row r="47" spans="1:3">
      <c r="A47" t="s">
        <v>278</v>
      </c>
      <c r="B47" t="s">
        <v>1649</v>
      </c>
    </row>
    <row r="48" spans="1:3">
      <c r="A48" t="s">
        <v>278</v>
      </c>
      <c r="B48" t="s">
        <v>1650</v>
      </c>
      <c r="C48" t="s">
        <v>1652</v>
      </c>
    </row>
    <row r="49" spans="1:3">
      <c r="A49" t="s">
        <v>278</v>
      </c>
      <c r="B49" t="s">
        <v>1633</v>
      </c>
      <c r="C49" t="s">
        <v>1652</v>
      </c>
    </row>
    <row r="50" spans="1:3">
      <c r="A50" t="s">
        <v>278</v>
      </c>
      <c r="B50" t="s">
        <v>1634</v>
      </c>
    </row>
    <row r="51" spans="1:3">
      <c r="A51" t="s">
        <v>278</v>
      </c>
      <c r="B51" t="s">
        <v>1635</v>
      </c>
    </row>
    <row r="52" spans="1:3">
      <c r="A52" t="s">
        <v>278</v>
      </c>
      <c r="B52" t="s">
        <v>1636</v>
      </c>
    </row>
    <row r="53" spans="1:3">
      <c r="A53" t="s">
        <v>278</v>
      </c>
      <c r="B53" t="s">
        <v>1637</v>
      </c>
    </row>
    <row r="54" spans="1:3">
      <c r="A54" t="s">
        <v>278</v>
      </c>
      <c r="B54" t="s">
        <v>1653</v>
      </c>
    </row>
    <row r="55" spans="1:3">
      <c r="A55" t="s">
        <v>278</v>
      </c>
      <c r="B55" t="s">
        <v>1654</v>
      </c>
    </row>
    <row r="56" spans="1:3">
      <c r="A56" t="s">
        <v>278</v>
      </c>
      <c r="B56" t="s">
        <v>1651</v>
      </c>
    </row>
    <row r="57" spans="1:3">
      <c r="A57" t="s">
        <v>278</v>
      </c>
      <c r="B57" t="s">
        <v>1638</v>
      </c>
    </row>
    <row r="58" spans="1:3">
      <c r="A58" t="s">
        <v>278</v>
      </c>
      <c r="B58" t="s">
        <v>1639</v>
      </c>
      <c r="C58" t="s">
        <v>1652</v>
      </c>
    </row>
    <row r="59" spans="1:3">
      <c r="A59" t="s">
        <v>278</v>
      </c>
      <c r="B59" t="s">
        <v>1640</v>
      </c>
      <c r="C59" t="s">
        <v>1652</v>
      </c>
    </row>
    <row r="60" spans="1:3">
      <c r="A60" t="s">
        <v>278</v>
      </c>
      <c r="B60" t="s">
        <v>1641</v>
      </c>
    </row>
    <row r="61" spans="1:3">
      <c r="A61" t="s">
        <v>278</v>
      </c>
      <c r="B61" t="s">
        <v>1642</v>
      </c>
    </row>
    <row r="62" spans="1:3">
      <c r="A62" t="s">
        <v>278</v>
      </c>
      <c r="B62" t="s">
        <v>1643</v>
      </c>
    </row>
    <row r="63" spans="1:3">
      <c r="A63" t="s">
        <v>278</v>
      </c>
      <c r="B63" t="s">
        <v>1644</v>
      </c>
    </row>
    <row r="64" spans="1:3">
      <c r="A64" t="s">
        <v>278</v>
      </c>
      <c r="B64" t="s">
        <v>1645</v>
      </c>
    </row>
    <row r="65" spans="1:2">
      <c r="A65" t="s">
        <v>278</v>
      </c>
      <c r="B65" t="s">
        <v>1646</v>
      </c>
    </row>
    <row r="66" spans="1:2">
      <c r="A66" t="s">
        <v>278</v>
      </c>
      <c r="B66" t="s">
        <v>1655</v>
      </c>
    </row>
    <row r="67" spans="1:2">
      <c r="A67" t="s">
        <v>278</v>
      </c>
      <c r="B67" t="s">
        <v>1656</v>
      </c>
    </row>
    <row r="68" spans="1:2">
      <c r="A68" t="s">
        <v>278</v>
      </c>
      <c r="B68" t="s">
        <v>1657</v>
      </c>
    </row>
    <row r="69" spans="1:2">
      <c r="A69" t="s">
        <v>278</v>
      </c>
      <c r="B69" t="s">
        <v>1658</v>
      </c>
    </row>
    <row r="70" spans="1:2">
      <c r="A70" t="s">
        <v>279</v>
      </c>
      <c r="B70" t="s">
        <v>1628</v>
      </c>
    </row>
    <row r="71" spans="1:2">
      <c r="A71" t="s">
        <v>279</v>
      </c>
      <c r="B71" t="s">
        <v>1629</v>
      </c>
    </row>
    <row r="72" spans="1:2">
      <c r="A72" t="s">
        <v>279</v>
      </c>
      <c r="B72" t="s">
        <v>1630</v>
      </c>
    </row>
    <row r="73" spans="1:2">
      <c r="A73" t="s">
        <v>279</v>
      </c>
      <c r="B73" t="s">
        <v>1631</v>
      </c>
    </row>
    <row r="74" spans="1:2">
      <c r="A74" t="s">
        <v>279</v>
      </c>
      <c r="B74" t="s">
        <v>1632</v>
      </c>
    </row>
    <row r="75" spans="1:2">
      <c r="A75" t="s">
        <v>279</v>
      </c>
      <c r="B75" t="s">
        <v>1647</v>
      </c>
    </row>
    <row r="76" spans="1:2">
      <c r="A76" t="s">
        <v>279</v>
      </c>
      <c r="B76" t="s">
        <v>1648</v>
      </c>
    </row>
    <row r="77" spans="1:2">
      <c r="A77" t="s">
        <v>279</v>
      </c>
      <c r="B77" t="s">
        <v>1649</v>
      </c>
    </row>
    <row r="78" spans="1:2">
      <c r="A78" t="s">
        <v>279</v>
      </c>
      <c r="B78" t="s">
        <v>1650</v>
      </c>
    </row>
    <row r="79" spans="1:2">
      <c r="A79" t="s">
        <v>279</v>
      </c>
      <c r="B79" t="s">
        <v>1633</v>
      </c>
    </row>
    <row r="80" spans="1:2">
      <c r="A80" t="s">
        <v>279</v>
      </c>
      <c r="B80" t="s">
        <v>1634</v>
      </c>
    </row>
    <row r="81" spans="1:3">
      <c r="A81" t="s">
        <v>279</v>
      </c>
      <c r="B81" t="s">
        <v>1635</v>
      </c>
    </row>
    <row r="82" spans="1:3">
      <c r="A82" t="s">
        <v>279</v>
      </c>
      <c r="B82" t="s">
        <v>1636</v>
      </c>
    </row>
    <row r="83" spans="1:3">
      <c r="A83" t="s">
        <v>279</v>
      </c>
      <c r="B83" t="s">
        <v>1637</v>
      </c>
    </row>
    <row r="84" spans="1:3">
      <c r="A84" t="s">
        <v>279</v>
      </c>
      <c r="B84" t="s">
        <v>1653</v>
      </c>
    </row>
    <row r="85" spans="1:3">
      <c r="A85" t="s">
        <v>279</v>
      </c>
      <c r="B85" t="s">
        <v>1654</v>
      </c>
    </row>
    <row r="86" spans="1:3">
      <c r="A86" t="s">
        <v>279</v>
      </c>
      <c r="B86" t="s">
        <v>1651</v>
      </c>
    </row>
    <row r="87" spans="1:3">
      <c r="A87" t="s">
        <v>279</v>
      </c>
      <c r="B87" t="s">
        <v>1638</v>
      </c>
    </row>
    <row r="88" spans="1:3">
      <c r="A88" t="s">
        <v>279</v>
      </c>
      <c r="B88" t="s">
        <v>1639</v>
      </c>
    </row>
    <row r="89" spans="1:3">
      <c r="A89" t="s">
        <v>279</v>
      </c>
      <c r="B89" t="s">
        <v>1640</v>
      </c>
    </row>
    <row r="90" spans="1:3">
      <c r="A90" t="s">
        <v>279</v>
      </c>
      <c r="B90" t="s">
        <v>1641</v>
      </c>
    </row>
    <row r="91" spans="1:3">
      <c r="A91" t="s">
        <v>279</v>
      </c>
      <c r="B91" t="s">
        <v>1642</v>
      </c>
    </row>
    <row r="92" spans="1:3">
      <c r="A92" t="s">
        <v>279</v>
      </c>
      <c r="B92" t="s">
        <v>1643</v>
      </c>
    </row>
    <row r="93" spans="1:3">
      <c r="A93" t="s">
        <v>279</v>
      </c>
      <c r="B93" t="s">
        <v>1644</v>
      </c>
    </row>
    <row r="94" spans="1:3">
      <c r="A94" t="s">
        <v>279</v>
      </c>
      <c r="B94" t="s">
        <v>1645</v>
      </c>
    </row>
    <row r="95" spans="1:3">
      <c r="A95" t="s">
        <v>279</v>
      </c>
      <c r="B95" t="s">
        <v>1646</v>
      </c>
    </row>
    <row r="96" spans="1:3">
      <c r="A96" t="s">
        <v>279</v>
      </c>
      <c r="B96" t="s">
        <v>1655</v>
      </c>
      <c r="C96" t="s">
        <v>1652</v>
      </c>
    </row>
    <row r="97" spans="1:3">
      <c r="A97" t="s">
        <v>279</v>
      </c>
      <c r="B97" t="s">
        <v>1656</v>
      </c>
      <c r="C97" t="s">
        <v>1652</v>
      </c>
    </row>
    <row r="98" spans="1:3">
      <c r="A98" t="s">
        <v>279</v>
      </c>
      <c r="B98" t="s">
        <v>1657</v>
      </c>
      <c r="C98" t="s">
        <v>1652</v>
      </c>
    </row>
    <row r="99" spans="1:3">
      <c r="A99" t="s">
        <v>279</v>
      </c>
      <c r="B99" t="s">
        <v>1658</v>
      </c>
      <c r="C99" t="s">
        <v>1652</v>
      </c>
    </row>
    <row r="100" spans="1:3">
      <c r="A100" t="s">
        <v>280</v>
      </c>
      <c r="B100" t="s">
        <v>1628</v>
      </c>
    </row>
    <row r="101" spans="1:3">
      <c r="A101" t="s">
        <v>280</v>
      </c>
      <c r="B101" t="s">
        <v>1629</v>
      </c>
    </row>
    <row r="102" spans="1:3">
      <c r="A102" t="s">
        <v>280</v>
      </c>
      <c r="B102" t="s">
        <v>1630</v>
      </c>
    </row>
    <row r="103" spans="1:3">
      <c r="A103" t="s">
        <v>280</v>
      </c>
      <c r="B103" t="s">
        <v>1631</v>
      </c>
    </row>
    <row r="104" spans="1:3">
      <c r="A104" t="s">
        <v>280</v>
      </c>
      <c r="B104" t="s">
        <v>1632</v>
      </c>
    </row>
    <row r="105" spans="1:3">
      <c r="A105" t="s">
        <v>280</v>
      </c>
      <c r="B105" t="s">
        <v>1647</v>
      </c>
    </row>
    <row r="106" spans="1:3">
      <c r="A106" t="s">
        <v>280</v>
      </c>
      <c r="B106" t="s">
        <v>1648</v>
      </c>
    </row>
    <row r="107" spans="1:3">
      <c r="A107" t="s">
        <v>280</v>
      </c>
      <c r="B107" t="s">
        <v>1649</v>
      </c>
    </row>
    <row r="108" spans="1:3">
      <c r="A108" t="s">
        <v>280</v>
      </c>
      <c r="B108" t="s">
        <v>1650</v>
      </c>
      <c r="C108" t="s">
        <v>1659</v>
      </c>
    </row>
    <row r="109" spans="1:3">
      <c r="A109" t="s">
        <v>280</v>
      </c>
      <c r="B109" t="s">
        <v>1633</v>
      </c>
      <c r="C109" t="s">
        <v>1659</v>
      </c>
    </row>
    <row r="110" spans="1:3">
      <c r="A110" t="s">
        <v>280</v>
      </c>
      <c r="B110" t="s">
        <v>1634</v>
      </c>
    </row>
    <row r="111" spans="1:3">
      <c r="A111" t="s">
        <v>280</v>
      </c>
      <c r="B111" t="s">
        <v>1635</v>
      </c>
    </row>
    <row r="112" spans="1:3">
      <c r="A112" t="s">
        <v>280</v>
      </c>
      <c r="B112" t="s">
        <v>1636</v>
      </c>
    </row>
    <row r="113" spans="1:3">
      <c r="A113" t="s">
        <v>280</v>
      </c>
      <c r="B113" t="s">
        <v>1637</v>
      </c>
    </row>
    <row r="114" spans="1:3">
      <c r="A114" t="s">
        <v>280</v>
      </c>
      <c r="B114" t="s">
        <v>1653</v>
      </c>
    </row>
    <row r="115" spans="1:3">
      <c r="A115" t="s">
        <v>280</v>
      </c>
      <c r="B115" t="s">
        <v>1654</v>
      </c>
    </row>
    <row r="116" spans="1:3">
      <c r="A116" t="s">
        <v>280</v>
      </c>
      <c r="B116" t="s">
        <v>1651</v>
      </c>
    </row>
    <row r="117" spans="1:3">
      <c r="A117" t="s">
        <v>280</v>
      </c>
      <c r="B117" t="s">
        <v>1638</v>
      </c>
    </row>
    <row r="118" spans="1:3">
      <c r="A118" t="s">
        <v>280</v>
      </c>
      <c r="B118" t="s">
        <v>1639</v>
      </c>
    </row>
    <row r="119" spans="1:3">
      <c r="A119" t="s">
        <v>280</v>
      </c>
      <c r="B119" t="s">
        <v>1640</v>
      </c>
    </row>
    <row r="120" spans="1:3">
      <c r="A120" t="s">
        <v>280</v>
      </c>
      <c r="B120" t="s">
        <v>1641</v>
      </c>
    </row>
    <row r="121" spans="1:3">
      <c r="A121" t="s">
        <v>280</v>
      </c>
      <c r="B121" t="s">
        <v>1642</v>
      </c>
    </row>
    <row r="122" spans="1:3">
      <c r="A122" t="s">
        <v>280</v>
      </c>
      <c r="B122" t="s">
        <v>1643</v>
      </c>
    </row>
    <row r="123" spans="1:3">
      <c r="A123" t="s">
        <v>280</v>
      </c>
      <c r="B123" t="s">
        <v>1644</v>
      </c>
    </row>
    <row r="124" spans="1:3">
      <c r="A124" t="s">
        <v>280</v>
      </c>
      <c r="B124" t="s">
        <v>1645</v>
      </c>
    </row>
    <row r="125" spans="1:3">
      <c r="A125" t="s">
        <v>280</v>
      </c>
      <c r="B125" t="s">
        <v>1646</v>
      </c>
    </row>
    <row r="126" spans="1:3">
      <c r="A126" t="s">
        <v>280</v>
      </c>
      <c r="B126" t="s">
        <v>1655</v>
      </c>
    </row>
    <row r="127" spans="1:3">
      <c r="A127" t="s">
        <v>280</v>
      </c>
      <c r="B127" t="s">
        <v>1656</v>
      </c>
    </row>
    <row r="128" spans="1:3">
      <c r="A128" t="s">
        <v>280</v>
      </c>
      <c r="B128" t="s">
        <v>1657</v>
      </c>
      <c r="C128" t="s">
        <v>1659</v>
      </c>
    </row>
    <row r="129" spans="1:3">
      <c r="A129" t="s">
        <v>280</v>
      </c>
      <c r="B129" t="s">
        <v>1658</v>
      </c>
      <c r="C129" t="s">
        <v>1659</v>
      </c>
    </row>
    <row r="130" spans="1:3">
      <c r="A130" t="s">
        <v>281</v>
      </c>
      <c r="B130" t="s">
        <v>1628</v>
      </c>
    </row>
    <row r="131" spans="1:3">
      <c r="A131" t="s">
        <v>281</v>
      </c>
      <c r="B131" t="s">
        <v>1629</v>
      </c>
    </row>
    <row r="132" spans="1:3">
      <c r="A132" t="s">
        <v>281</v>
      </c>
      <c r="B132" t="s">
        <v>1630</v>
      </c>
    </row>
    <row r="133" spans="1:3">
      <c r="A133" t="s">
        <v>281</v>
      </c>
      <c r="B133" t="s">
        <v>1631</v>
      </c>
    </row>
    <row r="134" spans="1:3">
      <c r="A134" t="s">
        <v>281</v>
      </c>
      <c r="B134" t="s">
        <v>1632</v>
      </c>
    </row>
    <row r="135" spans="1:3">
      <c r="A135" t="s">
        <v>281</v>
      </c>
      <c r="B135" t="s">
        <v>1647</v>
      </c>
    </row>
    <row r="136" spans="1:3">
      <c r="A136" t="s">
        <v>281</v>
      </c>
      <c r="B136" t="s">
        <v>1648</v>
      </c>
    </row>
    <row r="137" spans="1:3">
      <c r="A137" t="s">
        <v>281</v>
      </c>
      <c r="B137" t="s">
        <v>1649</v>
      </c>
    </row>
    <row r="138" spans="1:3">
      <c r="A138" t="s">
        <v>281</v>
      </c>
      <c r="B138" t="s">
        <v>1650</v>
      </c>
    </row>
    <row r="139" spans="1:3">
      <c r="A139" t="s">
        <v>281</v>
      </c>
      <c r="B139" t="s">
        <v>1633</v>
      </c>
    </row>
    <row r="140" spans="1:3">
      <c r="A140" t="s">
        <v>281</v>
      </c>
      <c r="B140" t="s">
        <v>1634</v>
      </c>
    </row>
    <row r="141" spans="1:3">
      <c r="A141" t="s">
        <v>281</v>
      </c>
      <c r="B141" t="s">
        <v>1635</v>
      </c>
    </row>
    <row r="142" spans="1:3">
      <c r="A142" t="s">
        <v>281</v>
      </c>
      <c r="B142" t="s">
        <v>1636</v>
      </c>
    </row>
    <row r="143" spans="1:3">
      <c r="A143" t="s">
        <v>281</v>
      </c>
      <c r="B143" t="s">
        <v>1637</v>
      </c>
    </row>
    <row r="144" spans="1:3">
      <c r="A144" t="s">
        <v>281</v>
      </c>
      <c r="B144" t="s">
        <v>1653</v>
      </c>
    </row>
    <row r="145" spans="1:3">
      <c r="A145" t="s">
        <v>281</v>
      </c>
      <c r="B145" t="s">
        <v>1654</v>
      </c>
    </row>
    <row r="146" spans="1:3">
      <c r="A146" t="s">
        <v>281</v>
      </c>
      <c r="B146" t="s">
        <v>1651</v>
      </c>
    </row>
    <row r="147" spans="1:3">
      <c r="A147" t="s">
        <v>281</v>
      </c>
      <c r="B147" t="s">
        <v>1638</v>
      </c>
    </row>
    <row r="148" spans="1:3">
      <c r="A148" t="s">
        <v>281</v>
      </c>
      <c r="B148" t="s">
        <v>1639</v>
      </c>
    </row>
    <row r="149" spans="1:3">
      <c r="A149" t="s">
        <v>281</v>
      </c>
      <c r="B149" t="s">
        <v>1640</v>
      </c>
    </row>
    <row r="150" spans="1:3">
      <c r="A150" t="s">
        <v>281</v>
      </c>
      <c r="B150" t="s">
        <v>1641</v>
      </c>
    </row>
    <row r="151" spans="1:3">
      <c r="A151" t="s">
        <v>281</v>
      </c>
      <c r="B151" t="s">
        <v>1642</v>
      </c>
    </row>
    <row r="152" spans="1:3">
      <c r="A152" t="s">
        <v>281</v>
      </c>
      <c r="B152" t="s">
        <v>1643</v>
      </c>
    </row>
    <row r="153" spans="1:3">
      <c r="A153" t="s">
        <v>281</v>
      </c>
      <c r="B153" t="s">
        <v>1644</v>
      </c>
    </row>
    <row r="154" spans="1:3">
      <c r="A154" t="s">
        <v>281</v>
      </c>
      <c r="B154" t="s">
        <v>1645</v>
      </c>
    </row>
    <row r="155" spans="1:3">
      <c r="A155" t="s">
        <v>281</v>
      </c>
      <c r="B155" t="s">
        <v>1646</v>
      </c>
    </row>
    <row r="156" spans="1:3">
      <c r="A156" t="s">
        <v>281</v>
      </c>
      <c r="B156" t="s">
        <v>1655</v>
      </c>
      <c r="C156" t="s">
        <v>1659</v>
      </c>
    </row>
    <row r="157" spans="1:3">
      <c r="A157" t="s">
        <v>281</v>
      </c>
      <c r="B157" t="s">
        <v>1656</v>
      </c>
      <c r="C157" t="s">
        <v>1659</v>
      </c>
    </row>
    <row r="158" spans="1:3">
      <c r="A158" t="s">
        <v>281</v>
      </c>
      <c r="B158" t="s">
        <v>1657</v>
      </c>
      <c r="C158" t="s">
        <v>1659</v>
      </c>
    </row>
    <row r="159" spans="1:3">
      <c r="A159" t="s">
        <v>281</v>
      </c>
      <c r="B159" t="s">
        <v>1658</v>
      </c>
      <c r="C159" t="s">
        <v>1659</v>
      </c>
    </row>
    <row r="160" spans="1:3">
      <c r="A160" t="s">
        <v>282</v>
      </c>
      <c r="B160" t="s">
        <v>1628</v>
      </c>
    </row>
    <row r="161" spans="1:2">
      <c r="A161" t="s">
        <v>282</v>
      </c>
      <c r="B161" t="s">
        <v>1629</v>
      </c>
    </row>
    <row r="162" spans="1:2">
      <c r="A162" t="s">
        <v>282</v>
      </c>
      <c r="B162" t="s">
        <v>1630</v>
      </c>
    </row>
    <row r="163" spans="1:2">
      <c r="A163" t="s">
        <v>282</v>
      </c>
      <c r="B163" t="s">
        <v>1631</v>
      </c>
    </row>
    <row r="164" spans="1:2">
      <c r="A164" t="s">
        <v>282</v>
      </c>
      <c r="B164" t="s">
        <v>1633</v>
      </c>
    </row>
    <row r="165" spans="1:2">
      <c r="A165" t="s">
        <v>282</v>
      </c>
      <c r="B165" t="s">
        <v>1634</v>
      </c>
    </row>
    <row r="166" spans="1:2">
      <c r="A166" t="s">
        <v>282</v>
      </c>
      <c r="B166" t="s">
        <v>1635</v>
      </c>
    </row>
    <row r="167" spans="1:2">
      <c r="A167" t="s">
        <v>282</v>
      </c>
      <c r="B167" t="s">
        <v>1636</v>
      </c>
    </row>
    <row r="168" spans="1:2">
      <c r="A168" t="s">
        <v>282</v>
      </c>
      <c r="B168" t="s">
        <v>1637</v>
      </c>
    </row>
    <row r="169" spans="1:2">
      <c r="A169" t="s">
        <v>282</v>
      </c>
      <c r="B169" t="s">
        <v>1644</v>
      </c>
    </row>
    <row r="170" spans="1:2">
      <c r="A170" t="s">
        <v>282</v>
      </c>
      <c r="B170" t="s">
        <v>1645</v>
      </c>
    </row>
    <row r="171" spans="1:2">
      <c r="A171" t="s">
        <v>282</v>
      </c>
      <c r="B171" t="s">
        <v>1646</v>
      </c>
    </row>
    <row r="172" spans="1:2">
      <c r="A172" t="s">
        <v>283</v>
      </c>
      <c r="B172" t="s">
        <v>1628</v>
      </c>
    </row>
    <row r="173" spans="1:2">
      <c r="A173" t="s">
        <v>283</v>
      </c>
      <c r="B173" t="s">
        <v>1629</v>
      </c>
    </row>
    <row r="174" spans="1:2">
      <c r="A174" t="s">
        <v>283</v>
      </c>
      <c r="B174" t="s">
        <v>1630</v>
      </c>
    </row>
    <row r="175" spans="1:2">
      <c r="A175" t="s">
        <v>283</v>
      </c>
      <c r="B175" t="s">
        <v>1631</v>
      </c>
    </row>
    <row r="176" spans="1:2">
      <c r="A176" t="s">
        <v>283</v>
      </c>
      <c r="B176" t="s">
        <v>1633</v>
      </c>
    </row>
    <row r="177" spans="1:2">
      <c r="A177" t="s">
        <v>283</v>
      </c>
      <c r="B177" t="s">
        <v>1634</v>
      </c>
    </row>
    <row r="178" spans="1:2">
      <c r="A178" t="s">
        <v>283</v>
      </c>
      <c r="B178" t="s">
        <v>1635</v>
      </c>
    </row>
    <row r="179" spans="1:2">
      <c r="A179" t="s">
        <v>283</v>
      </c>
      <c r="B179" t="s">
        <v>1636</v>
      </c>
    </row>
    <row r="180" spans="1:2">
      <c r="A180" t="s">
        <v>283</v>
      </c>
      <c r="B180" t="s">
        <v>1643</v>
      </c>
    </row>
    <row r="181" spans="1:2">
      <c r="A181" t="s">
        <v>283</v>
      </c>
      <c r="B181" t="s">
        <v>1644</v>
      </c>
    </row>
    <row r="182" spans="1:2">
      <c r="A182" t="s">
        <v>283</v>
      </c>
      <c r="B182" t="s">
        <v>1645</v>
      </c>
    </row>
    <row r="183" spans="1:2">
      <c r="A183" t="s">
        <v>283</v>
      </c>
      <c r="B183" t="s">
        <v>1646</v>
      </c>
    </row>
    <row r="184" spans="1:2">
      <c r="A184" t="s">
        <v>351</v>
      </c>
      <c r="B184" t="s">
        <v>1628</v>
      </c>
    </row>
    <row r="185" spans="1:2">
      <c r="A185" t="s">
        <v>351</v>
      </c>
      <c r="B185" t="s">
        <v>1629</v>
      </c>
    </row>
    <row r="186" spans="1:2">
      <c r="A186" t="s">
        <v>351</v>
      </c>
      <c r="B186" t="s">
        <v>1630</v>
      </c>
    </row>
    <row r="187" spans="1:2">
      <c r="A187" t="s">
        <v>351</v>
      </c>
      <c r="B187" t="s">
        <v>1631</v>
      </c>
    </row>
    <row r="188" spans="1:2">
      <c r="A188" t="s">
        <v>351</v>
      </c>
      <c r="B188" t="s">
        <v>1632</v>
      </c>
    </row>
    <row r="189" spans="1:2">
      <c r="A189" t="s">
        <v>351</v>
      </c>
      <c r="B189" t="s">
        <v>1647</v>
      </c>
    </row>
    <row r="190" spans="1:2">
      <c r="A190" t="s">
        <v>356</v>
      </c>
      <c r="B190" t="s">
        <v>1628</v>
      </c>
    </row>
    <row r="191" spans="1:2">
      <c r="A191" t="s">
        <v>356</v>
      </c>
      <c r="B191" t="s">
        <v>1629</v>
      </c>
    </row>
    <row r="192" spans="1:2">
      <c r="A192" t="s">
        <v>356</v>
      </c>
      <c r="B192" t="s">
        <v>1630</v>
      </c>
    </row>
    <row r="193" spans="1:2">
      <c r="A193" t="s">
        <v>356</v>
      </c>
      <c r="B193" t="s">
        <v>1631</v>
      </c>
    </row>
    <row r="194" spans="1:2">
      <c r="A194" t="s">
        <v>356</v>
      </c>
      <c r="B194" t="s">
        <v>1632</v>
      </c>
    </row>
    <row r="195" spans="1:2">
      <c r="A195" t="s">
        <v>356</v>
      </c>
      <c r="B195" t="s">
        <v>1647</v>
      </c>
    </row>
    <row r="196" spans="1:2">
      <c r="A196" t="s">
        <v>353</v>
      </c>
      <c r="B196" t="s">
        <v>1628</v>
      </c>
    </row>
    <row r="197" spans="1:2">
      <c r="A197" t="s">
        <v>353</v>
      </c>
      <c r="B197" t="s">
        <v>1629</v>
      </c>
    </row>
    <row r="198" spans="1:2">
      <c r="A198" t="s">
        <v>353</v>
      </c>
      <c r="B198" t="s">
        <v>1630</v>
      </c>
    </row>
    <row r="199" spans="1:2">
      <c r="A199" t="s">
        <v>353</v>
      </c>
      <c r="B199" t="s">
        <v>1631</v>
      </c>
    </row>
    <row r="200" spans="1:2">
      <c r="A200" t="s">
        <v>353</v>
      </c>
      <c r="B200" t="s">
        <v>1632</v>
      </c>
    </row>
    <row r="201" spans="1:2">
      <c r="A201" t="s">
        <v>353</v>
      </c>
      <c r="B201" t="s">
        <v>1647</v>
      </c>
    </row>
    <row r="202" spans="1:2">
      <c r="A202" t="s">
        <v>358</v>
      </c>
      <c r="B202" t="s">
        <v>1628</v>
      </c>
    </row>
    <row r="203" spans="1:2">
      <c r="A203" t="s">
        <v>358</v>
      </c>
      <c r="B203" t="s">
        <v>1629</v>
      </c>
    </row>
    <row r="204" spans="1:2">
      <c r="A204" t="s">
        <v>358</v>
      </c>
      <c r="B204" t="s">
        <v>1630</v>
      </c>
    </row>
    <row r="205" spans="1:2">
      <c r="A205" t="s">
        <v>358</v>
      </c>
      <c r="B205" t="s">
        <v>1631</v>
      </c>
    </row>
    <row r="206" spans="1:2">
      <c r="A206" t="s">
        <v>358</v>
      </c>
      <c r="B206" t="s">
        <v>1632</v>
      </c>
    </row>
    <row r="207" spans="1:2">
      <c r="A207" t="s">
        <v>358</v>
      </c>
      <c r="B207" t="s">
        <v>1647</v>
      </c>
    </row>
    <row r="208" spans="1:2">
      <c r="A208" t="s">
        <v>285</v>
      </c>
      <c r="B208" t="s">
        <v>1628</v>
      </c>
    </row>
    <row r="209" spans="1:2">
      <c r="A209" t="s">
        <v>285</v>
      </c>
      <c r="B209" t="s">
        <v>1629</v>
      </c>
    </row>
    <row r="210" spans="1:2">
      <c r="A210" t="s">
        <v>285</v>
      </c>
      <c r="B210" t="s">
        <v>1630</v>
      </c>
    </row>
    <row r="211" spans="1:2">
      <c r="A211" t="s">
        <v>285</v>
      </c>
      <c r="B211" t="s">
        <v>1631</v>
      </c>
    </row>
    <row r="212" spans="1:2">
      <c r="A212" t="s">
        <v>285</v>
      </c>
      <c r="B212" t="s">
        <v>1632</v>
      </c>
    </row>
    <row r="213" spans="1:2">
      <c r="A213" t="s">
        <v>285</v>
      </c>
      <c r="B213" t="s">
        <v>1647</v>
      </c>
    </row>
    <row r="214" spans="1:2">
      <c r="A214" t="s">
        <v>285</v>
      </c>
      <c r="B214" t="s">
        <v>1649</v>
      </c>
    </row>
    <row r="215" spans="1:2">
      <c r="A215" t="s">
        <v>285</v>
      </c>
      <c r="B215" t="s">
        <v>1650</v>
      </c>
    </row>
    <row r="216" spans="1:2">
      <c r="A216" t="s">
        <v>285</v>
      </c>
      <c r="B216" t="s">
        <v>1633</v>
      </c>
    </row>
    <row r="217" spans="1:2">
      <c r="A217" t="s">
        <v>285</v>
      </c>
      <c r="B217" t="s">
        <v>1634</v>
      </c>
    </row>
    <row r="218" spans="1:2">
      <c r="A218" t="s">
        <v>285</v>
      </c>
      <c r="B218" t="s">
        <v>1635</v>
      </c>
    </row>
    <row r="219" spans="1:2">
      <c r="A219" t="s">
        <v>285</v>
      </c>
      <c r="B219" t="s">
        <v>1636</v>
      </c>
    </row>
    <row r="220" spans="1:2">
      <c r="A220" t="s">
        <v>287</v>
      </c>
      <c r="B220" t="s">
        <v>1628</v>
      </c>
    </row>
    <row r="221" spans="1:2">
      <c r="A221" t="s">
        <v>287</v>
      </c>
      <c r="B221" t="s">
        <v>1629</v>
      </c>
    </row>
    <row r="222" spans="1:2">
      <c r="A222" t="s">
        <v>287</v>
      </c>
      <c r="B222" t="s">
        <v>1630</v>
      </c>
    </row>
    <row r="223" spans="1:2">
      <c r="A223" t="s">
        <v>287</v>
      </c>
      <c r="B223" t="s">
        <v>1631</v>
      </c>
    </row>
    <row r="224" spans="1:2">
      <c r="A224" t="s">
        <v>287</v>
      </c>
      <c r="B224" t="s">
        <v>1632</v>
      </c>
    </row>
    <row r="225" spans="1:2">
      <c r="A225" t="s">
        <v>287</v>
      </c>
      <c r="B225" t="s">
        <v>1647</v>
      </c>
    </row>
    <row r="226" spans="1:2">
      <c r="A226" t="s">
        <v>287</v>
      </c>
      <c r="B226" t="s">
        <v>1649</v>
      </c>
    </row>
    <row r="227" spans="1:2">
      <c r="A227" t="s">
        <v>287</v>
      </c>
      <c r="B227" t="s">
        <v>1650</v>
      </c>
    </row>
    <row r="228" spans="1:2">
      <c r="A228" t="s">
        <v>287</v>
      </c>
      <c r="B228" t="s">
        <v>1633</v>
      </c>
    </row>
    <row r="229" spans="1:2">
      <c r="A229" t="s">
        <v>287</v>
      </c>
      <c r="B229" t="s">
        <v>1634</v>
      </c>
    </row>
    <row r="230" spans="1:2">
      <c r="A230" t="s">
        <v>287</v>
      </c>
      <c r="B230" t="s">
        <v>1635</v>
      </c>
    </row>
    <row r="231" spans="1:2">
      <c r="A231" t="s">
        <v>287</v>
      </c>
      <c r="B231" t="s">
        <v>1636</v>
      </c>
    </row>
    <row r="232" spans="1:2">
      <c r="A232" t="s">
        <v>289</v>
      </c>
      <c r="B232" t="s">
        <v>1628</v>
      </c>
    </row>
    <row r="233" spans="1:2">
      <c r="A233" t="s">
        <v>289</v>
      </c>
      <c r="B233" t="s">
        <v>1629</v>
      </c>
    </row>
    <row r="234" spans="1:2">
      <c r="A234" t="s">
        <v>289</v>
      </c>
      <c r="B234" t="s">
        <v>1630</v>
      </c>
    </row>
    <row r="235" spans="1:2">
      <c r="A235" t="s">
        <v>289</v>
      </c>
      <c r="B235" t="s">
        <v>1631</v>
      </c>
    </row>
    <row r="236" spans="1:2">
      <c r="A236" t="s">
        <v>289</v>
      </c>
      <c r="B236" t="s">
        <v>1632</v>
      </c>
    </row>
    <row r="237" spans="1:2">
      <c r="A237" t="s">
        <v>289</v>
      </c>
      <c r="B237" t="s">
        <v>1647</v>
      </c>
    </row>
    <row r="238" spans="1:2">
      <c r="A238" t="s">
        <v>289</v>
      </c>
      <c r="B238" t="s">
        <v>1648</v>
      </c>
    </row>
    <row r="239" spans="1:2">
      <c r="A239" t="s">
        <v>289</v>
      </c>
      <c r="B239" t="s">
        <v>1633</v>
      </c>
    </row>
    <row r="240" spans="1:2">
      <c r="A240" t="s">
        <v>289</v>
      </c>
      <c r="B240" t="s">
        <v>1634</v>
      </c>
    </row>
    <row r="241" spans="1:2">
      <c r="A241" t="s">
        <v>289</v>
      </c>
      <c r="B241" t="s">
        <v>1635</v>
      </c>
    </row>
    <row r="242" spans="1:2">
      <c r="A242" t="s">
        <v>289</v>
      </c>
      <c r="B242" t="s">
        <v>1636</v>
      </c>
    </row>
    <row r="243" spans="1:2">
      <c r="A243" t="s">
        <v>289</v>
      </c>
      <c r="B243" t="s">
        <v>1637</v>
      </c>
    </row>
    <row r="244" spans="1:2">
      <c r="A244" t="s">
        <v>289</v>
      </c>
      <c r="B244" t="s">
        <v>1653</v>
      </c>
    </row>
    <row r="245" spans="1:2">
      <c r="A245" t="s">
        <v>289</v>
      </c>
      <c r="B245" t="s">
        <v>1654</v>
      </c>
    </row>
    <row r="246" spans="1:2">
      <c r="A246" t="s">
        <v>289</v>
      </c>
      <c r="B246" t="s">
        <v>1651</v>
      </c>
    </row>
    <row r="247" spans="1:2">
      <c r="A247" t="s">
        <v>289</v>
      </c>
      <c r="B247" t="s">
        <v>1639</v>
      </c>
    </row>
    <row r="248" spans="1:2">
      <c r="A248" t="s">
        <v>289</v>
      </c>
      <c r="B248" t="s">
        <v>1640</v>
      </c>
    </row>
    <row r="249" spans="1:2">
      <c r="A249" t="s">
        <v>289</v>
      </c>
      <c r="B249" t="s">
        <v>1641</v>
      </c>
    </row>
    <row r="250" spans="1:2">
      <c r="A250" t="s">
        <v>289</v>
      </c>
      <c r="B250" t="s">
        <v>1642</v>
      </c>
    </row>
    <row r="251" spans="1:2">
      <c r="A251" t="s">
        <v>289</v>
      </c>
      <c r="B251" t="s">
        <v>1643</v>
      </c>
    </row>
    <row r="252" spans="1:2">
      <c r="A252" t="s">
        <v>289</v>
      </c>
      <c r="B252" t="s">
        <v>1644</v>
      </c>
    </row>
    <row r="253" spans="1:2">
      <c r="A253" t="s">
        <v>289</v>
      </c>
      <c r="B253" t="s">
        <v>1645</v>
      </c>
    </row>
    <row r="254" spans="1:2">
      <c r="A254" t="s">
        <v>292</v>
      </c>
      <c r="B254" t="s">
        <v>1628</v>
      </c>
    </row>
    <row r="255" spans="1:2">
      <c r="A255" t="s">
        <v>292</v>
      </c>
      <c r="B255" t="s">
        <v>1629</v>
      </c>
    </row>
    <row r="256" spans="1:2">
      <c r="A256" t="s">
        <v>292</v>
      </c>
      <c r="B256" t="s">
        <v>1630</v>
      </c>
    </row>
    <row r="257" spans="1:2">
      <c r="A257" t="s">
        <v>292</v>
      </c>
      <c r="B257" t="s">
        <v>1631</v>
      </c>
    </row>
    <row r="258" spans="1:2">
      <c r="A258" t="s">
        <v>292</v>
      </c>
      <c r="B258" t="s">
        <v>1632</v>
      </c>
    </row>
    <row r="259" spans="1:2">
      <c r="A259" t="s">
        <v>292</v>
      </c>
      <c r="B259" t="s">
        <v>1647</v>
      </c>
    </row>
    <row r="260" spans="1:2">
      <c r="A260" t="s">
        <v>292</v>
      </c>
      <c r="B260" t="s">
        <v>1648</v>
      </c>
    </row>
    <row r="261" spans="1:2">
      <c r="A261" t="s">
        <v>292</v>
      </c>
      <c r="B261" t="s">
        <v>1649</v>
      </c>
    </row>
    <row r="262" spans="1:2">
      <c r="A262" t="s">
        <v>292</v>
      </c>
      <c r="B262" t="s">
        <v>1633</v>
      </c>
    </row>
    <row r="263" spans="1:2">
      <c r="A263" t="s">
        <v>292</v>
      </c>
      <c r="B263" t="s">
        <v>1634</v>
      </c>
    </row>
    <row r="264" spans="1:2">
      <c r="A264" t="s">
        <v>292</v>
      </c>
      <c r="B264" t="s">
        <v>1635</v>
      </c>
    </row>
    <row r="265" spans="1:2">
      <c r="A265" t="s">
        <v>292</v>
      </c>
      <c r="B265" t="s">
        <v>1636</v>
      </c>
    </row>
    <row r="266" spans="1:2">
      <c r="A266" t="s">
        <v>292</v>
      </c>
      <c r="B266" t="s">
        <v>1637</v>
      </c>
    </row>
    <row r="267" spans="1:2">
      <c r="A267" t="s">
        <v>292</v>
      </c>
      <c r="B267" t="s">
        <v>1653</v>
      </c>
    </row>
    <row r="268" spans="1:2">
      <c r="A268" t="s">
        <v>292</v>
      </c>
      <c r="B268" t="s">
        <v>1654</v>
      </c>
    </row>
    <row r="269" spans="1:2">
      <c r="A269" t="s">
        <v>292</v>
      </c>
      <c r="B269" t="s">
        <v>1639</v>
      </c>
    </row>
    <row r="270" spans="1:2">
      <c r="A270" t="s">
        <v>292</v>
      </c>
      <c r="B270" t="s">
        <v>1640</v>
      </c>
    </row>
    <row r="271" spans="1:2">
      <c r="A271" t="s">
        <v>292</v>
      </c>
      <c r="B271" t="s">
        <v>1641</v>
      </c>
    </row>
    <row r="272" spans="1:2">
      <c r="A272" t="s">
        <v>292</v>
      </c>
      <c r="B272" t="s">
        <v>1642</v>
      </c>
    </row>
    <row r="273" spans="1:2">
      <c r="A273" t="s">
        <v>292</v>
      </c>
      <c r="B273" t="s">
        <v>1643</v>
      </c>
    </row>
    <row r="274" spans="1:2">
      <c r="A274" t="s">
        <v>292</v>
      </c>
      <c r="B274" t="s">
        <v>1644</v>
      </c>
    </row>
    <row r="275" spans="1:2">
      <c r="A275" t="s">
        <v>292</v>
      </c>
      <c r="B275" t="s">
        <v>1645</v>
      </c>
    </row>
    <row r="276" spans="1:2">
      <c r="A276" t="s">
        <v>294</v>
      </c>
      <c r="B276" t="s">
        <v>1628</v>
      </c>
    </row>
    <row r="277" spans="1:2">
      <c r="A277" t="s">
        <v>294</v>
      </c>
      <c r="B277" t="s">
        <v>1629</v>
      </c>
    </row>
    <row r="278" spans="1:2">
      <c r="A278" t="s">
        <v>294</v>
      </c>
      <c r="B278" t="s">
        <v>1630</v>
      </c>
    </row>
    <row r="279" spans="1:2">
      <c r="A279" t="s">
        <v>294</v>
      </c>
      <c r="B279" t="s">
        <v>1631</v>
      </c>
    </row>
    <row r="280" spans="1:2">
      <c r="A280" t="s">
        <v>294</v>
      </c>
      <c r="B280" t="s">
        <v>1632</v>
      </c>
    </row>
    <row r="281" spans="1:2">
      <c r="A281" t="s">
        <v>294</v>
      </c>
      <c r="B281" t="s">
        <v>1647</v>
      </c>
    </row>
    <row r="282" spans="1:2">
      <c r="A282" t="s">
        <v>294</v>
      </c>
      <c r="B282" t="s">
        <v>1649</v>
      </c>
    </row>
    <row r="283" spans="1:2">
      <c r="A283" t="s">
        <v>294</v>
      </c>
      <c r="B283" t="s">
        <v>1650</v>
      </c>
    </row>
    <row r="284" spans="1:2">
      <c r="A284" t="s">
        <v>294</v>
      </c>
      <c r="B284" t="s">
        <v>1633</v>
      </c>
    </row>
    <row r="285" spans="1:2">
      <c r="A285" t="s">
        <v>294</v>
      </c>
      <c r="B285" t="s">
        <v>1634</v>
      </c>
    </row>
    <row r="286" spans="1:2">
      <c r="A286" t="s">
        <v>294</v>
      </c>
      <c r="B286" t="s">
        <v>1635</v>
      </c>
    </row>
    <row r="287" spans="1:2">
      <c r="A287" t="s">
        <v>294</v>
      </c>
      <c r="B287" t="s">
        <v>1636</v>
      </c>
    </row>
    <row r="288" spans="1:2">
      <c r="A288" t="s">
        <v>296</v>
      </c>
      <c r="B288" t="s">
        <v>1628</v>
      </c>
    </row>
    <row r="289" spans="1:2">
      <c r="A289" t="s">
        <v>296</v>
      </c>
      <c r="B289" t="s">
        <v>1629</v>
      </c>
    </row>
    <row r="290" spans="1:2">
      <c r="A290" t="s">
        <v>296</v>
      </c>
      <c r="B290" t="s">
        <v>1630</v>
      </c>
    </row>
    <row r="291" spans="1:2">
      <c r="A291" t="s">
        <v>296</v>
      </c>
      <c r="B291" t="s">
        <v>1631</v>
      </c>
    </row>
    <row r="292" spans="1:2">
      <c r="A292" t="s">
        <v>296</v>
      </c>
      <c r="B292" t="s">
        <v>1632</v>
      </c>
    </row>
    <row r="293" spans="1:2">
      <c r="A293" t="s">
        <v>296</v>
      </c>
      <c r="B293" t="s">
        <v>1647</v>
      </c>
    </row>
    <row r="294" spans="1:2">
      <c r="A294" t="s">
        <v>296</v>
      </c>
      <c r="B294" t="s">
        <v>1649</v>
      </c>
    </row>
    <row r="295" spans="1:2">
      <c r="A295" t="s">
        <v>296</v>
      </c>
      <c r="B295" t="s">
        <v>1650</v>
      </c>
    </row>
    <row r="296" spans="1:2">
      <c r="A296" t="s">
        <v>296</v>
      </c>
      <c r="B296" t="s">
        <v>1633</v>
      </c>
    </row>
    <row r="297" spans="1:2">
      <c r="A297" t="s">
        <v>296</v>
      </c>
      <c r="B297" t="s">
        <v>1634</v>
      </c>
    </row>
    <row r="298" spans="1:2">
      <c r="A298" t="s">
        <v>296</v>
      </c>
      <c r="B298" t="s">
        <v>1635</v>
      </c>
    </row>
    <row r="299" spans="1:2">
      <c r="A299" t="s">
        <v>296</v>
      </c>
      <c r="B299" t="s">
        <v>1636</v>
      </c>
    </row>
    <row r="300" spans="1:2">
      <c r="A300" t="s">
        <v>298</v>
      </c>
      <c r="B300" t="s">
        <v>1628</v>
      </c>
    </row>
    <row r="301" spans="1:2">
      <c r="A301" t="s">
        <v>298</v>
      </c>
      <c r="B301" t="s">
        <v>1629</v>
      </c>
    </row>
    <row r="302" spans="1:2">
      <c r="A302" t="s">
        <v>298</v>
      </c>
      <c r="B302" t="s">
        <v>1630</v>
      </c>
    </row>
    <row r="303" spans="1:2">
      <c r="A303" t="s">
        <v>298</v>
      </c>
      <c r="B303" t="s">
        <v>1631</v>
      </c>
    </row>
    <row r="304" spans="1:2">
      <c r="A304" t="s">
        <v>298</v>
      </c>
      <c r="B304" t="s">
        <v>1632</v>
      </c>
    </row>
    <row r="305" spans="1:2">
      <c r="A305" t="s">
        <v>298</v>
      </c>
      <c r="B305" t="s">
        <v>1647</v>
      </c>
    </row>
    <row r="306" spans="1:2">
      <c r="A306" t="s">
        <v>298</v>
      </c>
      <c r="B306" t="s">
        <v>1648</v>
      </c>
    </row>
    <row r="307" spans="1:2">
      <c r="A307" t="s">
        <v>298</v>
      </c>
      <c r="B307" t="s">
        <v>1634</v>
      </c>
    </row>
    <row r="308" spans="1:2">
      <c r="A308" t="s">
        <v>298</v>
      </c>
      <c r="B308" t="s">
        <v>1635</v>
      </c>
    </row>
    <row r="309" spans="1:2">
      <c r="A309" t="s">
        <v>298</v>
      </c>
      <c r="B309" t="s">
        <v>1636</v>
      </c>
    </row>
    <row r="310" spans="1:2">
      <c r="A310" t="s">
        <v>298</v>
      </c>
      <c r="B310" t="s">
        <v>1637</v>
      </c>
    </row>
    <row r="311" spans="1:2">
      <c r="A311" t="s">
        <v>298</v>
      </c>
      <c r="B311" t="s">
        <v>1653</v>
      </c>
    </row>
    <row r="312" spans="1:2">
      <c r="A312" t="s">
        <v>298</v>
      </c>
      <c r="B312" t="s">
        <v>1654</v>
      </c>
    </row>
    <row r="313" spans="1:2">
      <c r="A313" t="s">
        <v>298</v>
      </c>
      <c r="B313" t="s">
        <v>1651</v>
      </c>
    </row>
    <row r="314" spans="1:2">
      <c r="A314" t="s">
        <v>298</v>
      </c>
      <c r="B314" t="s">
        <v>1641</v>
      </c>
    </row>
    <row r="315" spans="1:2">
      <c r="A315" t="s">
        <v>298</v>
      </c>
      <c r="B315" t="s">
        <v>1642</v>
      </c>
    </row>
    <row r="316" spans="1:2">
      <c r="A316" t="s">
        <v>298</v>
      </c>
      <c r="B316" t="s">
        <v>1643</v>
      </c>
    </row>
    <row r="317" spans="1:2">
      <c r="A317" t="s">
        <v>298</v>
      </c>
      <c r="B317" t="s">
        <v>1644</v>
      </c>
    </row>
    <row r="318" spans="1:2">
      <c r="A318" t="s">
        <v>298</v>
      </c>
      <c r="B318" t="s">
        <v>1645</v>
      </c>
    </row>
    <row r="319" spans="1:2">
      <c r="A319" t="s">
        <v>298</v>
      </c>
      <c r="B319" t="s">
        <v>1646</v>
      </c>
    </row>
    <row r="320" spans="1:2">
      <c r="A320" t="s">
        <v>298</v>
      </c>
      <c r="B320" t="s">
        <v>1655</v>
      </c>
    </row>
    <row r="321" spans="1:2">
      <c r="A321" t="s">
        <v>301</v>
      </c>
      <c r="B321" t="s">
        <v>1628</v>
      </c>
    </row>
    <row r="322" spans="1:2">
      <c r="A322" t="s">
        <v>301</v>
      </c>
      <c r="B322" t="s">
        <v>1629</v>
      </c>
    </row>
    <row r="323" spans="1:2">
      <c r="A323" t="s">
        <v>301</v>
      </c>
      <c r="B323" t="s">
        <v>1630</v>
      </c>
    </row>
    <row r="324" spans="1:2">
      <c r="A324" t="s">
        <v>301</v>
      </c>
      <c r="B324" t="s">
        <v>1631</v>
      </c>
    </row>
    <row r="325" spans="1:2">
      <c r="A325" t="s">
        <v>301</v>
      </c>
      <c r="B325" t="s">
        <v>1632</v>
      </c>
    </row>
    <row r="326" spans="1:2">
      <c r="A326" t="s">
        <v>301</v>
      </c>
      <c r="B326" t="s">
        <v>1647</v>
      </c>
    </row>
    <row r="327" spans="1:2">
      <c r="A327" t="s">
        <v>301</v>
      </c>
      <c r="B327" t="s">
        <v>1648</v>
      </c>
    </row>
    <row r="328" spans="1:2">
      <c r="A328" t="s">
        <v>301</v>
      </c>
      <c r="B328" t="s">
        <v>1649</v>
      </c>
    </row>
    <row r="329" spans="1:2">
      <c r="A329" t="s">
        <v>301</v>
      </c>
      <c r="B329" t="s">
        <v>1650</v>
      </c>
    </row>
    <row r="330" spans="1:2">
      <c r="A330" t="s">
        <v>301</v>
      </c>
      <c r="B330" t="s">
        <v>1633</v>
      </c>
    </row>
    <row r="331" spans="1:2">
      <c r="A331" t="s">
        <v>301</v>
      </c>
      <c r="B331" t="s">
        <v>1634</v>
      </c>
    </row>
    <row r="332" spans="1:2">
      <c r="A332" t="s">
        <v>301</v>
      </c>
      <c r="B332" t="s">
        <v>1635</v>
      </c>
    </row>
    <row r="333" spans="1:2">
      <c r="A333" t="s">
        <v>301</v>
      </c>
      <c r="B333" t="s">
        <v>1641</v>
      </c>
    </row>
    <row r="334" spans="1:2">
      <c r="A334" t="s">
        <v>301</v>
      </c>
      <c r="B334" t="s">
        <v>1642</v>
      </c>
    </row>
    <row r="335" spans="1:2">
      <c r="A335" t="s">
        <v>301</v>
      </c>
      <c r="B335" t="s">
        <v>1643</v>
      </c>
    </row>
    <row r="336" spans="1:2">
      <c r="A336" t="s">
        <v>301</v>
      </c>
      <c r="B336" t="s">
        <v>1644</v>
      </c>
    </row>
    <row r="337" spans="1:2">
      <c r="A337" t="s">
        <v>301</v>
      </c>
      <c r="B337" t="s">
        <v>1645</v>
      </c>
    </row>
    <row r="338" spans="1:2">
      <c r="A338" t="s">
        <v>301</v>
      </c>
      <c r="B338" t="s">
        <v>1646</v>
      </c>
    </row>
    <row r="339" spans="1:2">
      <c r="A339" t="s">
        <v>301</v>
      </c>
      <c r="B339" t="s">
        <v>1655</v>
      </c>
    </row>
    <row r="340" spans="1:2">
      <c r="A340" t="s">
        <v>301</v>
      </c>
      <c r="B340" t="s">
        <v>1656</v>
      </c>
    </row>
    <row r="341" spans="1:2">
      <c r="A341" t="s">
        <v>301</v>
      </c>
      <c r="B341" t="s">
        <v>1657</v>
      </c>
    </row>
    <row r="342" spans="1:2">
      <c r="A342" t="s">
        <v>302</v>
      </c>
      <c r="B342" t="s">
        <v>1628</v>
      </c>
    </row>
    <row r="343" spans="1:2">
      <c r="A343" t="s">
        <v>302</v>
      </c>
      <c r="B343" t="s">
        <v>1629</v>
      </c>
    </row>
    <row r="344" spans="1:2">
      <c r="A344" t="s">
        <v>302</v>
      </c>
      <c r="B344" t="s">
        <v>1630</v>
      </c>
    </row>
    <row r="345" spans="1:2">
      <c r="A345" t="s">
        <v>302</v>
      </c>
      <c r="B345" t="s">
        <v>1631</v>
      </c>
    </row>
    <row r="346" spans="1:2">
      <c r="A346" t="s">
        <v>302</v>
      </c>
      <c r="B346" t="s">
        <v>1632</v>
      </c>
    </row>
    <row r="347" spans="1:2">
      <c r="A347" t="s">
        <v>302</v>
      </c>
      <c r="B347" t="s">
        <v>1647</v>
      </c>
    </row>
    <row r="348" spans="1:2">
      <c r="A348" t="s">
        <v>302</v>
      </c>
      <c r="B348" t="s">
        <v>1648</v>
      </c>
    </row>
    <row r="349" spans="1:2">
      <c r="A349" t="s">
        <v>302</v>
      </c>
      <c r="B349" t="s">
        <v>1634</v>
      </c>
    </row>
    <row r="350" spans="1:2">
      <c r="A350" t="s">
        <v>302</v>
      </c>
      <c r="B350" t="s">
        <v>1635</v>
      </c>
    </row>
    <row r="351" spans="1:2">
      <c r="A351" t="s">
        <v>302</v>
      </c>
      <c r="B351" t="s">
        <v>1636</v>
      </c>
    </row>
    <row r="352" spans="1:2">
      <c r="A352" t="s">
        <v>302</v>
      </c>
      <c r="B352" t="s">
        <v>1637</v>
      </c>
    </row>
    <row r="353" spans="1:2">
      <c r="A353" t="s">
        <v>302</v>
      </c>
      <c r="B353" t="s">
        <v>1653</v>
      </c>
    </row>
    <row r="354" spans="1:2">
      <c r="A354" t="s">
        <v>302</v>
      </c>
      <c r="B354" t="s">
        <v>1654</v>
      </c>
    </row>
    <row r="355" spans="1:2">
      <c r="A355" t="s">
        <v>302</v>
      </c>
      <c r="B355" t="s">
        <v>1651</v>
      </c>
    </row>
    <row r="356" spans="1:2">
      <c r="A356" t="s">
        <v>302</v>
      </c>
      <c r="B356" t="s">
        <v>1641</v>
      </c>
    </row>
    <row r="357" spans="1:2">
      <c r="A357" t="s">
        <v>302</v>
      </c>
      <c r="B357" t="s">
        <v>1642</v>
      </c>
    </row>
    <row r="358" spans="1:2">
      <c r="A358" t="s">
        <v>302</v>
      </c>
      <c r="B358" t="s">
        <v>1643</v>
      </c>
    </row>
    <row r="359" spans="1:2">
      <c r="A359" t="s">
        <v>302</v>
      </c>
      <c r="B359" t="s">
        <v>1644</v>
      </c>
    </row>
    <row r="360" spans="1:2">
      <c r="A360" t="s">
        <v>302</v>
      </c>
      <c r="B360" t="s">
        <v>1645</v>
      </c>
    </row>
    <row r="361" spans="1:2">
      <c r="A361" t="s">
        <v>302</v>
      </c>
      <c r="B361" t="s">
        <v>1646</v>
      </c>
    </row>
    <row r="362" spans="1:2">
      <c r="A362" t="s">
        <v>302</v>
      </c>
      <c r="B362" t="s">
        <v>1655</v>
      </c>
    </row>
    <row r="363" spans="1:2">
      <c r="A363" t="s">
        <v>304</v>
      </c>
      <c r="B363" t="s">
        <v>1628</v>
      </c>
    </row>
    <row r="364" spans="1:2">
      <c r="A364" t="s">
        <v>304</v>
      </c>
      <c r="B364" t="s">
        <v>1629</v>
      </c>
    </row>
    <row r="365" spans="1:2">
      <c r="A365" t="s">
        <v>304</v>
      </c>
      <c r="B365" t="s">
        <v>1630</v>
      </c>
    </row>
    <row r="366" spans="1:2">
      <c r="A366" t="s">
        <v>304</v>
      </c>
      <c r="B366" t="s">
        <v>1631</v>
      </c>
    </row>
    <row r="367" spans="1:2">
      <c r="A367" t="s">
        <v>304</v>
      </c>
      <c r="B367" t="s">
        <v>1632</v>
      </c>
    </row>
    <row r="368" spans="1:2">
      <c r="A368" t="s">
        <v>304</v>
      </c>
      <c r="B368" t="s">
        <v>1647</v>
      </c>
    </row>
    <row r="369" spans="1:2">
      <c r="A369" t="s">
        <v>304</v>
      </c>
      <c r="B369" t="s">
        <v>1648</v>
      </c>
    </row>
    <row r="370" spans="1:2">
      <c r="A370" t="s">
        <v>304</v>
      </c>
      <c r="B370" t="s">
        <v>1649</v>
      </c>
    </row>
    <row r="371" spans="1:2">
      <c r="A371" t="s">
        <v>304</v>
      </c>
      <c r="B371" t="s">
        <v>1650</v>
      </c>
    </row>
    <row r="372" spans="1:2">
      <c r="A372" t="s">
        <v>304</v>
      </c>
      <c r="B372" t="s">
        <v>1633</v>
      </c>
    </row>
    <row r="373" spans="1:2">
      <c r="A373" t="s">
        <v>304</v>
      </c>
      <c r="B373" t="s">
        <v>1634</v>
      </c>
    </row>
    <row r="374" spans="1:2">
      <c r="A374" t="s">
        <v>304</v>
      </c>
      <c r="B374" t="s">
        <v>1635</v>
      </c>
    </row>
    <row r="375" spans="1:2">
      <c r="A375" t="s">
        <v>304</v>
      </c>
      <c r="B375" t="s">
        <v>1636</v>
      </c>
    </row>
    <row r="376" spans="1:2">
      <c r="A376" t="s">
        <v>304</v>
      </c>
      <c r="B376" t="s">
        <v>1637</v>
      </c>
    </row>
    <row r="377" spans="1:2">
      <c r="A377" t="s">
        <v>304</v>
      </c>
      <c r="B377" t="s">
        <v>1653</v>
      </c>
    </row>
    <row r="378" spans="1:2">
      <c r="A378" t="s">
        <v>304</v>
      </c>
      <c r="B378" t="s">
        <v>1641</v>
      </c>
    </row>
    <row r="379" spans="1:2">
      <c r="A379" t="s">
        <v>304</v>
      </c>
      <c r="B379" t="s">
        <v>1642</v>
      </c>
    </row>
    <row r="380" spans="1:2">
      <c r="A380" t="s">
        <v>304</v>
      </c>
      <c r="B380" t="s">
        <v>1643</v>
      </c>
    </row>
    <row r="381" spans="1:2">
      <c r="A381" t="s">
        <v>304</v>
      </c>
      <c r="B381" t="s">
        <v>1644</v>
      </c>
    </row>
    <row r="382" spans="1:2">
      <c r="A382" t="s">
        <v>304</v>
      </c>
      <c r="B382" t="s">
        <v>1645</v>
      </c>
    </row>
    <row r="383" spans="1:2">
      <c r="A383" t="s">
        <v>304</v>
      </c>
      <c r="B383" t="s">
        <v>1646</v>
      </c>
    </row>
    <row r="384" spans="1:2">
      <c r="A384" t="s">
        <v>306</v>
      </c>
      <c r="B384" t="s">
        <v>1628</v>
      </c>
    </row>
    <row r="385" spans="1:2">
      <c r="A385" t="s">
        <v>306</v>
      </c>
      <c r="B385" t="s">
        <v>1629</v>
      </c>
    </row>
    <row r="386" spans="1:2">
      <c r="A386" t="s">
        <v>306</v>
      </c>
      <c r="B386" t="s">
        <v>1630</v>
      </c>
    </row>
    <row r="387" spans="1:2">
      <c r="A387" t="s">
        <v>306</v>
      </c>
      <c r="B387" t="s">
        <v>1631</v>
      </c>
    </row>
    <row r="388" spans="1:2">
      <c r="A388" t="s">
        <v>306</v>
      </c>
      <c r="B388" t="s">
        <v>1632</v>
      </c>
    </row>
    <row r="389" spans="1:2">
      <c r="A389" t="s">
        <v>306</v>
      </c>
      <c r="B389" t="s">
        <v>1647</v>
      </c>
    </row>
    <row r="390" spans="1:2">
      <c r="A390" t="s">
        <v>306</v>
      </c>
      <c r="B390" t="s">
        <v>1648</v>
      </c>
    </row>
    <row r="391" spans="1:2">
      <c r="A391" t="s">
        <v>306</v>
      </c>
      <c r="B391" t="s">
        <v>1649</v>
      </c>
    </row>
    <row r="392" spans="1:2">
      <c r="A392" t="s">
        <v>306</v>
      </c>
      <c r="B392" t="s">
        <v>1650</v>
      </c>
    </row>
    <row r="393" spans="1:2">
      <c r="A393" t="s">
        <v>306</v>
      </c>
      <c r="B393" t="s">
        <v>1633</v>
      </c>
    </row>
    <row r="394" spans="1:2">
      <c r="A394" t="s">
        <v>306</v>
      </c>
      <c r="B394" t="s">
        <v>1634</v>
      </c>
    </row>
    <row r="395" spans="1:2">
      <c r="A395" t="s">
        <v>306</v>
      </c>
      <c r="B395" t="s">
        <v>1635</v>
      </c>
    </row>
    <row r="396" spans="1:2">
      <c r="A396" t="s">
        <v>306</v>
      </c>
      <c r="B396" t="s">
        <v>1636</v>
      </c>
    </row>
    <row r="397" spans="1:2">
      <c r="A397" t="s">
        <v>306</v>
      </c>
      <c r="B397" t="s">
        <v>1637</v>
      </c>
    </row>
    <row r="398" spans="1:2">
      <c r="A398" t="s">
        <v>309</v>
      </c>
      <c r="B398" t="s">
        <v>1628</v>
      </c>
    </row>
    <row r="399" spans="1:2">
      <c r="A399" t="s">
        <v>309</v>
      </c>
      <c r="B399" t="s">
        <v>1629</v>
      </c>
    </row>
    <row r="400" spans="1:2">
      <c r="A400" t="s">
        <v>309</v>
      </c>
      <c r="B400" t="s">
        <v>1630</v>
      </c>
    </row>
    <row r="401" spans="1:2">
      <c r="A401" t="s">
        <v>309</v>
      </c>
      <c r="B401" t="s">
        <v>1631</v>
      </c>
    </row>
    <row r="402" spans="1:2">
      <c r="A402" t="s">
        <v>309</v>
      </c>
      <c r="B402" t="s">
        <v>1632</v>
      </c>
    </row>
    <row r="403" spans="1:2">
      <c r="A403" t="s">
        <v>309</v>
      </c>
      <c r="B403" t="s">
        <v>1647</v>
      </c>
    </row>
    <row r="404" spans="1:2">
      <c r="A404" t="s">
        <v>309</v>
      </c>
      <c r="B404" t="s">
        <v>1648</v>
      </c>
    </row>
    <row r="405" spans="1:2">
      <c r="A405" t="s">
        <v>309</v>
      </c>
      <c r="B405" t="s">
        <v>1649</v>
      </c>
    </row>
    <row r="406" spans="1:2">
      <c r="A406" t="s">
        <v>309</v>
      </c>
      <c r="B406" t="s">
        <v>1650</v>
      </c>
    </row>
    <row r="407" spans="1:2">
      <c r="A407" t="s">
        <v>309</v>
      </c>
      <c r="B407" t="s">
        <v>1633</v>
      </c>
    </row>
    <row r="408" spans="1:2">
      <c r="A408" t="s">
        <v>309</v>
      </c>
      <c r="B408" t="s">
        <v>1634</v>
      </c>
    </row>
    <row r="409" spans="1:2">
      <c r="A409" t="s">
        <v>309</v>
      </c>
      <c r="B409" t="s">
        <v>1635</v>
      </c>
    </row>
    <row r="410" spans="1:2">
      <c r="A410" t="s">
        <v>309</v>
      </c>
      <c r="B410" t="s">
        <v>1636</v>
      </c>
    </row>
    <row r="411" spans="1:2">
      <c r="A411" t="s">
        <v>309</v>
      </c>
      <c r="B411" t="s">
        <v>1637</v>
      </c>
    </row>
    <row r="412" spans="1:2">
      <c r="A412" t="s">
        <v>315</v>
      </c>
      <c r="B412" t="s">
        <v>1628</v>
      </c>
    </row>
    <row r="413" spans="1:2">
      <c r="A413" t="s">
        <v>315</v>
      </c>
      <c r="B413" t="s">
        <v>1629</v>
      </c>
    </row>
    <row r="414" spans="1:2">
      <c r="A414" t="s">
        <v>315</v>
      </c>
      <c r="B414" t="s">
        <v>1630</v>
      </c>
    </row>
    <row r="415" spans="1:2">
      <c r="A415" t="s">
        <v>315</v>
      </c>
      <c r="B415" t="s">
        <v>1631</v>
      </c>
    </row>
    <row r="416" spans="1:2">
      <c r="A416" t="s">
        <v>315</v>
      </c>
      <c r="B416" t="s">
        <v>1632</v>
      </c>
    </row>
    <row r="417" spans="1:2">
      <c r="A417" t="s">
        <v>315</v>
      </c>
      <c r="B417" t="s">
        <v>1647</v>
      </c>
    </row>
    <row r="418" spans="1:2">
      <c r="A418" t="s">
        <v>315</v>
      </c>
      <c r="B418" t="s">
        <v>1648</v>
      </c>
    </row>
    <row r="419" spans="1:2">
      <c r="A419" t="s">
        <v>315</v>
      </c>
      <c r="B419" t="s">
        <v>1649</v>
      </c>
    </row>
    <row r="420" spans="1:2">
      <c r="A420" t="s">
        <v>315</v>
      </c>
      <c r="B420" t="s">
        <v>1650</v>
      </c>
    </row>
    <row r="421" spans="1:2">
      <c r="A421" t="s">
        <v>315</v>
      </c>
      <c r="B421" t="s">
        <v>1633</v>
      </c>
    </row>
    <row r="422" spans="1:2">
      <c r="A422" t="s">
        <v>315</v>
      </c>
      <c r="B422" t="s">
        <v>1634</v>
      </c>
    </row>
    <row r="423" spans="1:2">
      <c r="A423" t="s">
        <v>315</v>
      </c>
      <c r="B423" t="s">
        <v>1635</v>
      </c>
    </row>
    <row r="424" spans="1:2">
      <c r="A424" t="s">
        <v>315</v>
      </c>
      <c r="B424" t="s">
        <v>1636</v>
      </c>
    </row>
    <row r="425" spans="1:2">
      <c r="A425" t="s">
        <v>315</v>
      </c>
      <c r="B425" t="s">
        <v>1637</v>
      </c>
    </row>
    <row r="426" spans="1:2">
      <c r="A426" t="s">
        <v>315</v>
      </c>
      <c r="B426" t="s">
        <v>1653</v>
      </c>
    </row>
    <row r="427" spans="1:2">
      <c r="A427" t="s">
        <v>315</v>
      </c>
      <c r="B427" t="s">
        <v>1654</v>
      </c>
    </row>
    <row r="428" spans="1:2">
      <c r="A428" t="s">
        <v>315</v>
      </c>
      <c r="B428" t="s">
        <v>1651</v>
      </c>
    </row>
    <row r="429" spans="1:2">
      <c r="A429" t="s">
        <v>315</v>
      </c>
      <c r="B429" t="s">
        <v>1638</v>
      </c>
    </row>
    <row r="430" spans="1:2">
      <c r="A430" t="s">
        <v>315</v>
      </c>
      <c r="B430" t="s">
        <v>1639</v>
      </c>
    </row>
    <row r="431" spans="1:2">
      <c r="A431" t="s">
        <v>315</v>
      </c>
      <c r="B431" t="s">
        <v>1640</v>
      </c>
    </row>
    <row r="432" spans="1:2">
      <c r="A432" t="s">
        <v>315</v>
      </c>
      <c r="B432" t="s">
        <v>1641</v>
      </c>
    </row>
    <row r="433" spans="1:2">
      <c r="A433" t="s">
        <v>315</v>
      </c>
      <c r="B433" t="s">
        <v>1642</v>
      </c>
    </row>
    <row r="434" spans="1:2">
      <c r="A434" t="s">
        <v>315</v>
      </c>
      <c r="B434" t="s">
        <v>1643</v>
      </c>
    </row>
    <row r="435" spans="1:2">
      <c r="A435" t="s">
        <v>315</v>
      </c>
      <c r="B435" t="s">
        <v>1644</v>
      </c>
    </row>
    <row r="436" spans="1:2">
      <c r="A436" t="s">
        <v>316</v>
      </c>
      <c r="B436" t="s">
        <v>1628</v>
      </c>
    </row>
    <row r="437" spans="1:2">
      <c r="A437" t="s">
        <v>316</v>
      </c>
      <c r="B437" t="s">
        <v>1629</v>
      </c>
    </row>
    <row r="438" spans="1:2">
      <c r="A438" t="s">
        <v>316</v>
      </c>
      <c r="B438" t="s">
        <v>1630</v>
      </c>
    </row>
    <row r="439" spans="1:2">
      <c r="A439" t="s">
        <v>316</v>
      </c>
      <c r="B439" t="s">
        <v>1631</v>
      </c>
    </row>
    <row r="440" spans="1:2">
      <c r="A440" t="s">
        <v>316</v>
      </c>
      <c r="B440" t="s">
        <v>1632</v>
      </c>
    </row>
    <row r="441" spans="1:2">
      <c r="A441" t="s">
        <v>316</v>
      </c>
      <c r="B441" t="s">
        <v>1647</v>
      </c>
    </row>
    <row r="442" spans="1:2">
      <c r="A442" t="s">
        <v>316</v>
      </c>
      <c r="B442" t="s">
        <v>1648</v>
      </c>
    </row>
    <row r="443" spans="1:2">
      <c r="A443" t="s">
        <v>316</v>
      </c>
      <c r="B443" t="s">
        <v>1649</v>
      </c>
    </row>
    <row r="444" spans="1:2">
      <c r="A444" t="s">
        <v>316</v>
      </c>
      <c r="B444" t="s">
        <v>1650</v>
      </c>
    </row>
    <row r="445" spans="1:2">
      <c r="A445" t="s">
        <v>316</v>
      </c>
      <c r="B445" t="s">
        <v>1633</v>
      </c>
    </row>
    <row r="446" spans="1:2">
      <c r="A446" t="s">
        <v>316</v>
      </c>
      <c r="B446" t="s">
        <v>1634</v>
      </c>
    </row>
    <row r="447" spans="1:2">
      <c r="A447" t="s">
        <v>316</v>
      </c>
      <c r="B447" t="s">
        <v>1635</v>
      </c>
    </row>
    <row r="448" spans="1:2">
      <c r="A448" t="s">
        <v>316</v>
      </c>
      <c r="B448" t="s">
        <v>1636</v>
      </c>
    </row>
    <row r="449" spans="1:2">
      <c r="A449" t="s">
        <v>316</v>
      </c>
      <c r="B449" t="s">
        <v>1637</v>
      </c>
    </row>
    <row r="450" spans="1:2">
      <c r="A450" t="s">
        <v>316</v>
      </c>
      <c r="B450" t="s">
        <v>1653</v>
      </c>
    </row>
    <row r="451" spans="1:2">
      <c r="A451" t="s">
        <v>316</v>
      </c>
      <c r="B451" t="s">
        <v>1654</v>
      </c>
    </row>
    <row r="452" spans="1:2">
      <c r="A452" t="s">
        <v>316</v>
      </c>
      <c r="B452" t="s">
        <v>1651</v>
      </c>
    </row>
    <row r="453" spans="1:2">
      <c r="A453" t="s">
        <v>316</v>
      </c>
      <c r="B453" t="s">
        <v>1638</v>
      </c>
    </row>
    <row r="454" spans="1:2">
      <c r="A454" t="s">
        <v>316</v>
      </c>
      <c r="B454" t="s">
        <v>1639</v>
      </c>
    </row>
    <row r="455" spans="1:2">
      <c r="A455" t="s">
        <v>316</v>
      </c>
      <c r="B455" t="s">
        <v>1640</v>
      </c>
    </row>
    <row r="456" spans="1:2">
      <c r="A456" t="s">
        <v>316</v>
      </c>
      <c r="B456" t="s">
        <v>1641</v>
      </c>
    </row>
    <row r="457" spans="1:2">
      <c r="A457" t="s">
        <v>316</v>
      </c>
      <c r="B457" t="s">
        <v>1642</v>
      </c>
    </row>
    <row r="458" spans="1:2">
      <c r="A458" t="s">
        <v>316</v>
      </c>
      <c r="B458" t="s">
        <v>1643</v>
      </c>
    </row>
    <row r="459" spans="1:2">
      <c r="A459" t="s">
        <v>316</v>
      </c>
      <c r="B459" t="s">
        <v>1644</v>
      </c>
    </row>
    <row r="460" spans="1:2">
      <c r="A460" t="s">
        <v>318</v>
      </c>
      <c r="B460" t="s">
        <v>1628</v>
      </c>
    </row>
    <row r="461" spans="1:2">
      <c r="A461" t="s">
        <v>318</v>
      </c>
      <c r="B461" t="s">
        <v>1629</v>
      </c>
    </row>
    <row r="462" spans="1:2">
      <c r="A462" t="s">
        <v>318</v>
      </c>
      <c r="B462" t="s">
        <v>1630</v>
      </c>
    </row>
    <row r="463" spans="1:2">
      <c r="A463" t="s">
        <v>318</v>
      </c>
      <c r="B463" t="s">
        <v>1631</v>
      </c>
    </row>
    <row r="464" spans="1:2">
      <c r="A464" t="s">
        <v>318</v>
      </c>
      <c r="B464" t="s">
        <v>1632</v>
      </c>
    </row>
    <row r="465" spans="1:2">
      <c r="A465" t="s">
        <v>318</v>
      </c>
      <c r="B465" t="s">
        <v>1647</v>
      </c>
    </row>
    <row r="466" spans="1:2">
      <c r="A466" t="s">
        <v>318</v>
      </c>
      <c r="B466" t="s">
        <v>1648</v>
      </c>
    </row>
    <row r="467" spans="1:2">
      <c r="A467" t="s">
        <v>318</v>
      </c>
      <c r="B467" t="s">
        <v>1649</v>
      </c>
    </row>
    <row r="468" spans="1:2">
      <c r="A468" t="s">
        <v>318</v>
      </c>
      <c r="B468" t="s">
        <v>1650</v>
      </c>
    </row>
    <row r="469" spans="1:2">
      <c r="A469" t="s">
        <v>318</v>
      </c>
      <c r="B469" t="s">
        <v>1634</v>
      </c>
    </row>
    <row r="470" spans="1:2">
      <c r="A470" t="s">
        <v>318</v>
      </c>
      <c r="B470" t="s">
        <v>1635</v>
      </c>
    </row>
    <row r="471" spans="1:2">
      <c r="A471" t="s">
        <v>318</v>
      </c>
      <c r="B471" t="s">
        <v>1636</v>
      </c>
    </row>
    <row r="472" spans="1:2">
      <c r="A472" t="s">
        <v>318</v>
      </c>
      <c r="B472" t="s">
        <v>1637</v>
      </c>
    </row>
    <row r="473" spans="1:2">
      <c r="A473" t="s">
        <v>318</v>
      </c>
      <c r="B473" t="s">
        <v>1653</v>
      </c>
    </row>
    <row r="474" spans="1:2">
      <c r="A474" t="s">
        <v>318</v>
      </c>
      <c r="B474" t="s">
        <v>1654</v>
      </c>
    </row>
    <row r="475" spans="1:2">
      <c r="A475" t="s">
        <v>318</v>
      </c>
      <c r="B475" t="s">
        <v>1651</v>
      </c>
    </row>
    <row r="476" spans="1:2">
      <c r="A476" t="s">
        <v>318</v>
      </c>
      <c r="B476" t="s">
        <v>1638</v>
      </c>
    </row>
    <row r="477" spans="1:2">
      <c r="A477" t="s">
        <v>318</v>
      </c>
      <c r="B477" t="s">
        <v>1639</v>
      </c>
    </row>
    <row r="478" spans="1:2">
      <c r="A478" t="s">
        <v>318</v>
      </c>
      <c r="B478" t="s">
        <v>1641</v>
      </c>
    </row>
    <row r="479" spans="1:2">
      <c r="A479" t="s">
        <v>318</v>
      </c>
      <c r="B479" t="s">
        <v>1642</v>
      </c>
    </row>
    <row r="480" spans="1:2">
      <c r="A480" t="s">
        <v>318</v>
      </c>
      <c r="B480" t="s">
        <v>1643</v>
      </c>
    </row>
    <row r="481" spans="1:2">
      <c r="A481" t="s">
        <v>318</v>
      </c>
      <c r="B481" t="s">
        <v>1644</v>
      </c>
    </row>
    <row r="482" spans="1:2">
      <c r="A482" t="s">
        <v>318</v>
      </c>
      <c r="B482" t="s">
        <v>1645</v>
      </c>
    </row>
    <row r="483" spans="1:2">
      <c r="A483" t="s">
        <v>318</v>
      </c>
      <c r="B483" t="s">
        <v>1646</v>
      </c>
    </row>
    <row r="484" spans="1:2">
      <c r="A484" t="s">
        <v>318</v>
      </c>
      <c r="B484" t="s">
        <v>1655</v>
      </c>
    </row>
    <row r="485" spans="1:2">
      <c r="A485" t="s">
        <v>318</v>
      </c>
      <c r="B485" t="s">
        <v>1656</v>
      </c>
    </row>
    <row r="486" spans="1:2">
      <c r="A486" t="s">
        <v>321</v>
      </c>
      <c r="B486" t="s">
        <v>1628</v>
      </c>
    </row>
    <row r="487" spans="1:2">
      <c r="A487" t="s">
        <v>321</v>
      </c>
      <c r="B487" t="s">
        <v>1629</v>
      </c>
    </row>
    <row r="488" spans="1:2">
      <c r="A488" t="s">
        <v>321</v>
      </c>
      <c r="B488" t="s">
        <v>1630</v>
      </c>
    </row>
    <row r="489" spans="1:2">
      <c r="A489" t="s">
        <v>321</v>
      </c>
      <c r="B489" t="s">
        <v>1631</v>
      </c>
    </row>
    <row r="490" spans="1:2">
      <c r="A490" t="s">
        <v>321</v>
      </c>
      <c r="B490" t="s">
        <v>1632</v>
      </c>
    </row>
    <row r="491" spans="1:2">
      <c r="A491" t="s">
        <v>321</v>
      </c>
      <c r="B491" t="s">
        <v>1647</v>
      </c>
    </row>
    <row r="492" spans="1:2">
      <c r="A492" t="s">
        <v>321</v>
      </c>
      <c r="B492" t="s">
        <v>1648</v>
      </c>
    </row>
    <row r="493" spans="1:2">
      <c r="A493" t="s">
        <v>321</v>
      </c>
      <c r="B493" t="s">
        <v>1649</v>
      </c>
    </row>
    <row r="494" spans="1:2">
      <c r="A494" t="s">
        <v>321</v>
      </c>
      <c r="B494" t="s">
        <v>1650</v>
      </c>
    </row>
    <row r="495" spans="1:2">
      <c r="A495" t="s">
        <v>321</v>
      </c>
      <c r="B495" t="s">
        <v>1634</v>
      </c>
    </row>
    <row r="496" spans="1:2">
      <c r="A496" t="s">
        <v>321</v>
      </c>
      <c r="B496" t="s">
        <v>1635</v>
      </c>
    </row>
    <row r="497" spans="1:2">
      <c r="A497" t="s">
        <v>321</v>
      </c>
      <c r="B497" t="s">
        <v>1636</v>
      </c>
    </row>
    <row r="498" spans="1:2">
      <c r="A498" t="s">
        <v>321</v>
      </c>
      <c r="B498" t="s">
        <v>1637</v>
      </c>
    </row>
    <row r="499" spans="1:2">
      <c r="A499" t="s">
        <v>321</v>
      </c>
      <c r="B499" t="s">
        <v>1653</v>
      </c>
    </row>
    <row r="500" spans="1:2">
      <c r="A500" t="s">
        <v>321</v>
      </c>
      <c r="B500" t="s">
        <v>1654</v>
      </c>
    </row>
    <row r="501" spans="1:2">
      <c r="A501" t="s">
        <v>321</v>
      </c>
      <c r="B501" t="s">
        <v>1651</v>
      </c>
    </row>
    <row r="502" spans="1:2">
      <c r="A502" t="s">
        <v>321</v>
      </c>
      <c r="B502" t="s">
        <v>1638</v>
      </c>
    </row>
    <row r="503" spans="1:2">
      <c r="A503" t="s">
        <v>321</v>
      </c>
      <c r="B503" t="s">
        <v>1641</v>
      </c>
    </row>
    <row r="504" spans="1:2">
      <c r="A504" t="s">
        <v>321</v>
      </c>
      <c r="B504" t="s">
        <v>1642</v>
      </c>
    </row>
    <row r="505" spans="1:2">
      <c r="A505" t="s">
        <v>321</v>
      </c>
      <c r="B505" t="s">
        <v>1643</v>
      </c>
    </row>
    <row r="506" spans="1:2">
      <c r="A506" t="s">
        <v>321</v>
      </c>
      <c r="B506" t="s">
        <v>1644</v>
      </c>
    </row>
    <row r="507" spans="1:2">
      <c r="A507" t="s">
        <v>321</v>
      </c>
      <c r="B507" t="s">
        <v>1645</v>
      </c>
    </row>
    <row r="508" spans="1:2">
      <c r="A508" t="s">
        <v>321</v>
      </c>
      <c r="B508" t="s">
        <v>1646</v>
      </c>
    </row>
    <row r="509" spans="1:2">
      <c r="A509" t="s">
        <v>321</v>
      </c>
      <c r="B509" t="s">
        <v>1655</v>
      </c>
    </row>
    <row r="510" spans="1:2">
      <c r="A510" t="s">
        <v>321</v>
      </c>
      <c r="B510" t="s">
        <v>1656</v>
      </c>
    </row>
    <row r="511" spans="1:2">
      <c r="A511" t="s">
        <v>321</v>
      </c>
      <c r="B511" t="s">
        <v>1657</v>
      </c>
    </row>
    <row r="512" spans="1:2">
      <c r="A512" t="s">
        <v>362</v>
      </c>
      <c r="B512" t="s">
        <v>1628</v>
      </c>
    </row>
    <row r="513" spans="1:2">
      <c r="A513" t="s">
        <v>362</v>
      </c>
      <c r="B513" t="s">
        <v>1629</v>
      </c>
    </row>
    <row r="514" spans="1:2">
      <c r="A514" t="s">
        <v>362</v>
      </c>
      <c r="B514" t="s">
        <v>1630</v>
      </c>
    </row>
    <row r="515" spans="1:2">
      <c r="A515" t="s">
        <v>362</v>
      </c>
      <c r="B515" t="s">
        <v>1631</v>
      </c>
    </row>
    <row r="516" spans="1:2">
      <c r="A516" t="s">
        <v>362</v>
      </c>
      <c r="B516" t="s">
        <v>1632</v>
      </c>
    </row>
    <row r="517" spans="1:2">
      <c r="A517" t="s">
        <v>362</v>
      </c>
      <c r="B517" t="s">
        <v>1647</v>
      </c>
    </row>
    <row r="518" spans="1:2">
      <c r="A518" t="s">
        <v>323</v>
      </c>
      <c r="B518" t="s">
        <v>1628</v>
      </c>
    </row>
    <row r="519" spans="1:2">
      <c r="A519" t="s">
        <v>323</v>
      </c>
      <c r="B519" t="s">
        <v>1629</v>
      </c>
    </row>
    <row r="520" spans="1:2">
      <c r="A520" t="s">
        <v>323</v>
      </c>
      <c r="B520" t="s">
        <v>1630</v>
      </c>
    </row>
    <row r="521" spans="1:2">
      <c r="A521" t="s">
        <v>323</v>
      </c>
      <c r="B521" t="s">
        <v>1631</v>
      </c>
    </row>
    <row r="522" spans="1:2">
      <c r="A522" t="s">
        <v>323</v>
      </c>
      <c r="B522" t="s">
        <v>1632</v>
      </c>
    </row>
    <row r="523" spans="1:2">
      <c r="A523" t="s">
        <v>323</v>
      </c>
      <c r="B523" t="s">
        <v>1647</v>
      </c>
    </row>
    <row r="524" spans="1:2">
      <c r="A524" t="s">
        <v>323</v>
      </c>
      <c r="B524" t="s">
        <v>1648</v>
      </c>
    </row>
    <row r="525" spans="1:2">
      <c r="A525" t="s">
        <v>323</v>
      </c>
      <c r="B525" t="s">
        <v>1634</v>
      </c>
    </row>
    <row r="526" spans="1:2">
      <c r="A526" t="s">
        <v>323</v>
      </c>
      <c r="B526" t="s">
        <v>1635</v>
      </c>
    </row>
    <row r="527" spans="1:2">
      <c r="A527" t="s">
        <v>323</v>
      </c>
      <c r="B527" t="s">
        <v>1636</v>
      </c>
    </row>
    <row r="528" spans="1:2">
      <c r="A528" t="s">
        <v>323</v>
      </c>
      <c r="B528" t="s">
        <v>1637</v>
      </c>
    </row>
    <row r="529" spans="1:2">
      <c r="A529" t="s">
        <v>323</v>
      </c>
      <c r="B529" t="s">
        <v>1653</v>
      </c>
    </row>
    <row r="530" spans="1:2">
      <c r="A530" t="s">
        <v>323</v>
      </c>
      <c r="B530" t="s">
        <v>1654</v>
      </c>
    </row>
    <row r="531" spans="1:2">
      <c r="A531" t="s">
        <v>323</v>
      </c>
      <c r="B531" t="s">
        <v>1651</v>
      </c>
    </row>
    <row r="532" spans="1:2">
      <c r="A532" t="s">
        <v>323</v>
      </c>
      <c r="B532" t="s">
        <v>1641</v>
      </c>
    </row>
    <row r="533" spans="1:2">
      <c r="A533" t="s">
        <v>323</v>
      </c>
      <c r="B533" t="s">
        <v>1642</v>
      </c>
    </row>
    <row r="534" spans="1:2">
      <c r="A534" t="s">
        <v>323</v>
      </c>
      <c r="B534" t="s">
        <v>1643</v>
      </c>
    </row>
    <row r="535" spans="1:2">
      <c r="A535" t="s">
        <v>323</v>
      </c>
      <c r="B535" t="s">
        <v>1644</v>
      </c>
    </row>
    <row r="536" spans="1:2">
      <c r="A536" t="s">
        <v>323</v>
      </c>
      <c r="B536" t="s">
        <v>1645</v>
      </c>
    </row>
    <row r="537" spans="1:2">
      <c r="A537" t="s">
        <v>323</v>
      </c>
      <c r="B537" t="s">
        <v>1646</v>
      </c>
    </row>
    <row r="538" spans="1:2">
      <c r="A538" t="s">
        <v>323</v>
      </c>
      <c r="B538" t="s">
        <v>1655</v>
      </c>
    </row>
    <row r="539" spans="1:2">
      <c r="A539" t="s">
        <v>325</v>
      </c>
      <c r="B539" t="s">
        <v>1628</v>
      </c>
    </row>
    <row r="540" spans="1:2">
      <c r="A540" t="s">
        <v>325</v>
      </c>
      <c r="B540" t="s">
        <v>1629</v>
      </c>
    </row>
    <row r="541" spans="1:2">
      <c r="A541" t="s">
        <v>325</v>
      </c>
      <c r="B541" t="s">
        <v>1630</v>
      </c>
    </row>
    <row r="542" spans="1:2">
      <c r="A542" t="s">
        <v>325</v>
      </c>
      <c r="B542" t="s">
        <v>1631</v>
      </c>
    </row>
    <row r="543" spans="1:2">
      <c r="A543" t="s">
        <v>325</v>
      </c>
      <c r="B543" t="s">
        <v>1632</v>
      </c>
    </row>
    <row r="544" spans="1:2">
      <c r="A544" t="s">
        <v>325</v>
      </c>
      <c r="B544" t="s">
        <v>1647</v>
      </c>
    </row>
    <row r="545" spans="1:2">
      <c r="A545" t="s">
        <v>325</v>
      </c>
      <c r="B545" t="s">
        <v>1648</v>
      </c>
    </row>
    <row r="546" spans="1:2">
      <c r="A546" t="s">
        <v>325</v>
      </c>
      <c r="B546" t="s">
        <v>1634</v>
      </c>
    </row>
    <row r="547" spans="1:2">
      <c r="A547" t="s">
        <v>325</v>
      </c>
      <c r="B547" t="s">
        <v>1635</v>
      </c>
    </row>
    <row r="548" spans="1:2">
      <c r="A548" t="s">
        <v>325</v>
      </c>
      <c r="B548" t="s">
        <v>1636</v>
      </c>
    </row>
    <row r="549" spans="1:2">
      <c r="A549" t="s">
        <v>325</v>
      </c>
      <c r="B549" t="s">
        <v>1637</v>
      </c>
    </row>
    <row r="550" spans="1:2">
      <c r="A550" t="s">
        <v>325</v>
      </c>
      <c r="B550" t="s">
        <v>1653</v>
      </c>
    </row>
    <row r="551" spans="1:2">
      <c r="A551" t="s">
        <v>325</v>
      </c>
      <c r="B551" t="s">
        <v>1654</v>
      </c>
    </row>
    <row r="552" spans="1:2">
      <c r="A552" t="s">
        <v>325</v>
      </c>
      <c r="B552" t="s">
        <v>1651</v>
      </c>
    </row>
    <row r="553" spans="1:2">
      <c r="A553" t="s">
        <v>325</v>
      </c>
      <c r="B553" t="s">
        <v>1641</v>
      </c>
    </row>
    <row r="554" spans="1:2">
      <c r="A554" t="s">
        <v>325</v>
      </c>
      <c r="B554" t="s">
        <v>1642</v>
      </c>
    </row>
    <row r="555" spans="1:2">
      <c r="A555" t="s">
        <v>325</v>
      </c>
      <c r="B555" t="s">
        <v>1643</v>
      </c>
    </row>
    <row r="556" spans="1:2">
      <c r="A556" t="s">
        <v>325</v>
      </c>
      <c r="B556" t="s">
        <v>1644</v>
      </c>
    </row>
    <row r="557" spans="1:2">
      <c r="A557" t="s">
        <v>325</v>
      </c>
      <c r="B557" t="s">
        <v>1645</v>
      </c>
    </row>
    <row r="558" spans="1:2">
      <c r="A558" t="s">
        <v>325</v>
      </c>
      <c r="B558" t="s">
        <v>1646</v>
      </c>
    </row>
    <row r="559" spans="1:2">
      <c r="A559" t="s">
        <v>325</v>
      </c>
      <c r="B559" t="s">
        <v>1655</v>
      </c>
    </row>
    <row r="560" spans="1:2">
      <c r="A560" t="s">
        <v>326</v>
      </c>
      <c r="B560" t="s">
        <v>1628</v>
      </c>
    </row>
    <row r="561" spans="1:3">
      <c r="A561" t="s">
        <v>326</v>
      </c>
      <c r="B561" t="s">
        <v>1629</v>
      </c>
    </row>
    <row r="562" spans="1:3">
      <c r="A562" t="s">
        <v>326</v>
      </c>
      <c r="B562" t="s">
        <v>1630</v>
      </c>
    </row>
    <row r="563" spans="1:3">
      <c r="A563" t="s">
        <v>326</v>
      </c>
      <c r="B563" t="s">
        <v>1631</v>
      </c>
    </row>
    <row r="564" spans="1:3">
      <c r="A564" t="s">
        <v>326</v>
      </c>
      <c r="B564" t="s">
        <v>1632</v>
      </c>
    </row>
    <row r="565" spans="1:3">
      <c r="A565" t="s">
        <v>326</v>
      </c>
      <c r="B565" t="s">
        <v>1647</v>
      </c>
    </row>
    <row r="566" spans="1:3">
      <c r="A566" t="s">
        <v>326</v>
      </c>
      <c r="B566" t="s">
        <v>1648</v>
      </c>
    </row>
    <row r="567" spans="1:3">
      <c r="A567" t="s">
        <v>326</v>
      </c>
      <c r="B567" t="s">
        <v>1634</v>
      </c>
    </row>
    <row r="568" spans="1:3">
      <c r="A568" t="s">
        <v>326</v>
      </c>
      <c r="B568" t="s">
        <v>1635</v>
      </c>
      <c r="C568" t="s">
        <v>1660</v>
      </c>
    </row>
    <row r="569" spans="1:3">
      <c r="A569" t="s">
        <v>326</v>
      </c>
      <c r="B569" t="s">
        <v>1636</v>
      </c>
    </row>
    <row r="570" spans="1:3">
      <c r="A570" t="s">
        <v>326</v>
      </c>
      <c r="B570" t="s">
        <v>1637</v>
      </c>
    </row>
    <row r="571" spans="1:3">
      <c r="A571" t="s">
        <v>326</v>
      </c>
      <c r="B571" t="s">
        <v>1653</v>
      </c>
    </row>
    <row r="572" spans="1:3">
      <c r="A572" t="s">
        <v>326</v>
      </c>
      <c r="B572" t="s">
        <v>1654</v>
      </c>
    </row>
    <row r="573" spans="1:3">
      <c r="A573" t="s">
        <v>326</v>
      </c>
      <c r="B573" t="s">
        <v>1651</v>
      </c>
      <c r="C573" t="s">
        <v>1660</v>
      </c>
    </row>
    <row r="574" spans="1:3">
      <c r="A574" t="s">
        <v>326</v>
      </c>
      <c r="B574" t="s">
        <v>1641</v>
      </c>
    </row>
    <row r="575" spans="1:3">
      <c r="A575" t="s">
        <v>326</v>
      </c>
      <c r="B575" t="s">
        <v>1642</v>
      </c>
    </row>
    <row r="576" spans="1:3">
      <c r="A576" t="s">
        <v>326</v>
      </c>
      <c r="B576" t="s">
        <v>1643</v>
      </c>
    </row>
    <row r="577" spans="1:3">
      <c r="A577" t="s">
        <v>326</v>
      </c>
      <c r="B577" t="s">
        <v>1644</v>
      </c>
    </row>
    <row r="578" spans="1:3">
      <c r="A578" t="s">
        <v>326</v>
      </c>
      <c r="B578" t="s">
        <v>1645</v>
      </c>
    </row>
    <row r="579" spans="1:3">
      <c r="A579" t="s">
        <v>326</v>
      </c>
      <c r="B579" t="s">
        <v>1646</v>
      </c>
    </row>
    <row r="580" spans="1:3">
      <c r="A580" t="s">
        <v>326</v>
      </c>
      <c r="B580" t="s">
        <v>1655</v>
      </c>
    </row>
    <row r="581" spans="1:3">
      <c r="A581" t="s">
        <v>326</v>
      </c>
      <c r="B581" t="s">
        <v>1656</v>
      </c>
      <c r="C581" t="s">
        <v>1660</v>
      </c>
    </row>
    <row r="582" spans="1:3">
      <c r="A582" t="s">
        <v>327</v>
      </c>
      <c r="B582" t="s">
        <v>1628</v>
      </c>
    </row>
    <row r="583" spans="1:3">
      <c r="A583" t="s">
        <v>327</v>
      </c>
      <c r="B583" t="s">
        <v>1629</v>
      </c>
    </row>
    <row r="584" spans="1:3">
      <c r="A584" t="s">
        <v>327</v>
      </c>
      <c r="B584" t="s">
        <v>1630</v>
      </c>
    </row>
    <row r="585" spans="1:3">
      <c r="A585" t="s">
        <v>327</v>
      </c>
      <c r="B585" t="s">
        <v>1631</v>
      </c>
    </row>
    <row r="586" spans="1:3">
      <c r="A586" t="s">
        <v>327</v>
      </c>
      <c r="B586" t="s">
        <v>1632</v>
      </c>
    </row>
    <row r="587" spans="1:3">
      <c r="A587" t="s">
        <v>327</v>
      </c>
      <c r="B587" t="s">
        <v>1647</v>
      </c>
    </row>
    <row r="588" spans="1:3">
      <c r="A588" t="s">
        <v>327</v>
      </c>
      <c r="B588" t="s">
        <v>1648</v>
      </c>
    </row>
    <row r="589" spans="1:3">
      <c r="A589" t="s">
        <v>327</v>
      </c>
      <c r="B589" t="s">
        <v>1634</v>
      </c>
    </row>
    <row r="590" spans="1:3">
      <c r="A590" t="s">
        <v>327</v>
      </c>
      <c r="B590" t="s">
        <v>1635</v>
      </c>
    </row>
    <row r="591" spans="1:3">
      <c r="A591" t="s">
        <v>327</v>
      </c>
      <c r="B591" t="s">
        <v>1636</v>
      </c>
    </row>
    <row r="592" spans="1:3">
      <c r="A592" t="s">
        <v>327</v>
      </c>
      <c r="B592" t="s">
        <v>1637</v>
      </c>
    </row>
    <row r="593" spans="1:3">
      <c r="A593" t="s">
        <v>327</v>
      </c>
      <c r="B593" t="s">
        <v>1653</v>
      </c>
    </row>
    <row r="594" spans="1:3">
      <c r="A594" t="s">
        <v>327</v>
      </c>
      <c r="B594" t="s">
        <v>1654</v>
      </c>
    </row>
    <row r="595" spans="1:3">
      <c r="A595" t="s">
        <v>327</v>
      </c>
      <c r="B595" t="s">
        <v>1651</v>
      </c>
      <c r="C595" t="s">
        <v>1660</v>
      </c>
    </row>
    <row r="596" spans="1:3">
      <c r="A596" t="s">
        <v>327</v>
      </c>
      <c r="B596" t="s">
        <v>1641</v>
      </c>
    </row>
    <row r="597" spans="1:3">
      <c r="A597" t="s">
        <v>327</v>
      </c>
      <c r="B597" t="s">
        <v>1642</v>
      </c>
    </row>
    <row r="598" spans="1:3">
      <c r="A598" t="s">
        <v>327</v>
      </c>
      <c r="B598" t="s">
        <v>1643</v>
      </c>
    </row>
    <row r="599" spans="1:3">
      <c r="A599" t="s">
        <v>327</v>
      </c>
      <c r="B599" t="s">
        <v>1644</v>
      </c>
    </row>
    <row r="600" spans="1:3">
      <c r="A600" t="s">
        <v>327</v>
      </c>
      <c r="B600" t="s">
        <v>1645</v>
      </c>
    </row>
    <row r="601" spans="1:3">
      <c r="A601" t="s">
        <v>327</v>
      </c>
      <c r="B601" t="s">
        <v>1646</v>
      </c>
    </row>
    <row r="602" spans="1:3">
      <c r="A602" t="s">
        <v>327</v>
      </c>
      <c r="B602" t="s">
        <v>1655</v>
      </c>
      <c r="C602" t="s">
        <v>1660</v>
      </c>
    </row>
    <row r="603" spans="1:3">
      <c r="A603" t="s">
        <v>327</v>
      </c>
      <c r="B603" t="s">
        <v>1656</v>
      </c>
      <c r="C603" t="s">
        <v>1660</v>
      </c>
    </row>
    <row r="604" spans="1:3">
      <c r="A604" t="s">
        <v>328</v>
      </c>
      <c r="B604" t="s">
        <v>1628</v>
      </c>
    </row>
    <row r="605" spans="1:3">
      <c r="A605" t="s">
        <v>328</v>
      </c>
      <c r="B605" t="s">
        <v>1629</v>
      </c>
    </row>
    <row r="606" spans="1:3">
      <c r="A606" t="s">
        <v>328</v>
      </c>
      <c r="B606" t="s">
        <v>1630</v>
      </c>
    </row>
    <row r="607" spans="1:3">
      <c r="A607" t="s">
        <v>328</v>
      </c>
      <c r="B607" t="s">
        <v>1631</v>
      </c>
    </row>
    <row r="608" spans="1:3">
      <c r="A608" t="s">
        <v>328</v>
      </c>
      <c r="B608" t="s">
        <v>1632</v>
      </c>
    </row>
    <row r="609" spans="1:2">
      <c r="A609" t="s">
        <v>328</v>
      </c>
      <c r="B609" t="s">
        <v>1647</v>
      </c>
    </row>
    <row r="610" spans="1:2">
      <c r="A610" t="s">
        <v>328</v>
      </c>
      <c r="B610" t="s">
        <v>1648</v>
      </c>
    </row>
    <row r="611" spans="1:2">
      <c r="A611" t="s">
        <v>328</v>
      </c>
      <c r="B611" t="s">
        <v>1649</v>
      </c>
    </row>
    <row r="612" spans="1:2">
      <c r="A612" t="s">
        <v>328</v>
      </c>
      <c r="B612" t="s">
        <v>1634</v>
      </c>
    </row>
    <row r="613" spans="1:2">
      <c r="A613" t="s">
        <v>328</v>
      </c>
      <c r="B613" t="s">
        <v>1635</v>
      </c>
    </row>
    <row r="614" spans="1:2">
      <c r="A614" t="s">
        <v>328</v>
      </c>
      <c r="B614" t="s">
        <v>1636</v>
      </c>
    </row>
    <row r="615" spans="1:2">
      <c r="A615" t="s">
        <v>328</v>
      </c>
      <c r="B615" t="s">
        <v>1637</v>
      </c>
    </row>
    <row r="616" spans="1:2">
      <c r="A616" t="s">
        <v>328</v>
      </c>
      <c r="B616" t="s">
        <v>1653</v>
      </c>
    </row>
    <row r="617" spans="1:2">
      <c r="A617" t="s">
        <v>328</v>
      </c>
      <c r="B617" t="s">
        <v>1654</v>
      </c>
    </row>
    <row r="618" spans="1:2">
      <c r="A618" t="s">
        <v>328</v>
      </c>
      <c r="B618" t="s">
        <v>1651</v>
      </c>
    </row>
    <row r="619" spans="1:2">
      <c r="A619" t="s">
        <v>328</v>
      </c>
      <c r="B619" t="s">
        <v>1638</v>
      </c>
    </row>
    <row r="620" spans="1:2">
      <c r="A620" t="s">
        <v>328</v>
      </c>
      <c r="B620" t="s">
        <v>1641</v>
      </c>
    </row>
    <row r="621" spans="1:2">
      <c r="A621" t="s">
        <v>328</v>
      </c>
      <c r="B621" t="s">
        <v>1642</v>
      </c>
    </row>
    <row r="622" spans="1:2">
      <c r="A622" t="s">
        <v>328</v>
      </c>
      <c r="B622" t="s">
        <v>1643</v>
      </c>
    </row>
    <row r="623" spans="1:2">
      <c r="A623" t="s">
        <v>328</v>
      </c>
      <c r="B623" t="s">
        <v>1644</v>
      </c>
    </row>
    <row r="624" spans="1:2">
      <c r="A624" t="s">
        <v>328</v>
      </c>
      <c r="B624" t="s">
        <v>1645</v>
      </c>
    </row>
    <row r="625" spans="1:2">
      <c r="A625" t="s">
        <v>328</v>
      </c>
      <c r="B625" t="s">
        <v>1646</v>
      </c>
    </row>
    <row r="626" spans="1:2">
      <c r="A626" t="s">
        <v>328</v>
      </c>
      <c r="B626" t="s">
        <v>1655</v>
      </c>
    </row>
    <row r="627" spans="1:2">
      <c r="A627" t="s">
        <v>328</v>
      </c>
      <c r="B627" t="s">
        <v>1656</v>
      </c>
    </row>
    <row r="628" spans="1:2">
      <c r="A628" t="s">
        <v>328</v>
      </c>
      <c r="B628" t="s">
        <v>1657</v>
      </c>
    </row>
    <row r="629" spans="1:2">
      <c r="A629" t="s">
        <v>329</v>
      </c>
      <c r="B629" t="s">
        <v>1628</v>
      </c>
    </row>
    <row r="630" spans="1:2">
      <c r="A630" t="s">
        <v>329</v>
      </c>
      <c r="B630" t="s">
        <v>1629</v>
      </c>
    </row>
    <row r="631" spans="1:2">
      <c r="A631" t="s">
        <v>329</v>
      </c>
      <c r="B631" t="s">
        <v>1630</v>
      </c>
    </row>
    <row r="632" spans="1:2">
      <c r="A632" t="s">
        <v>329</v>
      </c>
      <c r="B632" t="s">
        <v>1631</v>
      </c>
    </row>
    <row r="633" spans="1:2">
      <c r="A633" t="s">
        <v>329</v>
      </c>
      <c r="B633" t="s">
        <v>1632</v>
      </c>
    </row>
    <row r="634" spans="1:2">
      <c r="A634" t="s">
        <v>329</v>
      </c>
      <c r="B634" t="s">
        <v>1647</v>
      </c>
    </row>
    <row r="635" spans="1:2">
      <c r="A635" t="s">
        <v>329</v>
      </c>
      <c r="B635" t="s">
        <v>1648</v>
      </c>
    </row>
    <row r="636" spans="1:2">
      <c r="A636" t="s">
        <v>329</v>
      </c>
      <c r="B636" t="s">
        <v>1649</v>
      </c>
    </row>
    <row r="637" spans="1:2">
      <c r="A637" t="s">
        <v>329</v>
      </c>
      <c r="B637" t="s">
        <v>1650</v>
      </c>
    </row>
    <row r="638" spans="1:2">
      <c r="A638" t="s">
        <v>329</v>
      </c>
      <c r="B638" t="s">
        <v>1633</v>
      </c>
    </row>
    <row r="639" spans="1:2">
      <c r="A639" t="s">
        <v>329</v>
      </c>
      <c r="B639" t="s">
        <v>1634</v>
      </c>
    </row>
    <row r="640" spans="1:2">
      <c r="A640" t="s">
        <v>329</v>
      </c>
      <c r="B640" t="s">
        <v>1635</v>
      </c>
    </row>
    <row r="641" spans="1:2">
      <c r="A641" t="s">
        <v>329</v>
      </c>
      <c r="B641" t="s">
        <v>1636</v>
      </c>
    </row>
    <row r="642" spans="1:2">
      <c r="A642" t="s">
        <v>329</v>
      </c>
      <c r="B642" t="s">
        <v>1637</v>
      </c>
    </row>
    <row r="643" spans="1:2">
      <c r="A643" t="s">
        <v>329</v>
      </c>
      <c r="B643" t="s">
        <v>1653</v>
      </c>
    </row>
    <row r="644" spans="1:2">
      <c r="A644" t="s">
        <v>329</v>
      </c>
      <c r="B644" t="s">
        <v>1654</v>
      </c>
    </row>
    <row r="645" spans="1:2">
      <c r="A645" t="s">
        <v>329</v>
      </c>
      <c r="B645" t="s">
        <v>1651</v>
      </c>
    </row>
    <row r="646" spans="1:2">
      <c r="A646" t="s">
        <v>329</v>
      </c>
      <c r="B646" t="s">
        <v>1638</v>
      </c>
    </row>
    <row r="647" spans="1:2">
      <c r="A647" t="s">
        <v>329</v>
      </c>
      <c r="B647" t="s">
        <v>1641</v>
      </c>
    </row>
    <row r="648" spans="1:2">
      <c r="A648" t="s">
        <v>329</v>
      </c>
      <c r="B648" t="s">
        <v>1642</v>
      </c>
    </row>
    <row r="649" spans="1:2">
      <c r="A649" t="s">
        <v>329</v>
      </c>
      <c r="B649" t="s">
        <v>1643</v>
      </c>
    </row>
    <row r="650" spans="1:2">
      <c r="A650" t="s">
        <v>329</v>
      </c>
      <c r="B650" t="s">
        <v>1644</v>
      </c>
    </row>
    <row r="651" spans="1:2">
      <c r="A651" t="s">
        <v>329</v>
      </c>
      <c r="B651" t="s">
        <v>1645</v>
      </c>
    </row>
    <row r="652" spans="1:2">
      <c r="A652" t="s">
        <v>329</v>
      </c>
      <c r="B652" t="s">
        <v>1646</v>
      </c>
    </row>
    <row r="653" spans="1:2">
      <c r="A653" t="s">
        <v>329</v>
      </c>
      <c r="B653" t="s">
        <v>1655</v>
      </c>
    </row>
    <row r="654" spans="1:2">
      <c r="A654" t="s">
        <v>364</v>
      </c>
      <c r="B654" t="s">
        <v>1628</v>
      </c>
    </row>
    <row r="655" spans="1:2">
      <c r="A655" t="s">
        <v>364</v>
      </c>
      <c r="B655" t="s">
        <v>1629</v>
      </c>
    </row>
    <row r="656" spans="1:2">
      <c r="A656" t="s">
        <v>364</v>
      </c>
      <c r="B656" t="s">
        <v>1630</v>
      </c>
    </row>
    <row r="657" spans="1:3">
      <c r="A657" t="s">
        <v>364</v>
      </c>
      <c r="B657" t="s">
        <v>1631</v>
      </c>
    </row>
    <row r="658" spans="1:3">
      <c r="A658" t="s">
        <v>364</v>
      </c>
      <c r="B658" t="s">
        <v>1632</v>
      </c>
    </row>
    <row r="659" spans="1:3">
      <c r="A659" t="s">
        <v>364</v>
      </c>
      <c r="B659" t="s">
        <v>1647</v>
      </c>
    </row>
    <row r="660" spans="1:3">
      <c r="A660" t="s">
        <v>366</v>
      </c>
      <c r="B660" t="s">
        <v>1628</v>
      </c>
    </row>
    <row r="661" spans="1:3">
      <c r="A661" t="s">
        <v>366</v>
      </c>
      <c r="B661" t="s">
        <v>1629</v>
      </c>
    </row>
    <row r="662" spans="1:3">
      <c r="A662" t="s">
        <v>366</v>
      </c>
      <c r="B662" t="s">
        <v>1630</v>
      </c>
    </row>
    <row r="663" spans="1:3">
      <c r="A663" t="s">
        <v>366</v>
      </c>
      <c r="B663" t="s">
        <v>1631</v>
      </c>
    </row>
    <row r="664" spans="1:3">
      <c r="A664" t="s">
        <v>366</v>
      </c>
      <c r="B664" t="s">
        <v>1632</v>
      </c>
    </row>
    <row r="665" spans="1:3">
      <c r="A665" t="s">
        <v>366</v>
      </c>
      <c r="B665" t="s">
        <v>1647</v>
      </c>
    </row>
    <row r="666" spans="1:3">
      <c r="A666" t="s">
        <v>366</v>
      </c>
      <c r="B666" t="s">
        <v>1648</v>
      </c>
    </row>
    <row r="667" spans="1:3">
      <c r="A667" t="s">
        <v>366</v>
      </c>
      <c r="B667" t="s">
        <v>1649</v>
      </c>
    </row>
    <row r="668" spans="1:3">
      <c r="A668" t="s">
        <v>366</v>
      </c>
      <c r="B668" t="s">
        <v>1649</v>
      </c>
      <c r="C668" t="s">
        <v>1652</v>
      </c>
    </row>
    <row r="669" spans="1:3">
      <c r="A669" t="s">
        <v>366</v>
      </c>
      <c r="B669" t="s">
        <v>1650</v>
      </c>
      <c r="C669" t="s">
        <v>1652</v>
      </c>
    </row>
    <row r="670" spans="1:3">
      <c r="A670" t="s">
        <v>366</v>
      </c>
      <c r="B670" t="s">
        <v>1634</v>
      </c>
      <c r="C670" t="s">
        <v>1652</v>
      </c>
    </row>
    <row r="671" spans="1:3">
      <c r="A671" t="s">
        <v>366</v>
      </c>
      <c r="B671" t="s">
        <v>1635</v>
      </c>
      <c r="C671" t="s">
        <v>1652</v>
      </c>
    </row>
    <row r="672" spans="1:3">
      <c r="A672" t="s">
        <v>371</v>
      </c>
      <c r="B672" t="s">
        <v>1628</v>
      </c>
    </row>
    <row r="673" spans="1:2">
      <c r="A673" t="s">
        <v>371</v>
      </c>
      <c r="B673" t="s">
        <v>1629</v>
      </c>
    </row>
    <row r="674" spans="1:2">
      <c r="A674" t="s">
        <v>371</v>
      </c>
      <c r="B674" t="s">
        <v>1630</v>
      </c>
    </row>
    <row r="675" spans="1:2">
      <c r="A675" t="s">
        <v>371</v>
      </c>
      <c r="B675" t="s">
        <v>1631</v>
      </c>
    </row>
    <row r="676" spans="1:2">
      <c r="A676" t="s">
        <v>371</v>
      </c>
      <c r="B676" t="s">
        <v>1632</v>
      </c>
    </row>
    <row r="677" spans="1:2">
      <c r="A677" t="s">
        <v>371</v>
      </c>
      <c r="B677" t="s">
        <v>1647</v>
      </c>
    </row>
    <row r="678" spans="1:2">
      <c r="A678" t="s">
        <v>331</v>
      </c>
      <c r="B678" t="s">
        <v>1628</v>
      </c>
    </row>
    <row r="679" spans="1:2">
      <c r="A679" t="s">
        <v>331</v>
      </c>
      <c r="B679" t="s">
        <v>1629</v>
      </c>
    </row>
    <row r="680" spans="1:2">
      <c r="A680" t="s">
        <v>331</v>
      </c>
      <c r="B680" t="s">
        <v>1630</v>
      </c>
    </row>
    <row r="681" spans="1:2">
      <c r="A681" t="s">
        <v>331</v>
      </c>
      <c r="B681" t="s">
        <v>1631</v>
      </c>
    </row>
    <row r="682" spans="1:2">
      <c r="A682" t="s">
        <v>331</v>
      </c>
      <c r="B682" t="s">
        <v>1632</v>
      </c>
    </row>
    <row r="683" spans="1:2">
      <c r="A683" t="s">
        <v>331</v>
      </c>
      <c r="B683" t="s">
        <v>1647</v>
      </c>
    </row>
    <row r="684" spans="1:2">
      <c r="A684" t="s">
        <v>331</v>
      </c>
      <c r="B684" t="s">
        <v>1648</v>
      </c>
    </row>
    <row r="685" spans="1:2">
      <c r="A685" t="s">
        <v>331</v>
      </c>
      <c r="B685" t="s">
        <v>1649</v>
      </c>
    </row>
    <row r="686" spans="1:2">
      <c r="A686" t="s">
        <v>331</v>
      </c>
      <c r="B686" t="s">
        <v>1650</v>
      </c>
    </row>
    <row r="687" spans="1:2">
      <c r="A687" t="s">
        <v>331</v>
      </c>
      <c r="B687" t="s">
        <v>1633</v>
      </c>
    </row>
    <row r="688" spans="1:2">
      <c r="A688" t="s">
        <v>331</v>
      </c>
      <c r="B688" t="s">
        <v>1634</v>
      </c>
    </row>
    <row r="689" spans="1:2">
      <c r="A689" t="s">
        <v>331</v>
      </c>
      <c r="B689" t="s">
        <v>1635</v>
      </c>
    </row>
    <row r="690" spans="1:2">
      <c r="A690" t="s">
        <v>331</v>
      </c>
      <c r="B690" t="s">
        <v>1636</v>
      </c>
    </row>
    <row r="691" spans="1:2">
      <c r="A691" t="s">
        <v>331</v>
      </c>
      <c r="B691" t="s">
        <v>1637</v>
      </c>
    </row>
    <row r="692" spans="1:2">
      <c r="A692" t="s">
        <v>331</v>
      </c>
      <c r="B692" t="s">
        <v>1653</v>
      </c>
    </row>
    <row r="693" spans="1:2">
      <c r="A693" t="s">
        <v>331</v>
      </c>
      <c r="B693" t="s">
        <v>1654</v>
      </c>
    </row>
    <row r="694" spans="1:2">
      <c r="A694" t="s">
        <v>331</v>
      </c>
      <c r="B694" t="s">
        <v>1651</v>
      </c>
    </row>
    <row r="695" spans="1:2">
      <c r="A695" t="s">
        <v>331</v>
      </c>
      <c r="B695" t="s">
        <v>1638</v>
      </c>
    </row>
    <row r="696" spans="1:2">
      <c r="A696" t="s">
        <v>331</v>
      </c>
      <c r="B696" t="s">
        <v>1639</v>
      </c>
    </row>
    <row r="697" spans="1:2">
      <c r="A697" t="s">
        <v>331</v>
      </c>
      <c r="B697" t="s">
        <v>1640</v>
      </c>
    </row>
    <row r="698" spans="1:2">
      <c r="A698" t="s">
        <v>331</v>
      </c>
      <c r="B698" t="s">
        <v>1641</v>
      </c>
    </row>
    <row r="699" spans="1:2">
      <c r="A699" t="s">
        <v>331</v>
      </c>
      <c r="B699" t="s">
        <v>1642</v>
      </c>
    </row>
    <row r="700" spans="1:2">
      <c r="A700" t="s">
        <v>331</v>
      </c>
      <c r="B700" t="s">
        <v>1643</v>
      </c>
    </row>
    <row r="701" spans="1:2">
      <c r="A701" t="s">
        <v>331</v>
      </c>
      <c r="B701" t="s">
        <v>1644</v>
      </c>
    </row>
    <row r="702" spans="1:2">
      <c r="A702" t="s">
        <v>331</v>
      </c>
      <c r="B702" t="s">
        <v>1645</v>
      </c>
    </row>
    <row r="703" spans="1:2">
      <c r="A703" t="s">
        <v>331</v>
      </c>
      <c r="B703" t="s">
        <v>1646</v>
      </c>
    </row>
    <row r="704" spans="1:2">
      <c r="A704" t="s">
        <v>334</v>
      </c>
      <c r="B704" t="s">
        <v>1628</v>
      </c>
    </row>
    <row r="705" spans="1:2">
      <c r="A705" t="s">
        <v>334</v>
      </c>
      <c r="B705" t="s">
        <v>1629</v>
      </c>
    </row>
    <row r="706" spans="1:2">
      <c r="A706" t="s">
        <v>334</v>
      </c>
      <c r="B706" t="s">
        <v>1630</v>
      </c>
    </row>
    <row r="707" spans="1:2">
      <c r="A707" t="s">
        <v>334</v>
      </c>
      <c r="B707" t="s">
        <v>1631</v>
      </c>
    </row>
    <row r="708" spans="1:2">
      <c r="A708" t="s">
        <v>334</v>
      </c>
      <c r="B708" t="s">
        <v>1632</v>
      </c>
    </row>
    <row r="709" spans="1:2">
      <c r="A709" t="s">
        <v>334</v>
      </c>
      <c r="B709" t="s">
        <v>1647</v>
      </c>
    </row>
    <row r="710" spans="1:2">
      <c r="A710" t="s">
        <v>334</v>
      </c>
      <c r="B710" t="s">
        <v>1648</v>
      </c>
    </row>
    <row r="711" spans="1:2">
      <c r="A711" t="s">
        <v>334</v>
      </c>
      <c r="B711" t="s">
        <v>1649</v>
      </c>
    </row>
    <row r="712" spans="1:2">
      <c r="A712" t="s">
        <v>334</v>
      </c>
      <c r="B712" t="s">
        <v>1650</v>
      </c>
    </row>
    <row r="713" spans="1:2">
      <c r="A713" t="s">
        <v>334</v>
      </c>
      <c r="B713" t="s">
        <v>1633</v>
      </c>
    </row>
    <row r="714" spans="1:2">
      <c r="A714" t="s">
        <v>334</v>
      </c>
      <c r="B714" t="s">
        <v>1634</v>
      </c>
    </row>
    <row r="715" spans="1:2">
      <c r="A715" t="s">
        <v>334</v>
      </c>
      <c r="B715" t="s">
        <v>1635</v>
      </c>
    </row>
    <row r="716" spans="1:2">
      <c r="A716" t="s">
        <v>334</v>
      </c>
      <c r="B716" t="s">
        <v>1636</v>
      </c>
    </row>
    <row r="717" spans="1:2">
      <c r="A717" t="s">
        <v>334</v>
      </c>
      <c r="B717" t="s">
        <v>1637</v>
      </c>
    </row>
    <row r="718" spans="1:2">
      <c r="A718" t="s">
        <v>334</v>
      </c>
      <c r="B718" t="s">
        <v>1653</v>
      </c>
    </row>
    <row r="719" spans="1:2">
      <c r="A719" t="s">
        <v>334</v>
      </c>
      <c r="B719" t="s">
        <v>1654</v>
      </c>
    </row>
    <row r="720" spans="1:2">
      <c r="A720" t="s">
        <v>334</v>
      </c>
      <c r="B720" t="s">
        <v>1651</v>
      </c>
    </row>
    <row r="721" spans="1:2">
      <c r="A721" t="s">
        <v>334</v>
      </c>
      <c r="B721" t="s">
        <v>1638</v>
      </c>
    </row>
    <row r="722" spans="1:2">
      <c r="A722" t="s">
        <v>334</v>
      </c>
      <c r="B722" t="s">
        <v>1639</v>
      </c>
    </row>
    <row r="723" spans="1:2">
      <c r="A723" t="s">
        <v>334</v>
      </c>
      <c r="B723" t="s">
        <v>1640</v>
      </c>
    </row>
    <row r="724" spans="1:2">
      <c r="A724" t="s">
        <v>334</v>
      </c>
      <c r="B724" t="s">
        <v>1641</v>
      </c>
    </row>
    <row r="725" spans="1:2">
      <c r="A725" t="s">
        <v>334</v>
      </c>
      <c r="B725" t="s">
        <v>1642</v>
      </c>
    </row>
    <row r="726" spans="1:2">
      <c r="A726" t="s">
        <v>334</v>
      </c>
      <c r="B726" t="s">
        <v>1643</v>
      </c>
    </row>
    <row r="727" spans="1:2">
      <c r="A727" t="s">
        <v>334</v>
      </c>
      <c r="B727" t="s">
        <v>1644</v>
      </c>
    </row>
    <row r="728" spans="1:2">
      <c r="A728" t="s">
        <v>334</v>
      </c>
      <c r="B728" t="s">
        <v>1645</v>
      </c>
    </row>
    <row r="729" spans="1:2">
      <c r="A729" t="s">
        <v>334</v>
      </c>
      <c r="B729" t="s">
        <v>1646</v>
      </c>
    </row>
    <row r="730" spans="1:2">
      <c r="A730" t="s">
        <v>336</v>
      </c>
      <c r="B730" t="s">
        <v>1628</v>
      </c>
    </row>
    <row r="731" spans="1:2">
      <c r="A731" t="s">
        <v>336</v>
      </c>
      <c r="B731" t="s">
        <v>1629</v>
      </c>
    </row>
    <row r="732" spans="1:2">
      <c r="A732" t="s">
        <v>336</v>
      </c>
      <c r="B732" t="s">
        <v>1630</v>
      </c>
    </row>
    <row r="733" spans="1:2">
      <c r="A733" t="s">
        <v>336</v>
      </c>
      <c r="B733" t="s">
        <v>1631</v>
      </c>
    </row>
    <row r="734" spans="1:2">
      <c r="A734" t="s">
        <v>336</v>
      </c>
      <c r="B734" t="s">
        <v>1632</v>
      </c>
    </row>
    <row r="735" spans="1:2">
      <c r="A735" t="s">
        <v>336</v>
      </c>
      <c r="B735" t="s">
        <v>1647</v>
      </c>
    </row>
    <row r="736" spans="1:2">
      <c r="A736" t="s">
        <v>336</v>
      </c>
      <c r="B736" t="s">
        <v>1649</v>
      </c>
    </row>
    <row r="737" spans="1:2">
      <c r="A737" t="s">
        <v>336</v>
      </c>
      <c r="B737" t="s">
        <v>1650</v>
      </c>
    </row>
    <row r="738" spans="1:2">
      <c r="A738" t="s">
        <v>336</v>
      </c>
      <c r="B738" t="s">
        <v>1633</v>
      </c>
    </row>
    <row r="739" spans="1:2">
      <c r="A739" t="s">
        <v>336</v>
      </c>
      <c r="B739" t="s">
        <v>1634</v>
      </c>
    </row>
    <row r="740" spans="1:2">
      <c r="A740" t="s">
        <v>336</v>
      </c>
      <c r="B740" t="s">
        <v>1635</v>
      </c>
    </row>
    <row r="741" spans="1:2">
      <c r="A741" t="s">
        <v>336</v>
      </c>
      <c r="B741" t="s">
        <v>1636</v>
      </c>
    </row>
    <row r="742" spans="1:2">
      <c r="A742" t="s">
        <v>337</v>
      </c>
      <c r="B742" t="s">
        <v>1628</v>
      </c>
    </row>
    <row r="743" spans="1:2">
      <c r="A743" t="s">
        <v>337</v>
      </c>
      <c r="B743" t="s">
        <v>1629</v>
      </c>
    </row>
    <row r="744" spans="1:2">
      <c r="A744" t="s">
        <v>337</v>
      </c>
      <c r="B744" t="s">
        <v>1630</v>
      </c>
    </row>
    <row r="745" spans="1:2">
      <c r="A745" t="s">
        <v>337</v>
      </c>
      <c r="B745" t="s">
        <v>1631</v>
      </c>
    </row>
    <row r="746" spans="1:2">
      <c r="A746" t="s">
        <v>337</v>
      </c>
      <c r="B746" t="s">
        <v>1632</v>
      </c>
    </row>
    <row r="747" spans="1:2">
      <c r="A747" t="s">
        <v>337</v>
      </c>
      <c r="B747" t="s">
        <v>1647</v>
      </c>
    </row>
    <row r="748" spans="1:2">
      <c r="A748" t="s">
        <v>337</v>
      </c>
      <c r="B748" t="s">
        <v>1649</v>
      </c>
    </row>
    <row r="749" spans="1:2">
      <c r="A749" t="s">
        <v>337</v>
      </c>
      <c r="B749" t="s">
        <v>1650</v>
      </c>
    </row>
    <row r="750" spans="1:2">
      <c r="A750" t="s">
        <v>337</v>
      </c>
      <c r="B750" t="s">
        <v>1633</v>
      </c>
    </row>
    <row r="751" spans="1:2">
      <c r="A751" t="s">
        <v>337</v>
      </c>
      <c r="B751" t="s">
        <v>1634</v>
      </c>
    </row>
    <row r="752" spans="1:2">
      <c r="A752" t="s">
        <v>337</v>
      </c>
      <c r="B752" t="s">
        <v>1635</v>
      </c>
    </row>
    <row r="753" spans="1:2">
      <c r="A753" t="s">
        <v>337</v>
      </c>
      <c r="B753" t="s">
        <v>1636</v>
      </c>
    </row>
    <row r="754" spans="1:2">
      <c r="A754" t="s">
        <v>373</v>
      </c>
      <c r="B754" t="s">
        <v>1628</v>
      </c>
    </row>
    <row r="755" spans="1:2">
      <c r="A755" t="s">
        <v>373</v>
      </c>
      <c r="B755" t="s">
        <v>1629</v>
      </c>
    </row>
    <row r="756" spans="1:2">
      <c r="A756" t="s">
        <v>373</v>
      </c>
      <c r="B756" t="s">
        <v>1630</v>
      </c>
    </row>
    <row r="757" spans="1:2">
      <c r="A757" t="s">
        <v>373</v>
      </c>
      <c r="B757" t="s">
        <v>1631</v>
      </c>
    </row>
    <row r="758" spans="1:2">
      <c r="A758" t="s">
        <v>373</v>
      </c>
      <c r="B758" t="s">
        <v>1632</v>
      </c>
    </row>
    <row r="759" spans="1:2">
      <c r="A759" t="s">
        <v>373</v>
      </c>
      <c r="B759" t="s">
        <v>1647</v>
      </c>
    </row>
    <row r="760" spans="1:2">
      <c r="A760" t="s">
        <v>339</v>
      </c>
      <c r="B760" t="s">
        <v>1628</v>
      </c>
    </row>
    <row r="761" spans="1:2">
      <c r="A761" t="s">
        <v>339</v>
      </c>
      <c r="B761" t="s">
        <v>1629</v>
      </c>
    </row>
    <row r="762" spans="1:2">
      <c r="A762" t="s">
        <v>339</v>
      </c>
      <c r="B762" t="s">
        <v>1630</v>
      </c>
    </row>
    <row r="763" spans="1:2">
      <c r="A763" t="s">
        <v>339</v>
      </c>
      <c r="B763" t="s">
        <v>1631</v>
      </c>
    </row>
    <row r="764" spans="1:2">
      <c r="A764" t="s">
        <v>339</v>
      </c>
      <c r="B764" t="s">
        <v>1632</v>
      </c>
    </row>
    <row r="765" spans="1:2">
      <c r="A765" t="s">
        <v>339</v>
      </c>
      <c r="B765" t="s">
        <v>1647</v>
      </c>
    </row>
    <row r="766" spans="1:2">
      <c r="A766" t="s">
        <v>339</v>
      </c>
      <c r="B766" t="s">
        <v>1649</v>
      </c>
    </row>
    <row r="767" spans="1:2">
      <c r="A767" t="s">
        <v>339</v>
      </c>
      <c r="B767" t="s">
        <v>1650</v>
      </c>
    </row>
    <row r="768" spans="1:2">
      <c r="A768" t="s">
        <v>339</v>
      </c>
      <c r="B768" t="s">
        <v>1633</v>
      </c>
    </row>
    <row r="769" spans="1:2">
      <c r="A769" t="s">
        <v>339</v>
      </c>
      <c r="B769" t="s">
        <v>1634</v>
      </c>
    </row>
    <row r="770" spans="1:2">
      <c r="A770" t="s">
        <v>339</v>
      </c>
      <c r="B770" t="s">
        <v>1635</v>
      </c>
    </row>
    <row r="771" spans="1:2">
      <c r="A771" t="s">
        <v>339</v>
      </c>
      <c r="B771" t="s">
        <v>1636</v>
      </c>
    </row>
    <row r="772" spans="1:2">
      <c r="A772" t="s">
        <v>340</v>
      </c>
      <c r="B772" t="s">
        <v>1628</v>
      </c>
    </row>
    <row r="773" spans="1:2">
      <c r="A773" t="s">
        <v>340</v>
      </c>
      <c r="B773" t="s">
        <v>1629</v>
      </c>
    </row>
    <row r="774" spans="1:2">
      <c r="A774" t="s">
        <v>340</v>
      </c>
      <c r="B774" t="s">
        <v>1630</v>
      </c>
    </row>
    <row r="775" spans="1:2">
      <c r="A775" t="s">
        <v>340</v>
      </c>
      <c r="B775" t="s">
        <v>1631</v>
      </c>
    </row>
    <row r="776" spans="1:2">
      <c r="A776" t="s">
        <v>340</v>
      </c>
      <c r="B776" t="s">
        <v>1632</v>
      </c>
    </row>
    <row r="777" spans="1:2">
      <c r="A777" t="s">
        <v>340</v>
      </c>
      <c r="B777" t="s">
        <v>1647</v>
      </c>
    </row>
    <row r="778" spans="1:2">
      <c r="A778" t="s">
        <v>340</v>
      </c>
      <c r="B778" t="s">
        <v>1649</v>
      </c>
    </row>
    <row r="779" spans="1:2">
      <c r="A779" t="s">
        <v>340</v>
      </c>
      <c r="B779" t="s">
        <v>1650</v>
      </c>
    </row>
    <row r="780" spans="1:2">
      <c r="A780" t="s">
        <v>340</v>
      </c>
      <c r="B780" t="s">
        <v>1633</v>
      </c>
    </row>
    <row r="781" spans="1:2">
      <c r="A781" t="s">
        <v>340</v>
      </c>
      <c r="B781" t="s">
        <v>1634</v>
      </c>
    </row>
    <row r="782" spans="1:2">
      <c r="A782" t="s">
        <v>340</v>
      </c>
      <c r="B782" t="s">
        <v>1635</v>
      </c>
    </row>
    <row r="783" spans="1:2">
      <c r="A783" t="s">
        <v>340</v>
      </c>
      <c r="B783" t="s">
        <v>1636</v>
      </c>
    </row>
    <row r="784" spans="1:2">
      <c r="A784" t="s">
        <v>342</v>
      </c>
      <c r="B784" t="s">
        <v>1628</v>
      </c>
    </row>
    <row r="785" spans="1:2">
      <c r="A785" t="s">
        <v>342</v>
      </c>
      <c r="B785" t="s">
        <v>1629</v>
      </c>
    </row>
    <row r="786" spans="1:2">
      <c r="A786" t="s">
        <v>342</v>
      </c>
      <c r="B786" t="s">
        <v>1630</v>
      </c>
    </row>
    <row r="787" spans="1:2">
      <c r="A787" t="s">
        <v>342</v>
      </c>
      <c r="B787" t="s">
        <v>1631</v>
      </c>
    </row>
    <row r="788" spans="1:2">
      <c r="A788" t="s">
        <v>342</v>
      </c>
      <c r="B788" t="s">
        <v>1632</v>
      </c>
    </row>
    <row r="789" spans="1:2">
      <c r="A789" t="s">
        <v>342</v>
      </c>
      <c r="B789" t="s">
        <v>1647</v>
      </c>
    </row>
    <row r="790" spans="1:2">
      <c r="A790" t="s">
        <v>342</v>
      </c>
      <c r="B790" t="s">
        <v>1649</v>
      </c>
    </row>
    <row r="791" spans="1:2">
      <c r="A791" t="s">
        <v>342</v>
      </c>
      <c r="B791" t="s">
        <v>1650</v>
      </c>
    </row>
    <row r="792" spans="1:2">
      <c r="A792" t="s">
        <v>342</v>
      </c>
      <c r="B792" t="s">
        <v>1633</v>
      </c>
    </row>
    <row r="793" spans="1:2">
      <c r="A793" t="s">
        <v>342</v>
      </c>
      <c r="B793" t="s">
        <v>1634</v>
      </c>
    </row>
    <row r="794" spans="1:2">
      <c r="A794" t="s">
        <v>342</v>
      </c>
      <c r="B794" t="s">
        <v>1635</v>
      </c>
    </row>
    <row r="795" spans="1:2">
      <c r="A795" t="s">
        <v>342</v>
      </c>
      <c r="B795" t="s">
        <v>1636</v>
      </c>
    </row>
    <row r="796" spans="1:2">
      <c r="A796" t="s">
        <v>343</v>
      </c>
      <c r="B796" t="s">
        <v>1628</v>
      </c>
    </row>
    <row r="797" spans="1:2">
      <c r="A797" t="s">
        <v>343</v>
      </c>
      <c r="B797" t="s">
        <v>1629</v>
      </c>
    </row>
    <row r="798" spans="1:2">
      <c r="A798" t="s">
        <v>343</v>
      </c>
      <c r="B798" t="s">
        <v>1630</v>
      </c>
    </row>
    <row r="799" spans="1:2">
      <c r="A799" t="s">
        <v>343</v>
      </c>
      <c r="B799" t="s">
        <v>1631</v>
      </c>
    </row>
    <row r="800" spans="1:2">
      <c r="A800" t="s">
        <v>343</v>
      </c>
      <c r="B800" t="s">
        <v>1632</v>
      </c>
    </row>
    <row r="801" spans="1:3">
      <c r="A801" t="s">
        <v>343</v>
      </c>
      <c r="B801" t="s">
        <v>1647</v>
      </c>
    </row>
    <row r="802" spans="1:3">
      <c r="A802" t="s">
        <v>343</v>
      </c>
      <c r="B802" t="s">
        <v>1649</v>
      </c>
    </row>
    <row r="803" spans="1:3">
      <c r="A803" t="s">
        <v>343</v>
      </c>
      <c r="B803" t="s">
        <v>1650</v>
      </c>
    </row>
    <row r="804" spans="1:3">
      <c r="A804" t="s">
        <v>343</v>
      </c>
      <c r="B804" t="s">
        <v>1633</v>
      </c>
    </row>
    <row r="805" spans="1:3">
      <c r="A805" t="s">
        <v>343</v>
      </c>
      <c r="B805" t="s">
        <v>1634</v>
      </c>
    </row>
    <row r="806" spans="1:3">
      <c r="A806" t="s">
        <v>343</v>
      </c>
      <c r="B806" t="s">
        <v>1635</v>
      </c>
    </row>
    <row r="807" spans="1:3">
      <c r="A807" t="s">
        <v>343</v>
      </c>
      <c r="B807" t="s">
        <v>1636</v>
      </c>
    </row>
    <row r="808" spans="1:3">
      <c r="A808" t="s">
        <v>360</v>
      </c>
      <c r="B808" t="s">
        <v>1628</v>
      </c>
    </row>
    <row r="809" spans="1:3">
      <c r="A809" t="s">
        <v>360</v>
      </c>
      <c r="B809" t="s">
        <v>1629</v>
      </c>
      <c r="C809" t="s">
        <v>1661</v>
      </c>
    </row>
    <row r="810" spans="1:3">
      <c r="A810" t="s">
        <v>360</v>
      </c>
      <c r="B810" t="s">
        <v>1630</v>
      </c>
      <c r="C810" t="s">
        <v>1661</v>
      </c>
    </row>
    <row r="811" spans="1:3">
      <c r="A811" t="s">
        <v>310</v>
      </c>
      <c r="B811" t="s">
        <v>1628</v>
      </c>
    </row>
    <row r="812" spans="1:3">
      <c r="A812" t="s">
        <v>310</v>
      </c>
      <c r="B812" t="s">
        <v>1629</v>
      </c>
    </row>
    <row r="813" spans="1:3">
      <c r="A813" t="s">
        <v>310</v>
      </c>
      <c r="B813" t="s">
        <v>1630</v>
      </c>
    </row>
    <row r="814" spans="1:3">
      <c r="A814" t="s">
        <v>310</v>
      </c>
      <c r="B814" t="s">
        <v>1631</v>
      </c>
    </row>
    <row r="815" spans="1:3">
      <c r="A815" t="s">
        <v>310</v>
      </c>
      <c r="B815" t="s">
        <v>1632</v>
      </c>
    </row>
    <row r="816" spans="1:3">
      <c r="A816" t="s">
        <v>310</v>
      </c>
      <c r="B816" t="s">
        <v>1647</v>
      </c>
    </row>
    <row r="817" spans="1:3">
      <c r="A817" t="s">
        <v>310</v>
      </c>
      <c r="B817" t="s">
        <v>1648</v>
      </c>
    </row>
    <row r="818" spans="1:3">
      <c r="A818" t="s">
        <v>310</v>
      </c>
      <c r="B818" t="s">
        <v>1649</v>
      </c>
    </row>
    <row r="819" spans="1:3">
      <c r="A819" t="s">
        <v>310</v>
      </c>
      <c r="B819" t="s">
        <v>1650</v>
      </c>
    </row>
    <row r="820" spans="1:3">
      <c r="A820" t="s">
        <v>310</v>
      </c>
      <c r="B820" t="s">
        <v>1633</v>
      </c>
    </row>
    <row r="821" spans="1:3">
      <c r="A821" t="s">
        <v>310</v>
      </c>
      <c r="B821" t="s">
        <v>1634</v>
      </c>
    </row>
    <row r="822" spans="1:3">
      <c r="A822" t="s">
        <v>310</v>
      </c>
      <c r="B822" t="s">
        <v>1635</v>
      </c>
    </row>
    <row r="823" spans="1:3">
      <c r="A823" t="s">
        <v>310</v>
      </c>
      <c r="B823" t="s">
        <v>1636</v>
      </c>
    </row>
    <row r="824" spans="1:3">
      <c r="A824" t="s">
        <v>310</v>
      </c>
      <c r="B824" t="s">
        <v>1637</v>
      </c>
    </row>
    <row r="825" spans="1:3">
      <c r="A825" t="s">
        <v>310</v>
      </c>
      <c r="B825" t="s">
        <v>1653</v>
      </c>
      <c r="C825" t="s">
        <v>1652</v>
      </c>
    </row>
    <row r="826" spans="1:3">
      <c r="A826" t="s">
        <v>310</v>
      </c>
      <c r="B826" t="s">
        <v>1654</v>
      </c>
      <c r="C826" t="s">
        <v>1652</v>
      </c>
    </row>
    <row r="827" spans="1:3">
      <c r="A827" t="s">
        <v>312</v>
      </c>
      <c r="B827" t="s">
        <v>1628</v>
      </c>
    </row>
    <row r="828" spans="1:3">
      <c r="A828" t="s">
        <v>312</v>
      </c>
      <c r="B828" t="s">
        <v>1629</v>
      </c>
    </row>
    <row r="829" spans="1:3">
      <c r="A829" t="s">
        <v>312</v>
      </c>
      <c r="B829" t="s">
        <v>1630</v>
      </c>
    </row>
    <row r="830" spans="1:3">
      <c r="A830" t="s">
        <v>312</v>
      </c>
      <c r="B830" t="s">
        <v>1631</v>
      </c>
    </row>
    <row r="831" spans="1:3">
      <c r="A831" t="s">
        <v>312</v>
      </c>
      <c r="B831" t="s">
        <v>1632</v>
      </c>
    </row>
    <row r="832" spans="1:3">
      <c r="A832" t="s">
        <v>312</v>
      </c>
      <c r="B832" t="s">
        <v>1647</v>
      </c>
    </row>
    <row r="833" spans="1:3">
      <c r="A833" t="s">
        <v>312</v>
      </c>
      <c r="B833" t="s">
        <v>1648</v>
      </c>
    </row>
    <row r="834" spans="1:3">
      <c r="A834" t="s">
        <v>312</v>
      </c>
      <c r="B834" t="s">
        <v>1649</v>
      </c>
    </row>
    <row r="835" spans="1:3">
      <c r="A835" t="s">
        <v>312</v>
      </c>
      <c r="B835" t="s">
        <v>1650</v>
      </c>
    </row>
    <row r="836" spans="1:3">
      <c r="A836" t="s">
        <v>312</v>
      </c>
      <c r="B836" t="s">
        <v>1633</v>
      </c>
    </row>
    <row r="837" spans="1:3">
      <c r="A837" t="s">
        <v>312</v>
      </c>
      <c r="B837" t="s">
        <v>1634</v>
      </c>
    </row>
    <row r="838" spans="1:3">
      <c r="A838" t="s">
        <v>312</v>
      </c>
      <c r="B838" t="s">
        <v>1635</v>
      </c>
    </row>
    <row r="839" spans="1:3">
      <c r="A839" t="s">
        <v>312</v>
      </c>
      <c r="B839" t="s">
        <v>1636</v>
      </c>
    </row>
    <row r="840" spans="1:3">
      <c r="A840" t="s">
        <v>312</v>
      </c>
      <c r="B840" t="s">
        <v>1637</v>
      </c>
    </row>
    <row r="841" spans="1:3">
      <c r="A841" t="s">
        <v>312</v>
      </c>
      <c r="B841" t="s">
        <v>1653</v>
      </c>
      <c r="C841" t="s">
        <v>1652</v>
      </c>
    </row>
    <row r="842" spans="1:3">
      <c r="A842" t="s">
        <v>312</v>
      </c>
      <c r="B842" t="s">
        <v>1654</v>
      </c>
      <c r="C842" t="s">
        <v>1652</v>
      </c>
    </row>
    <row r="843" spans="1:3">
      <c r="A843" t="s">
        <v>375</v>
      </c>
      <c r="B843" t="s">
        <v>1628</v>
      </c>
    </row>
    <row r="844" spans="1:3">
      <c r="A844" t="s">
        <v>375</v>
      </c>
      <c r="B844" t="s">
        <v>1629</v>
      </c>
    </row>
    <row r="845" spans="1:3">
      <c r="A845" t="s">
        <v>375</v>
      </c>
      <c r="B845" t="s">
        <v>1630</v>
      </c>
    </row>
  </sheetData>
  <autoFilter ref="A1:C845" xr:uid="{D369B41F-F9B2-49D1-985C-3DC687C61E01}"/>
  <pageMargins left="0.7" right="0.7" top="0.75" bottom="0.75" header="0.3" footer="0.3"/>
  <pageSetup orientation="portrait" r:id="rId1"/>
  <headerFooter>
    <oddFooter>&amp;L&amp;1#&amp;"Calibri"&amp;7&amp;K000000C2 General</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7E63-0A25-424E-8B21-ADEF2EFD9505}">
  <dimension ref="A1:R67"/>
  <sheetViews>
    <sheetView topLeftCell="A27" zoomScale="80" zoomScaleNormal="80" workbookViewId="0">
      <selection activeCell="B51" sqref="B51"/>
    </sheetView>
  </sheetViews>
  <sheetFormatPr defaultRowHeight="10.15"/>
  <cols>
    <col min="1" max="1" width="30.33203125" bestFit="1" customWidth="1"/>
    <col min="2" max="2" width="34.5" bestFit="1" customWidth="1"/>
    <col min="3" max="3" width="32.6640625" bestFit="1" customWidth="1"/>
    <col min="4" max="4" width="25.6640625" customWidth="1"/>
    <col min="5" max="5" width="26.83203125" customWidth="1"/>
    <col min="6" max="6" width="24.33203125" customWidth="1"/>
    <col min="7" max="7" width="19.6640625" customWidth="1"/>
    <col min="8" max="8" width="16.83203125" customWidth="1"/>
    <col min="9" max="12" width="19.1640625" customWidth="1"/>
    <col min="13" max="13" width="15.33203125" customWidth="1"/>
    <col min="16" max="16" width="12.5" customWidth="1"/>
    <col min="17" max="17" width="19.1640625" bestFit="1" customWidth="1"/>
    <col min="18" max="18" width="14.5" bestFit="1" customWidth="1"/>
  </cols>
  <sheetData>
    <row r="1" spans="1:18" ht="18" customHeight="1" thickBot="1">
      <c r="A1" s="1446" t="s">
        <v>1662</v>
      </c>
      <c r="B1" s="1447"/>
      <c r="C1" s="1447"/>
      <c r="D1" s="1448"/>
    </row>
    <row r="2" spans="1:18" ht="10.9" thickBot="1"/>
    <row r="3" spans="1:18" ht="14.45" customHeight="1" thickBot="1">
      <c r="B3" s="1146" t="s">
        <v>1663</v>
      </c>
    </row>
    <row r="4" spans="1:18" ht="18.600000000000001" thickBot="1">
      <c r="A4" s="1106" t="s">
        <v>1664</v>
      </c>
      <c r="B4" s="1147">
        <v>600</v>
      </c>
      <c r="C4" s="813"/>
      <c r="D4" s="813"/>
      <c r="E4" s="813"/>
    </row>
    <row r="5" spans="1:18" ht="13.15" customHeight="1"/>
    <row r="6" spans="1:18" ht="30.6" customHeight="1">
      <c r="A6" s="1458" t="s">
        <v>1665</v>
      </c>
      <c r="B6" s="1458"/>
      <c r="C6" s="1458"/>
      <c r="D6" s="1458"/>
      <c r="E6" s="1458"/>
      <c r="F6" s="1458"/>
      <c r="G6" s="1458"/>
      <c r="H6" s="1458"/>
      <c r="I6" s="1458"/>
      <c r="J6" s="1458"/>
      <c r="K6" s="1458"/>
      <c r="L6" s="1458"/>
      <c r="M6" s="1458"/>
      <c r="N6" s="1458"/>
      <c r="O6" s="1458"/>
      <c r="P6" s="1149"/>
      <c r="Q6" s="1441" t="s">
        <v>1666</v>
      </c>
      <c r="R6" s="1442"/>
    </row>
    <row r="7" spans="1:18" ht="14.45">
      <c r="A7" s="1107"/>
      <c r="B7" s="1108" t="s">
        <v>1667</v>
      </c>
      <c r="C7" s="1108" t="s">
        <v>1668</v>
      </c>
      <c r="D7" s="1109" t="s">
        <v>1669</v>
      </c>
      <c r="E7" s="1144" t="s">
        <v>1670</v>
      </c>
      <c r="F7" s="1144" t="s">
        <v>1671</v>
      </c>
      <c r="G7" s="1108" t="s">
        <v>1672</v>
      </c>
      <c r="H7" s="1108" t="s">
        <v>1673</v>
      </c>
      <c r="I7" s="1108" t="s">
        <v>1674</v>
      </c>
      <c r="J7" s="1108" t="s">
        <v>1675</v>
      </c>
      <c r="K7" s="1108" t="s">
        <v>1676</v>
      </c>
      <c r="L7" s="1108" t="s">
        <v>1677</v>
      </c>
      <c r="M7" s="1108" t="s">
        <v>1678</v>
      </c>
      <c r="N7" s="1154" t="s">
        <v>1515</v>
      </c>
      <c r="O7" s="1163" t="s">
        <v>1679</v>
      </c>
      <c r="P7" s="1150"/>
      <c r="Q7" s="1171" t="s">
        <v>1680</v>
      </c>
      <c r="R7" s="1171" t="s">
        <v>1681</v>
      </c>
    </row>
    <row r="8" spans="1:18" ht="14.45" customHeight="1">
      <c r="A8" s="1110" t="s">
        <v>1682</v>
      </c>
      <c r="B8" s="1111">
        <f>'[7]PDU 1C'!$J$8</f>
        <v>254.91999999999996</v>
      </c>
      <c r="C8" s="1111">
        <f>'[7]PDU 1D'!$J$8</f>
        <v>254.91999999999996</v>
      </c>
      <c r="D8" s="1112">
        <f>'[7]PDU 2C '!$J$8</f>
        <v>308.52</v>
      </c>
      <c r="E8" s="1145">
        <f>'[7]PDU 2D'!$J$8</f>
        <v>308.52</v>
      </c>
      <c r="F8" s="1145">
        <f>'[7]PDU 3C'!$J$8</f>
        <v>0</v>
      </c>
      <c r="G8" s="1143">
        <f>'[7]PDU 3D'!$J$8</f>
        <v>0</v>
      </c>
      <c r="H8" s="1143">
        <f>'[7]PDU 4C'!$J$8</f>
        <v>0</v>
      </c>
      <c r="I8" s="1143">
        <f>'[7]PDU 4D'!$J$8</f>
        <v>0</v>
      </c>
      <c r="J8" s="1143">
        <f>'[7]PDU 6C'!$J$8</f>
        <v>0</v>
      </c>
      <c r="K8" s="1143">
        <f>'[7]PDU 6D'!$J$8</f>
        <v>0</v>
      </c>
      <c r="L8" s="1143">
        <f>'[7]PDU 8C'!$J$8</f>
        <v>0</v>
      </c>
      <c r="M8" s="1143">
        <f>'[7]PDU 8D'!$J$8</f>
        <v>0</v>
      </c>
      <c r="N8" s="1155">
        <f>SUM(B8:M8)</f>
        <v>1126.8799999999999</v>
      </c>
      <c r="O8" s="1156" t="s">
        <v>110</v>
      </c>
      <c r="P8" s="1151"/>
      <c r="Q8" s="1165">
        <v>0.7</v>
      </c>
      <c r="R8" s="1166" t="s">
        <v>110</v>
      </c>
    </row>
    <row r="9" spans="1:18" ht="14.45" customHeight="1">
      <c r="A9" s="1110" t="s">
        <v>1683</v>
      </c>
      <c r="B9" s="1148">
        <f>SUM((B8*230)/1000)</f>
        <v>58.631599999999992</v>
      </c>
      <c r="C9" s="1148">
        <f t="shared" ref="C9:M9" si="0">SUM((C8*230)/1000)</f>
        <v>58.631599999999992</v>
      </c>
      <c r="D9" s="1148">
        <f t="shared" si="0"/>
        <v>70.959599999999995</v>
      </c>
      <c r="E9" s="1148">
        <f t="shared" si="0"/>
        <v>70.959599999999995</v>
      </c>
      <c r="F9" s="1148">
        <f t="shared" si="0"/>
        <v>0</v>
      </c>
      <c r="G9" s="1148">
        <f t="shared" si="0"/>
        <v>0</v>
      </c>
      <c r="H9" s="1148">
        <f t="shared" si="0"/>
        <v>0</v>
      </c>
      <c r="I9" s="1148">
        <f t="shared" si="0"/>
        <v>0</v>
      </c>
      <c r="J9" s="1148">
        <f t="shared" si="0"/>
        <v>0</v>
      </c>
      <c r="K9" s="1148">
        <f t="shared" si="0"/>
        <v>0</v>
      </c>
      <c r="L9" s="1148">
        <f t="shared" si="0"/>
        <v>0</v>
      </c>
      <c r="M9" s="1148">
        <f t="shared" si="0"/>
        <v>0</v>
      </c>
      <c r="N9" s="1111">
        <f>B9+C9+D9+E9+F9+G9+H9+I9+J9+K9+L9+M9</f>
        <v>259.18239999999997</v>
      </c>
      <c r="O9" s="1157">
        <f>N9/B4</f>
        <v>0.43197066666666661</v>
      </c>
      <c r="P9" s="1152"/>
      <c r="Q9" s="1167">
        <v>0.7</v>
      </c>
      <c r="R9" s="1167">
        <v>0.8</v>
      </c>
    </row>
    <row r="10" spans="1:18" ht="14.45" customHeight="1">
      <c r="P10" s="812"/>
      <c r="Q10" s="1168">
        <v>0.8</v>
      </c>
      <c r="R10" s="1168">
        <v>0.9</v>
      </c>
    </row>
    <row r="11" spans="1:18" ht="14.45" customHeight="1">
      <c r="A11" s="1110" t="s">
        <v>1684</v>
      </c>
      <c r="B11" s="1110" t="s">
        <v>1667</v>
      </c>
      <c r="C11" s="1110" t="s">
        <v>1668</v>
      </c>
      <c r="D11" s="1110" t="s">
        <v>1669</v>
      </c>
      <c r="E11" s="1110" t="s">
        <v>1670</v>
      </c>
      <c r="F11" s="1110" t="s">
        <v>1671</v>
      </c>
      <c r="G11" s="1110" t="s">
        <v>1672</v>
      </c>
      <c r="H11" s="1110" t="s">
        <v>1673</v>
      </c>
      <c r="I11" s="1110" t="s">
        <v>1674</v>
      </c>
      <c r="J11" s="1110" t="s">
        <v>1675</v>
      </c>
      <c r="K11" s="1110" t="s">
        <v>1676</v>
      </c>
      <c r="L11" s="1110" t="s">
        <v>1677</v>
      </c>
      <c r="M11" s="1110" t="s">
        <v>1678</v>
      </c>
      <c r="P11" s="1153"/>
      <c r="Q11" s="1169">
        <v>0.9</v>
      </c>
      <c r="R11" s="1169">
        <v>0.99</v>
      </c>
    </row>
    <row r="12" spans="1:18" ht="14.45" customHeight="1">
      <c r="A12" s="1110" t="s">
        <v>1685</v>
      </c>
      <c r="B12" s="1113">
        <f>'[7]PDU 1C'!$J$5</f>
        <v>98.38</v>
      </c>
      <c r="C12" s="1113">
        <f>'[7]PDU 1D'!$J$5</f>
        <v>98.38</v>
      </c>
      <c r="D12" s="1113">
        <f>'[7]PDU 2C '!$J$5</f>
        <v>92.9</v>
      </c>
      <c r="E12" s="1113">
        <f>'[7]PDU 2D'!$J$5</f>
        <v>92.9</v>
      </c>
      <c r="F12" s="1113">
        <f>'[7]PDU 3C'!$J$5</f>
        <v>0</v>
      </c>
      <c r="G12" s="1113">
        <f>'[7]PDU 3D'!$J$5</f>
        <v>0</v>
      </c>
      <c r="H12" s="1113">
        <f>'[7]PDU 4C'!$J$5</f>
        <v>0</v>
      </c>
      <c r="I12" s="1113">
        <f>'[7]PDU 4D'!$J$5</f>
        <v>0</v>
      </c>
      <c r="J12" s="1113">
        <f>'[7]PDU 6C'!$J$5</f>
        <v>0</v>
      </c>
      <c r="K12" s="1113">
        <f>'[7]PDU 6D'!$J$5</f>
        <v>0</v>
      </c>
      <c r="L12" s="1113">
        <f>'[7]PDU 8C'!$J$5</f>
        <v>0</v>
      </c>
      <c r="M12" s="1113">
        <f>'[7]PDU 8D'!$J$5</f>
        <v>0</v>
      </c>
      <c r="Q12" s="1166" t="s">
        <v>110</v>
      </c>
      <c r="R12" s="1170">
        <v>1</v>
      </c>
    </row>
    <row r="13" spans="1:18" ht="14.45" customHeight="1">
      <c r="A13" s="1110" t="s">
        <v>1686</v>
      </c>
      <c r="B13" s="1113">
        <f>'[7]PDU 1C'!$J$6</f>
        <v>78.2</v>
      </c>
      <c r="C13" s="1113">
        <f>'[7]PDU 1D'!$J$6</f>
        <v>78.2</v>
      </c>
      <c r="D13" s="1113">
        <f>'[7]PDU 2C '!$J$6</f>
        <v>109.74</v>
      </c>
      <c r="E13" s="1113">
        <f>'[7]PDU 2D'!$J$6</f>
        <v>109.74</v>
      </c>
      <c r="F13" s="1113">
        <f>'[7]PDU 3C'!$J$6</f>
        <v>0</v>
      </c>
      <c r="G13" s="1113">
        <f>'[7]PDU 3D'!$J$6</f>
        <v>0</v>
      </c>
      <c r="H13" s="1113">
        <f>'[7]PDU 4C'!$J$6</f>
        <v>0</v>
      </c>
      <c r="I13" s="1113">
        <f>'[7]PDU 4D'!$J$6</f>
        <v>0</v>
      </c>
      <c r="J13" s="1113">
        <f>'[7]PDU 6C'!$J$6</f>
        <v>0</v>
      </c>
      <c r="K13" s="1113">
        <f>'[7]PDU 6D'!$J$6</f>
        <v>0</v>
      </c>
      <c r="L13" s="1113">
        <f>'[7]PDU 8C'!$J$6</f>
        <v>0</v>
      </c>
      <c r="M13" s="1113">
        <f>'[7]PDU 8D'!$J$6</f>
        <v>0</v>
      </c>
    </row>
    <row r="14" spans="1:18" ht="14.45" customHeight="1">
      <c r="A14" s="1110" t="s">
        <v>1687</v>
      </c>
      <c r="B14" s="1113">
        <f>'[7]PDU 1C'!$J$7</f>
        <v>78.339999999999989</v>
      </c>
      <c r="C14" s="1113">
        <f>'[7]PDU 1D'!$J$7</f>
        <v>78.339999999999989</v>
      </c>
      <c r="D14" s="1113">
        <f>'[7]PDU 2C '!$J$7</f>
        <v>105.88</v>
      </c>
      <c r="E14" s="1113">
        <f>'[7]PDU 2D'!$J$7</f>
        <v>105.88</v>
      </c>
      <c r="F14" s="1113">
        <f>'[7]PDU 3C'!$J$7</f>
        <v>0</v>
      </c>
      <c r="G14" s="1113">
        <f>'[7]PDU 3D'!$J$7</f>
        <v>0</v>
      </c>
      <c r="H14" s="1113">
        <f>'[7]PDU 4C'!$J$7</f>
        <v>0</v>
      </c>
      <c r="I14" s="1113">
        <f>'[7]PDU 4D'!$J$7</f>
        <v>0</v>
      </c>
      <c r="J14" s="1113">
        <f>'[7]PDU 6C'!$J$7</f>
        <v>0</v>
      </c>
      <c r="K14" s="1113">
        <f>'[7]PDU 6D'!$J$7</f>
        <v>0</v>
      </c>
      <c r="L14" s="1113">
        <f>'[7]PDU 8C'!$J$7</f>
        <v>0</v>
      </c>
      <c r="M14" s="1113">
        <f>'[7]PDU 8D'!$J$7</f>
        <v>0</v>
      </c>
    </row>
    <row r="15" spans="1:18" ht="14.45" customHeight="1">
      <c r="A15" s="813"/>
    </row>
    <row r="16" spans="1:18" ht="14.45" customHeight="1">
      <c r="A16" s="1114"/>
      <c r="B16" s="1110" t="s">
        <v>1667</v>
      </c>
      <c r="C16" s="1110" t="s">
        <v>1668</v>
      </c>
      <c r="D16" s="1110" t="s">
        <v>1669</v>
      </c>
      <c r="E16" s="1110" t="s">
        <v>1670</v>
      </c>
      <c r="F16" s="1110" t="s">
        <v>1671</v>
      </c>
      <c r="G16" s="1110" t="s">
        <v>1672</v>
      </c>
      <c r="H16" s="1110" t="s">
        <v>1673</v>
      </c>
      <c r="I16" s="1110" t="s">
        <v>1674</v>
      </c>
      <c r="J16" s="1110" t="s">
        <v>1675</v>
      </c>
      <c r="K16" s="1110" t="s">
        <v>1676</v>
      </c>
      <c r="L16" s="1110" t="s">
        <v>1677</v>
      </c>
      <c r="M16" s="1110" t="s">
        <v>1678</v>
      </c>
      <c r="N16" s="1158" t="s">
        <v>1515</v>
      </c>
      <c r="O16" s="1160" t="s">
        <v>1679</v>
      </c>
    </row>
    <row r="17" spans="1:15" ht="14.45" customHeight="1">
      <c r="A17" s="1108" t="s">
        <v>1688</v>
      </c>
      <c r="B17" s="1115">
        <f>'[7]PDU 1C'!$K$8</f>
        <v>39.299999999999997</v>
      </c>
      <c r="C17" s="1115">
        <f>'[7]PDU 1D'!$K$8</f>
        <v>35.300000000000004</v>
      </c>
      <c r="D17" s="1116">
        <f>'[7]PDU 2C '!$K$8</f>
        <v>82.199999999999989</v>
      </c>
      <c r="E17" s="1143">
        <f>'[7]PDU 2D'!$K$8</f>
        <v>75.199999999999989</v>
      </c>
      <c r="F17" s="1143">
        <f>'[7]PDU 3C'!$K$8</f>
        <v>0</v>
      </c>
      <c r="G17" s="1143">
        <f>'[7]PDU 3D'!$K$8</f>
        <v>0</v>
      </c>
      <c r="H17" s="1143">
        <f>'[7]PDU 4C'!$K$8</f>
        <v>0</v>
      </c>
      <c r="I17" s="1143">
        <f>'[7]PDU 4D'!$K$8</f>
        <v>0</v>
      </c>
      <c r="J17" s="1143">
        <f>'[7]PDU 6C'!$K$8</f>
        <v>0</v>
      </c>
      <c r="K17" s="1143">
        <f>'[7]PDU 6D'!$K$8</f>
        <v>0</v>
      </c>
      <c r="L17" s="1143">
        <f>'[7]PDU 8C'!$K$8</f>
        <v>0</v>
      </c>
      <c r="M17" s="1143">
        <f>'[7]PDU 8D'!$K$8</f>
        <v>0</v>
      </c>
      <c r="N17" s="1155">
        <f>SUM(B17:E17)</f>
        <v>231.99999999999997</v>
      </c>
      <c r="O17" s="1156" t="s">
        <v>110</v>
      </c>
    </row>
    <row r="18" spans="1:15" ht="14.45" customHeight="1">
      <c r="A18" s="1110" t="s">
        <v>1689</v>
      </c>
      <c r="B18" s="1117">
        <f>SUM((B17*230)/1000)</f>
        <v>9.0389999999999997</v>
      </c>
      <c r="C18" s="1117">
        <f t="shared" ref="C18:M18" si="1">SUM((C17*230)/1000)</f>
        <v>8.1190000000000015</v>
      </c>
      <c r="D18" s="1117">
        <f t="shared" si="1"/>
        <v>18.905999999999995</v>
      </c>
      <c r="E18" s="1117">
        <f t="shared" si="1"/>
        <v>17.295999999999996</v>
      </c>
      <c r="F18" s="1117">
        <f t="shared" si="1"/>
        <v>0</v>
      </c>
      <c r="G18" s="1117">
        <f t="shared" si="1"/>
        <v>0</v>
      </c>
      <c r="H18" s="1117">
        <f t="shared" si="1"/>
        <v>0</v>
      </c>
      <c r="I18" s="1117">
        <f t="shared" si="1"/>
        <v>0</v>
      </c>
      <c r="J18" s="1117">
        <f t="shared" si="1"/>
        <v>0</v>
      </c>
      <c r="K18" s="1117">
        <f t="shared" si="1"/>
        <v>0</v>
      </c>
      <c r="L18" s="1117">
        <f t="shared" si="1"/>
        <v>0</v>
      </c>
      <c r="M18" s="1117">
        <f t="shared" si="1"/>
        <v>0</v>
      </c>
      <c r="N18" s="1117">
        <f>B18+C18+D18+E18</f>
        <v>53.359999999999985</v>
      </c>
      <c r="O18" s="1157">
        <f>N18/B4</f>
        <v>8.8933333333333309E-2</v>
      </c>
    </row>
    <row r="19" spans="1:15" ht="14.45" customHeight="1"/>
    <row r="20" spans="1:15" ht="14.45" customHeight="1">
      <c r="A20" s="1110" t="s">
        <v>1690</v>
      </c>
      <c r="B20" s="1110" t="s">
        <v>1667</v>
      </c>
      <c r="C20" s="1110" t="s">
        <v>1668</v>
      </c>
      <c r="D20" s="1110" t="s">
        <v>1669</v>
      </c>
      <c r="E20" s="1110" t="s">
        <v>1670</v>
      </c>
      <c r="F20" s="1110" t="s">
        <v>1671</v>
      </c>
      <c r="G20" s="1110" t="s">
        <v>1672</v>
      </c>
      <c r="H20" s="1110" t="s">
        <v>1673</v>
      </c>
      <c r="I20" s="1110" t="s">
        <v>1674</v>
      </c>
      <c r="J20" s="1110" t="s">
        <v>1675</v>
      </c>
      <c r="K20" s="1110" t="s">
        <v>1676</v>
      </c>
      <c r="L20" s="1110" t="s">
        <v>1677</v>
      </c>
      <c r="M20" s="1110" t="s">
        <v>1678</v>
      </c>
    </row>
    <row r="21" spans="1:15" ht="14.45" customHeight="1">
      <c r="A21" s="1110" t="s">
        <v>1685</v>
      </c>
      <c r="B21" s="1118">
        <f>'[7]PDU 1C'!$K$5</f>
        <v>15.3</v>
      </c>
      <c r="C21" s="1113">
        <f>'[7]PDU 1D'!$K$5</f>
        <v>13.700000000000001</v>
      </c>
      <c r="D21" s="1113">
        <f>'[7]PDU 2C '!$K$5</f>
        <v>21.7</v>
      </c>
      <c r="E21" s="1113">
        <f>'[7]PDU 2D'!$K$5</f>
        <v>19.799999999999997</v>
      </c>
      <c r="F21" s="1113">
        <f>'[7]PDU 3C'!$K$5</f>
        <v>0</v>
      </c>
      <c r="G21" s="1113">
        <f>'[7]PDU 3D'!$K$5</f>
        <v>0</v>
      </c>
      <c r="H21" s="1113">
        <f>'[7]PDU 4C'!$K$5</f>
        <v>0</v>
      </c>
      <c r="I21" s="1113">
        <f>'[7]PDU 4D'!$K$5</f>
        <v>0</v>
      </c>
      <c r="J21" s="1113">
        <f>'[7]PDU 6C'!$K$5</f>
        <v>0</v>
      </c>
      <c r="K21" s="1113">
        <f>'[7]PDU 6D'!$K$5</f>
        <v>0</v>
      </c>
      <c r="L21" s="1113">
        <f>'[7]PDU 8C'!$K$5</f>
        <v>0</v>
      </c>
      <c r="M21" s="1113">
        <f>'[7]PDU 8D'!$K$5</f>
        <v>0</v>
      </c>
    </row>
    <row r="22" spans="1:15" ht="14.45" customHeight="1">
      <c r="A22" s="1110" t="s">
        <v>1686</v>
      </c>
      <c r="B22" s="1118">
        <f>'[7]PDU 1C'!$K$6</f>
        <v>8</v>
      </c>
      <c r="C22" s="1113">
        <f>'[7]PDU 1D'!$K$6</f>
        <v>7</v>
      </c>
      <c r="D22" s="1113">
        <f>'[7]PDU 2C '!$K$6</f>
        <v>28.499999999999996</v>
      </c>
      <c r="E22" s="1113">
        <f>'[7]PDU 2D'!$K$6</f>
        <v>25.4</v>
      </c>
      <c r="F22" s="1113">
        <f>'[7]PDU 3C'!$K$6</f>
        <v>0</v>
      </c>
      <c r="G22" s="1113">
        <f>'[7]PDU 3D'!$K$6</f>
        <v>0</v>
      </c>
      <c r="H22" s="1113">
        <f>'[7]PDU 4C'!$K$6</f>
        <v>0</v>
      </c>
      <c r="I22" s="1113">
        <f>'[7]PDU 4D'!$K$6</f>
        <v>0</v>
      </c>
      <c r="J22" s="1113">
        <f>'[7]PDU 6C'!$K$6</f>
        <v>0</v>
      </c>
      <c r="K22" s="1113">
        <f>'[7]PDU 6D'!$K$6</f>
        <v>0</v>
      </c>
      <c r="L22" s="1113">
        <f>'[7]PDU 8C'!$K$6</f>
        <v>0</v>
      </c>
      <c r="M22" s="1113">
        <f>'[7]PDU 8D'!$K$6</f>
        <v>0</v>
      </c>
    </row>
    <row r="23" spans="1:15" ht="14.45" customHeight="1">
      <c r="A23" s="1110" t="s">
        <v>1687</v>
      </c>
      <c r="B23" s="1118">
        <f>'[7]PDU 1C'!$K$7</f>
        <v>16</v>
      </c>
      <c r="C23" s="1113">
        <f>'[7]PDU 1D'!$K$7</f>
        <v>14.600000000000001</v>
      </c>
      <c r="D23" s="1113">
        <f>'[7]PDU 2C '!$K$7</f>
        <v>32</v>
      </c>
      <c r="E23" s="1113">
        <f>'[7]PDU 2D'!$K$7</f>
        <v>30</v>
      </c>
      <c r="F23" s="1113">
        <f>'[7]PDU 3C'!$K$7</f>
        <v>0</v>
      </c>
      <c r="G23" s="1113">
        <f>'[7]PDU 3D'!$K$7</f>
        <v>0</v>
      </c>
      <c r="H23" s="1113">
        <f>'[7]PDU 4C'!$K$7</f>
        <v>0</v>
      </c>
      <c r="I23" s="1113">
        <f>'[7]PDU 4D'!$K$7</f>
        <v>0</v>
      </c>
      <c r="J23" s="1113">
        <f>'[7]PDU 6C'!$K$7</f>
        <v>0</v>
      </c>
      <c r="K23" s="1113">
        <f>'[7]PDU 6D'!$K$7</f>
        <v>0</v>
      </c>
      <c r="L23" s="1113">
        <f>'[7]PDU 8C'!$K$7</f>
        <v>0</v>
      </c>
      <c r="M23" s="1113">
        <f>'[7]PDU 8D'!$K$7</f>
        <v>0</v>
      </c>
    </row>
    <row r="24" spans="1:15" ht="14.45" customHeight="1" thickBot="1"/>
    <row r="25" spans="1:15" ht="30.75" customHeight="1">
      <c r="A25" s="1449" t="s">
        <v>1691</v>
      </c>
      <c r="B25" s="1450"/>
      <c r="C25" s="1450"/>
      <c r="D25" s="1450"/>
      <c r="E25" s="1451"/>
    </row>
    <row r="26" spans="1:15" ht="14.45" customHeight="1">
      <c r="A26" s="1119"/>
      <c r="B26" s="1120" t="s">
        <v>1692</v>
      </c>
      <c r="C26" s="1120" t="s">
        <v>1693</v>
      </c>
      <c r="D26" s="1121" t="s">
        <v>1694</v>
      </c>
      <c r="E26" s="1122" t="s">
        <v>1695</v>
      </c>
    </row>
    <row r="27" spans="1:15" ht="14.45" customHeight="1">
      <c r="A27" s="1123" t="s">
        <v>1696</v>
      </c>
      <c r="B27" s="1124">
        <v>4</v>
      </c>
      <c r="C27" s="1125">
        <f>SUM(B27-1)*250</f>
        <v>750</v>
      </c>
      <c r="D27" s="1126">
        <f>SUM(C27/2)</f>
        <v>375</v>
      </c>
      <c r="E27" s="1127">
        <f>D27*0.9</f>
        <v>337.5</v>
      </c>
    </row>
    <row r="28" spans="1:15" ht="14.45" customHeight="1" thickBot="1">
      <c r="A28" s="1128" t="s">
        <v>1697</v>
      </c>
      <c r="B28" s="1129">
        <v>4</v>
      </c>
      <c r="C28" s="1130">
        <f>SUM(B28-1)*250</f>
        <v>750</v>
      </c>
      <c r="D28" s="1131">
        <f>SUM(C28/2)</f>
        <v>375</v>
      </c>
      <c r="E28" s="1132">
        <f>D28*0.9</f>
        <v>337.5</v>
      </c>
    </row>
    <row r="29" spans="1:15" ht="31.15" customHeight="1">
      <c r="D29" s="1133" t="s">
        <v>569</v>
      </c>
      <c r="E29" s="1134">
        <f>SUM(E27:E28)</f>
        <v>675</v>
      </c>
      <c r="F29" s="1452" t="s">
        <v>1698</v>
      </c>
      <c r="G29" s="1453"/>
      <c r="H29" s="1453"/>
      <c r="I29" s="1454"/>
    </row>
    <row r="30" spans="1:15" ht="14.45" customHeight="1" thickBot="1"/>
    <row r="31" spans="1:15" ht="14.45">
      <c r="A31" s="1455" t="s">
        <v>1699</v>
      </c>
      <c r="B31" s="1456"/>
      <c r="C31" s="1457"/>
    </row>
    <row r="32" spans="1:15" ht="14.45">
      <c r="A32" s="1444" t="s">
        <v>1700</v>
      </c>
      <c r="B32" s="1439"/>
      <c r="C32" s="1445"/>
    </row>
    <row r="33" spans="1:10" ht="15" thickBot="1">
      <c r="A33" s="1429" t="s">
        <v>1701</v>
      </c>
      <c r="B33" s="1430"/>
      <c r="C33" s="1431"/>
    </row>
    <row r="34" spans="1:10" ht="10.9" thickBot="1">
      <c r="C34" s="5"/>
    </row>
    <row r="35" spans="1:10" s="1135" customFormat="1" ht="15" thickBot="1">
      <c r="C35" s="1136"/>
    </row>
    <row r="36" spans="1:10" ht="10.9" thickBot="1">
      <c r="C36" s="5"/>
    </row>
    <row r="37" spans="1:10" ht="18.600000000000001" thickBot="1">
      <c r="B37" s="1146" t="s">
        <v>1663</v>
      </c>
      <c r="C37" s="5"/>
    </row>
    <row r="38" spans="1:10" ht="18.600000000000001" thickBot="1">
      <c r="A38" s="1106" t="s">
        <v>1702</v>
      </c>
      <c r="B38" s="1147">
        <v>200</v>
      </c>
      <c r="C38" s="813"/>
      <c r="D38" s="813"/>
      <c r="E38" s="813"/>
    </row>
    <row r="40" spans="1:10" ht="14.45">
      <c r="A40" s="1443" t="s">
        <v>1703</v>
      </c>
      <c r="B40" s="1443"/>
      <c r="C40" s="1443"/>
      <c r="D40" s="1443"/>
      <c r="E40" s="1443"/>
      <c r="F40" s="1443"/>
      <c r="G40" s="1443"/>
      <c r="H40" s="1149"/>
      <c r="I40" s="1441" t="s">
        <v>1666</v>
      </c>
      <c r="J40" s="1442"/>
    </row>
    <row r="41" spans="1:10" ht="14.45">
      <c r="A41" s="1118"/>
      <c r="B41" s="1110" t="s">
        <v>1704</v>
      </c>
      <c r="C41" s="1110" t="s">
        <v>1705</v>
      </c>
      <c r="D41" s="1110" t="s">
        <v>1706</v>
      </c>
      <c r="E41" s="1110" t="s">
        <v>1707</v>
      </c>
      <c r="F41" s="1161" t="s">
        <v>1708</v>
      </c>
      <c r="G41" s="1160" t="s">
        <v>1679</v>
      </c>
      <c r="H41" s="1150"/>
      <c r="I41" s="1164" t="s">
        <v>1680</v>
      </c>
      <c r="J41" s="1164" t="s">
        <v>1681</v>
      </c>
    </row>
    <row r="42" spans="1:10" ht="14.45">
      <c r="A42" s="1110" t="s">
        <v>1682</v>
      </c>
      <c r="B42" s="1111">
        <f>'[8]PDU 6C'!$J$8</f>
        <v>92.800000000000011</v>
      </c>
      <c r="C42" s="1111">
        <f>'[8]PDU 6D'!$J$8</f>
        <v>92.800000000000011</v>
      </c>
      <c r="D42" s="1111">
        <f>'[8]PDU 7C '!$J$8</f>
        <v>275</v>
      </c>
      <c r="E42" s="1111">
        <f>'[8]PDU 7D'!$J$8</f>
        <v>275</v>
      </c>
      <c r="F42" s="1162">
        <f>SUM(B42+C42+D42+E42)</f>
        <v>735.6</v>
      </c>
      <c r="G42" s="1159" t="s">
        <v>110</v>
      </c>
      <c r="H42" s="1151"/>
      <c r="I42" s="1165">
        <v>0.7</v>
      </c>
      <c r="J42" s="1166" t="s">
        <v>110</v>
      </c>
    </row>
    <row r="43" spans="1:10" ht="14.45">
      <c r="A43" s="1110" t="s">
        <v>1683</v>
      </c>
      <c r="B43" s="1111">
        <f>SUM((B42*230)/1000)</f>
        <v>21.344000000000005</v>
      </c>
      <c r="C43" s="1111">
        <f t="shared" ref="C43:E43" si="2">SUM((C42*230)/1000)</f>
        <v>21.344000000000005</v>
      </c>
      <c r="D43" s="1111">
        <f t="shared" si="2"/>
        <v>63.25</v>
      </c>
      <c r="E43" s="1111">
        <f t="shared" si="2"/>
        <v>63.25</v>
      </c>
      <c r="F43" s="1111">
        <f>B43+C43+D43+E43</f>
        <v>169.18800000000002</v>
      </c>
      <c r="G43" s="1157">
        <f>F43/B38</f>
        <v>0.84594000000000014</v>
      </c>
      <c r="H43" s="1152"/>
      <c r="I43" s="1167">
        <v>0.7</v>
      </c>
      <c r="J43" s="1167">
        <v>0.8</v>
      </c>
    </row>
    <row r="44" spans="1:10" ht="13.15">
      <c r="H44" s="812"/>
      <c r="I44" s="1168">
        <v>0.8</v>
      </c>
      <c r="J44" s="1168">
        <v>0.9</v>
      </c>
    </row>
    <row r="45" spans="1:10" ht="14.45">
      <c r="A45" s="1110" t="s">
        <v>1684</v>
      </c>
      <c r="B45" s="1110" t="s">
        <v>1704</v>
      </c>
      <c r="C45" s="1110" t="s">
        <v>1705</v>
      </c>
      <c r="D45" s="1110" t="s">
        <v>1706</v>
      </c>
      <c r="E45" s="1110" t="s">
        <v>1707</v>
      </c>
      <c r="H45" s="1153"/>
      <c r="I45" s="1169">
        <v>0.9</v>
      </c>
      <c r="J45" s="1169">
        <v>0.99</v>
      </c>
    </row>
    <row r="46" spans="1:10" ht="14.45">
      <c r="A46" s="1110" t="s">
        <v>1685</v>
      </c>
      <c r="B46" s="1113">
        <f>'[8]PDU 6C'!$J$5</f>
        <v>41.2</v>
      </c>
      <c r="C46" s="1113">
        <f>'[8]PDU 6D'!$J$5</f>
        <v>41.2</v>
      </c>
      <c r="D46" s="1113">
        <f>'[8]PDU 7C '!$J$5</f>
        <v>84.399999999999991</v>
      </c>
      <c r="E46" s="1113">
        <f>'[8]PDU 7D'!$J$5</f>
        <v>84.399999999999991</v>
      </c>
      <c r="I46" s="1166" t="s">
        <v>110</v>
      </c>
      <c r="J46" s="1170">
        <v>1</v>
      </c>
    </row>
    <row r="47" spans="1:10" ht="14.45">
      <c r="A47" s="1110" t="s">
        <v>1686</v>
      </c>
      <c r="B47" s="1113">
        <f>'[8]PDU 6C'!$J$6</f>
        <v>32</v>
      </c>
      <c r="C47" s="1113">
        <f>'[8]PDU 6D'!$J$6</f>
        <v>32</v>
      </c>
      <c r="D47" s="1113">
        <f>'[8]PDU 7C '!$J$6</f>
        <v>97.8</v>
      </c>
      <c r="E47" s="1113">
        <f>'[8]PDU 7D'!$J$6</f>
        <v>97.8</v>
      </c>
    </row>
    <row r="48" spans="1:10" ht="14.45">
      <c r="A48" s="1110" t="s">
        <v>1687</v>
      </c>
      <c r="B48" s="1113">
        <f>'[8]PDU 6C'!$J$7</f>
        <v>19.600000000000001</v>
      </c>
      <c r="C48" s="1113">
        <f>'[8]PDU 6D'!$J$7</f>
        <v>19.600000000000001</v>
      </c>
      <c r="D48" s="1113">
        <f>'[8]PDU 7C '!$J$7</f>
        <v>92.8</v>
      </c>
      <c r="E48" s="1113">
        <f>'[8]PDU 7D'!$J$7</f>
        <v>92.8</v>
      </c>
    </row>
    <row r="50" spans="1:9" ht="14.45">
      <c r="A50" s="1110"/>
      <c r="B50" s="1110" t="s">
        <v>1704</v>
      </c>
      <c r="C50" s="1110" t="s">
        <v>1705</v>
      </c>
      <c r="D50" s="1110" t="s">
        <v>1706</v>
      </c>
      <c r="E50" s="1110" t="s">
        <v>1707</v>
      </c>
      <c r="F50" s="1110" t="s">
        <v>1515</v>
      </c>
      <c r="G50" s="1110" t="s">
        <v>1679</v>
      </c>
    </row>
    <row r="51" spans="1:9" ht="14.45">
      <c r="A51" s="1110" t="s">
        <v>1709</v>
      </c>
      <c r="B51" s="1111">
        <f>'[8]PDU 6C'!$K$8</f>
        <v>24.200000000000003</v>
      </c>
      <c r="C51" s="1111">
        <f>'[8]PDU 6D'!$K$8</f>
        <v>17.399999999999999</v>
      </c>
      <c r="D51" s="1112">
        <f>'[8]PDU 7C '!$K$8</f>
        <v>100</v>
      </c>
      <c r="E51" s="1145">
        <f>'[8]PDU 7D'!$K$8</f>
        <v>85</v>
      </c>
      <c r="F51" s="1155">
        <f>SUM(B51+C51+D51+E51)</f>
        <v>226.6</v>
      </c>
      <c r="G51" s="1159" t="s">
        <v>110</v>
      </c>
    </row>
    <row r="52" spans="1:9" ht="14.45">
      <c r="A52" s="1110" t="s">
        <v>1689</v>
      </c>
      <c r="B52" s="1111">
        <f>SUM((B51*230)/1000)</f>
        <v>5.5660000000000007</v>
      </c>
      <c r="C52" s="1111">
        <f t="shared" ref="C52:E52" si="3">SUM((C51*230)/1000)</f>
        <v>4.0019999999999998</v>
      </c>
      <c r="D52" s="1111">
        <f t="shared" si="3"/>
        <v>23</v>
      </c>
      <c r="E52" s="1111">
        <f t="shared" si="3"/>
        <v>19.55</v>
      </c>
      <c r="F52" s="1111">
        <f>B52+C52+D52+E52</f>
        <v>52.117999999999995</v>
      </c>
      <c r="G52" s="1157">
        <f>F52/B38</f>
        <v>0.26058999999999999</v>
      </c>
    </row>
    <row r="54" spans="1:9" ht="14.45">
      <c r="A54" s="1110" t="s">
        <v>1690</v>
      </c>
      <c r="B54" s="1110" t="s">
        <v>1704</v>
      </c>
      <c r="C54" s="1110" t="s">
        <v>1705</v>
      </c>
      <c r="D54" s="1110" t="s">
        <v>1706</v>
      </c>
      <c r="E54" s="1110" t="s">
        <v>1707</v>
      </c>
    </row>
    <row r="55" spans="1:9" ht="14.45">
      <c r="A55" s="1110" t="s">
        <v>1685</v>
      </c>
      <c r="B55" s="1113">
        <f>'[8]PDU 6C'!$K$5</f>
        <v>11.200000000000001</v>
      </c>
      <c r="C55" s="1113">
        <f>'[8]PDU 6D'!$K$5</f>
        <v>6.6</v>
      </c>
      <c r="D55" s="1113">
        <f>'[8]PDU 7C '!$K$5</f>
        <v>33</v>
      </c>
      <c r="E55" s="1113">
        <f>'[8]PDU 7D'!$K$5</f>
        <v>27</v>
      </c>
    </row>
    <row r="56" spans="1:9" ht="14.45">
      <c r="A56" s="1110" t="s">
        <v>1686</v>
      </c>
      <c r="B56" s="1113">
        <f>'[8]PDU 6C'!$K$6</f>
        <v>9.4</v>
      </c>
      <c r="C56" s="1113">
        <f>'[8]PDU 6D'!$K$6</f>
        <v>7</v>
      </c>
      <c r="D56" s="1113">
        <f>'[8]PDU 7C '!$K$6</f>
        <v>26</v>
      </c>
      <c r="E56" s="1113">
        <f>'[8]PDU 7D'!$K$6</f>
        <v>25</v>
      </c>
    </row>
    <row r="57" spans="1:9" ht="14.45">
      <c r="A57" s="1110" t="s">
        <v>1687</v>
      </c>
      <c r="B57" s="1113">
        <f>'[8]PDU 6C'!$K$7</f>
        <v>3.5999999999999996</v>
      </c>
      <c r="C57" s="1113">
        <f>'[8]PDU 6D'!$K$7</f>
        <v>3.8</v>
      </c>
      <c r="D57" s="1113">
        <f>'[8]PDU 7C '!$K$7</f>
        <v>41</v>
      </c>
      <c r="E57" s="1113">
        <f>'[8]PDU 7D'!$K$7</f>
        <v>33</v>
      </c>
    </row>
    <row r="58" spans="1:9" ht="10.9" thickBot="1"/>
    <row r="59" spans="1:9" ht="29.25" customHeight="1">
      <c r="A59" s="1432" t="s">
        <v>1710</v>
      </c>
      <c r="B59" s="1433"/>
      <c r="C59" s="1433"/>
      <c r="D59" s="1433"/>
      <c r="E59" s="1434"/>
    </row>
    <row r="60" spans="1:9">
      <c r="A60" s="1119"/>
      <c r="B60" s="1137" t="s">
        <v>1692</v>
      </c>
      <c r="C60" s="1137" t="s">
        <v>1693</v>
      </c>
      <c r="D60" s="1138" t="s">
        <v>1694</v>
      </c>
      <c r="E60" s="1139" t="s">
        <v>1695</v>
      </c>
    </row>
    <row r="61" spans="1:9">
      <c r="A61" s="1140" t="s">
        <v>1696</v>
      </c>
      <c r="B61" s="1124">
        <v>2</v>
      </c>
      <c r="C61" s="1125">
        <f>SUM(B61-1)*250</f>
        <v>250</v>
      </c>
      <c r="D61" s="1126">
        <f>SUM(C61/2)</f>
        <v>125</v>
      </c>
      <c r="E61" s="1127">
        <f>D61*0.9</f>
        <v>112.5</v>
      </c>
    </row>
    <row r="62" spans="1:9" ht="10.9" thickBot="1">
      <c r="A62" s="1141" t="s">
        <v>1697</v>
      </c>
      <c r="B62" s="1129">
        <v>2</v>
      </c>
      <c r="C62" s="1130">
        <f>SUM(B62-1)*250</f>
        <v>250</v>
      </c>
      <c r="D62" s="1131">
        <f>SUM(C62/2)</f>
        <v>125</v>
      </c>
      <c r="E62" s="1132">
        <f>D62*0.9</f>
        <v>112.5</v>
      </c>
    </row>
    <row r="63" spans="1:9" ht="15" thickBot="1">
      <c r="D63" s="1142" t="s">
        <v>569</v>
      </c>
      <c r="E63" s="1134">
        <f>SUM(E61:E62)</f>
        <v>225</v>
      </c>
      <c r="F63" s="1435" t="s">
        <v>1711</v>
      </c>
      <c r="G63" s="1436"/>
      <c r="H63" s="1436"/>
      <c r="I63" s="1437"/>
    </row>
    <row r="65" spans="1:5" ht="14.45">
      <c r="A65" s="1438" t="s">
        <v>1699</v>
      </c>
      <c r="B65" s="1439"/>
      <c r="C65" s="1440"/>
    </row>
    <row r="66" spans="1:5" ht="15" thickBot="1">
      <c r="A66" s="1438" t="s">
        <v>1700</v>
      </c>
      <c r="B66" s="1439"/>
      <c r="C66" s="1440"/>
    </row>
    <row r="67" spans="1:5" ht="15" thickBot="1">
      <c r="A67" s="1425" t="s">
        <v>1712</v>
      </c>
      <c r="B67" s="1426"/>
      <c r="C67" s="1426"/>
      <c r="D67" s="1427" t="s">
        <v>1713</v>
      </c>
      <c r="E67" s="1428"/>
    </row>
  </sheetData>
  <mergeCells count="16">
    <mergeCell ref="Q6:R6"/>
    <mergeCell ref="A32:C32"/>
    <mergeCell ref="A1:D1"/>
    <mergeCell ref="A25:E25"/>
    <mergeCell ref="F29:I29"/>
    <mergeCell ref="A31:C31"/>
    <mergeCell ref="A6:O6"/>
    <mergeCell ref="A67:C67"/>
    <mergeCell ref="D67:E67"/>
    <mergeCell ref="A33:C33"/>
    <mergeCell ref="A59:E59"/>
    <mergeCell ref="F63:I63"/>
    <mergeCell ref="A65:C65"/>
    <mergeCell ref="A66:C66"/>
    <mergeCell ref="I40:J40"/>
    <mergeCell ref="A40:G40"/>
  </mergeCells>
  <conditionalFormatting sqref="B9:M9">
    <cfRule type="cellIs" dxfId="56" priority="25" operator="greaterThan">
      <formula>75</formula>
    </cfRule>
    <cfRule type="cellIs" dxfId="55" priority="50" operator="between">
      <formula>67.5</formula>
      <formula>74.9</formula>
    </cfRule>
    <cfRule type="cellIs" dxfId="54" priority="51" operator="between">
      <formula>60</formula>
      <formula>67.4</formula>
    </cfRule>
    <cfRule type="cellIs" dxfId="53" priority="52" operator="between">
      <formula>52.5</formula>
      <formula>59.9</formula>
    </cfRule>
    <cfRule type="cellIs" dxfId="52" priority="53" operator="lessThan">
      <formula>52.4</formula>
    </cfRule>
  </conditionalFormatting>
  <conditionalFormatting sqref="N9">
    <cfRule type="cellIs" dxfId="51" priority="24" operator="greaterThan">
      <formula>600</formula>
    </cfRule>
    <cfRule type="cellIs" dxfId="50" priority="54" operator="between">
      <formula>540</formula>
      <formula>594</formula>
    </cfRule>
    <cfRule type="cellIs" dxfId="49" priority="55" operator="between">
      <formula>480</formula>
      <formula>540</formula>
    </cfRule>
    <cfRule type="cellIs" dxfId="48" priority="56" operator="between">
      <formula>420</formula>
      <formula>480</formula>
    </cfRule>
    <cfRule type="cellIs" dxfId="47" priority="57" operator="lessThan">
      <formula>419.9</formula>
    </cfRule>
  </conditionalFormatting>
  <conditionalFormatting sqref="B18:M18">
    <cfRule type="cellIs" dxfId="46" priority="23" operator="greaterThan">
      <formula>75</formula>
    </cfRule>
    <cfRule type="cellIs" dxfId="45" priority="42" operator="between">
      <formula>67.5</formula>
      <formula>74.9</formula>
    </cfRule>
    <cfRule type="cellIs" dxfId="44" priority="43" operator="between">
      <formula>60</formula>
      <formula>67.4</formula>
    </cfRule>
    <cfRule type="cellIs" dxfId="43" priority="44" operator="between">
      <formula>52.5</formula>
      <formula>59.9</formula>
    </cfRule>
    <cfRule type="cellIs" dxfId="42" priority="45" operator="lessThan">
      <formula>52.4</formula>
    </cfRule>
  </conditionalFormatting>
  <conditionalFormatting sqref="N18">
    <cfRule type="cellIs" dxfId="41" priority="46" operator="greaterThan">
      <formula>279</formula>
    </cfRule>
    <cfRule type="cellIs" dxfId="40" priority="47" operator="between">
      <formula>251</formula>
      <formula>278.9</formula>
    </cfRule>
    <cfRule type="cellIs" dxfId="39" priority="48" operator="between">
      <formula>220</formula>
      <formula>250.9</formula>
    </cfRule>
    <cfRule type="cellIs" dxfId="38" priority="49" operator="lessThan">
      <formula>219.9</formula>
    </cfRule>
  </conditionalFormatting>
  <conditionalFormatting sqref="B43:E43">
    <cfRule type="cellIs" dxfId="37" priority="22" operator="greaterThan">
      <formula>75</formula>
    </cfRule>
    <cfRule type="cellIs" dxfId="36" priority="34" operator="between">
      <formula>67.5</formula>
      <formula>74.9</formula>
    </cfRule>
    <cfRule type="cellIs" dxfId="35" priority="35" operator="between">
      <formula>60</formula>
      <formula>67.4</formula>
    </cfRule>
    <cfRule type="cellIs" dxfId="34" priority="36" operator="between">
      <formula>52.5</formula>
      <formula>59.9</formula>
    </cfRule>
    <cfRule type="cellIs" dxfId="33" priority="37" operator="lessThan">
      <formula>52.4</formula>
    </cfRule>
  </conditionalFormatting>
  <conditionalFormatting sqref="F43">
    <cfRule type="cellIs" dxfId="32" priority="38" operator="greaterThan">
      <formula>279</formula>
    </cfRule>
    <cfRule type="cellIs" dxfId="31" priority="39" operator="between">
      <formula>251</formula>
      <formula>278.9</formula>
    </cfRule>
    <cfRule type="cellIs" dxfId="30" priority="40" operator="between">
      <formula>220</formula>
      <formula>250.9</formula>
    </cfRule>
    <cfRule type="cellIs" dxfId="29" priority="41" operator="lessThan">
      <formula>219.9</formula>
    </cfRule>
  </conditionalFormatting>
  <conditionalFormatting sqref="B52:E52">
    <cfRule type="cellIs" dxfId="28" priority="21" operator="greaterThan">
      <formula>75</formula>
    </cfRule>
    <cfRule type="cellIs" dxfId="27" priority="26" operator="between">
      <formula>67.5</formula>
      <formula>74.9</formula>
    </cfRule>
    <cfRule type="cellIs" dxfId="26" priority="27" operator="between">
      <formula>60</formula>
      <formula>67.4</formula>
    </cfRule>
    <cfRule type="cellIs" dxfId="25" priority="28" operator="between">
      <formula>52.5</formula>
      <formula>59.9</formula>
    </cfRule>
    <cfRule type="cellIs" dxfId="24" priority="29" operator="lessThan">
      <formula>52.4</formula>
    </cfRule>
  </conditionalFormatting>
  <conditionalFormatting sqref="F52">
    <cfRule type="cellIs" dxfId="23" priority="30" operator="greaterThan">
      <formula>279</formula>
    </cfRule>
    <cfRule type="cellIs" dxfId="22" priority="31" operator="between">
      <formula>251</formula>
      <formula>278.9</formula>
    </cfRule>
    <cfRule type="cellIs" dxfId="21" priority="32" operator="between">
      <formula>220</formula>
      <formula>250.9</formula>
    </cfRule>
    <cfRule type="cellIs" dxfId="20" priority="33" operator="lessThan">
      <formula>219.9</formula>
    </cfRule>
  </conditionalFormatting>
  <conditionalFormatting sqref="O9">
    <cfRule type="cellIs" dxfId="19" priority="16" operator="greaterThan">
      <formula>$R$12</formula>
    </cfRule>
    <cfRule type="cellIs" dxfId="18" priority="17" operator="between">
      <formula>$Q$11</formula>
      <formula>$R$11</formula>
    </cfRule>
    <cfRule type="cellIs" dxfId="17" priority="18" operator="between">
      <formula>$Q$10</formula>
      <formula>$R$10</formula>
    </cfRule>
    <cfRule type="cellIs" dxfId="16" priority="19" operator="between">
      <formula>$Q$9</formula>
      <formula>$R$9</formula>
    </cfRule>
    <cfRule type="cellIs" dxfId="15" priority="20" operator="lessThan">
      <formula>$Q$8</formula>
    </cfRule>
  </conditionalFormatting>
  <conditionalFormatting sqref="O18">
    <cfRule type="cellIs" dxfId="14" priority="11" operator="greaterThan">
      <formula>$R$12</formula>
    </cfRule>
    <cfRule type="cellIs" dxfId="13" priority="12" operator="between">
      <formula>$Q$11</formula>
      <formula>$R$11</formula>
    </cfRule>
    <cfRule type="cellIs" dxfId="12" priority="13" operator="between">
      <formula>$Q$10</formula>
      <formula>$R$10</formula>
    </cfRule>
    <cfRule type="cellIs" dxfId="11" priority="14" operator="between">
      <formula>$Q$9</formula>
      <formula>$R$9</formula>
    </cfRule>
    <cfRule type="cellIs" dxfId="10" priority="15" operator="lessThan">
      <formula>$Q$8</formula>
    </cfRule>
  </conditionalFormatting>
  <conditionalFormatting sqref="G43">
    <cfRule type="cellIs" dxfId="9" priority="6" operator="greaterThan">
      <formula>$R$12</formula>
    </cfRule>
    <cfRule type="cellIs" dxfId="8" priority="7" operator="between">
      <formula>$Q$11</formula>
      <formula>$R$11</formula>
    </cfRule>
    <cfRule type="cellIs" dxfId="7" priority="8" operator="between">
      <formula>$Q$10</formula>
      <formula>$R$10</formula>
    </cfRule>
    <cfRule type="cellIs" dxfId="6" priority="9" operator="between">
      <formula>$Q$9</formula>
      <formula>$R$9</formula>
    </cfRule>
    <cfRule type="cellIs" dxfId="5" priority="10" operator="lessThan">
      <formula>$Q$8</formula>
    </cfRule>
  </conditionalFormatting>
  <conditionalFormatting sqref="G52">
    <cfRule type="cellIs" dxfId="4" priority="1" operator="greaterThan">
      <formula>$R$12</formula>
    </cfRule>
    <cfRule type="cellIs" dxfId="3" priority="2" operator="between">
      <formula>$Q$11</formula>
      <formula>$R$11</formula>
    </cfRule>
    <cfRule type="cellIs" dxfId="2" priority="3" operator="between">
      <formula>$Q$10</formula>
      <formula>$R$10</formula>
    </cfRule>
    <cfRule type="cellIs" dxfId="1" priority="4" operator="between">
      <formula>$Q$9</formula>
      <formula>$R$9</formula>
    </cfRule>
    <cfRule type="cellIs" dxfId="0" priority="5" operator="lessThan">
      <formula>$Q$8</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CAAE268F7BEC4F81B272404FF520B8" ma:contentTypeVersion="8" ma:contentTypeDescription="Create a new document." ma:contentTypeScope="" ma:versionID="fd7a10eec78a60bc8b94afc5661e4be4">
  <xsd:schema xmlns:xsd="http://www.w3.org/2001/XMLSchema" xmlns:xs="http://www.w3.org/2001/XMLSchema" xmlns:p="http://schemas.microsoft.com/office/2006/metadata/properties" xmlns:ns2="722ef225-c862-440c-a707-0c097ebb83cb" targetNamespace="http://schemas.microsoft.com/office/2006/metadata/properties" ma:root="true" ma:fieldsID="fe80f1c38168ded7983939c034937a7e" ns2:_="">
    <xsd:import namespace="722ef225-c862-440c-a707-0c097ebb83c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2ef225-c862-440c-a707-0c097ebb83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D07E7CA-ECF5-485F-8824-54754C02F1C6}"/>
</file>

<file path=customXml/itemProps2.xml><?xml version="1.0" encoding="utf-8"?>
<ds:datastoreItem xmlns:ds="http://schemas.openxmlformats.org/officeDocument/2006/customXml" ds:itemID="{C09C5C3B-EDAE-4791-8908-9563775A1119}"/>
</file>

<file path=customXml/itemProps3.xml><?xml version="1.0" encoding="utf-8"?>
<ds:datastoreItem xmlns:ds="http://schemas.openxmlformats.org/officeDocument/2006/customXml" ds:itemID="{80FFA5BD-38F6-4D09-B373-9D3D1926359D}"/>
</file>

<file path=docProps/app.xml><?xml version="1.0" encoding="utf-8"?>
<Properties xmlns="http://schemas.openxmlformats.org/officeDocument/2006/extended-properties" xmlns:vt="http://schemas.openxmlformats.org/officeDocument/2006/docPropsVTypes">
  <Application>Microsoft Excel Online</Application>
  <Manager/>
  <Company>Vodafone UK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Knight</dc:creator>
  <cp:keywords/>
  <dc:description/>
  <cp:lastModifiedBy>Ghazal Yazdanfar, Vodafone (External)</cp:lastModifiedBy>
  <cp:revision/>
  <dcterms:created xsi:type="dcterms:W3CDTF">2007-10-26T13:20:29Z</dcterms:created>
  <dcterms:modified xsi:type="dcterms:W3CDTF">2025-02-26T06:29:10Z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0x010100FECAAE268F7BEC4F81B272404FF520B8</vt:lpwstr>
  </property>
  <property fmtid="{D5CDD505-2E9C-101B-9397-08002B2CF9AE}" pid="4" name="AuthorIds_UIVersion_3072">
    <vt:lpwstr>13</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MediaServiceImageTags">
    <vt:lpwstr/>
  </property>
  <property fmtid="{D5CDD505-2E9C-101B-9397-08002B2CF9AE}" pid="10" name="MSIP_Label_0359f705-2ba0-454b-9cfc-6ce5bcaac040_Enabled">
    <vt:lpwstr>true</vt:lpwstr>
  </property>
  <property fmtid="{D5CDD505-2E9C-101B-9397-08002B2CF9AE}" pid="11" name="MSIP_Label_0359f705-2ba0-454b-9cfc-6ce5bcaac040_SetDate">
    <vt:lpwstr>2024-05-01T06:46:58Z</vt:lpwstr>
  </property>
  <property fmtid="{D5CDD505-2E9C-101B-9397-08002B2CF9AE}" pid="12" name="MSIP_Label_0359f705-2ba0-454b-9cfc-6ce5bcaac040_Method">
    <vt:lpwstr>Standard</vt:lpwstr>
  </property>
  <property fmtid="{D5CDD505-2E9C-101B-9397-08002B2CF9AE}" pid="13" name="MSIP_Label_0359f705-2ba0-454b-9cfc-6ce5bcaac040_Name">
    <vt:lpwstr>0359f705-2ba0-454b-9cfc-6ce5bcaac040</vt:lpwstr>
  </property>
  <property fmtid="{D5CDD505-2E9C-101B-9397-08002B2CF9AE}" pid="14" name="MSIP_Label_0359f705-2ba0-454b-9cfc-6ce5bcaac040_SiteId">
    <vt:lpwstr>68283f3b-8487-4c86-adb3-a5228f18b893</vt:lpwstr>
  </property>
  <property fmtid="{D5CDD505-2E9C-101B-9397-08002B2CF9AE}" pid="15" name="MSIP_Label_0359f705-2ba0-454b-9cfc-6ce5bcaac040_ActionId">
    <vt:lpwstr>be9d8b9e-c008-402b-8d31-89f1c9a072fa</vt:lpwstr>
  </property>
  <property fmtid="{D5CDD505-2E9C-101B-9397-08002B2CF9AE}" pid="16" name="MSIP_Label_0359f705-2ba0-454b-9cfc-6ce5bcaac040_ContentBits">
    <vt:lpwstr>2</vt:lpwstr>
  </property>
</Properties>
</file>